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6D07D7B1-2771-4A66-8D8B-C21F82274BAA}" xr6:coauthVersionLast="47" xr6:coauthVersionMax="47" xr10:uidLastSave="{00000000-0000-0000-0000-000000000000}"/>
  <workbookProtection workbookAlgorithmName="SHA-512" workbookHashValue="haa23cvPreYkKaCEyHjwbxV+ldQyc1SMrApd9B/IUdG10ED/K8VaTupKT6zsBRPbSoSh53jMeRtN1ygyXoDW1A==" workbookSaltValue="jTkxmuoEejXd65fV53zxcQ==" workbookSpinCount="100000" lockStructure="1"/>
  <bookViews>
    <workbookView xWindow="28680" yWindow="-120" windowWidth="29040" windowHeight="17520" tabRatio="800" firstSheet="6" activeTab="6" xr2:uid="{00000000-000D-0000-FFFF-FFFF00000000}"/>
  </bookViews>
  <sheets>
    <sheet name="Planner M-Teach (ECE)" sheetId="5" state="hidden" r:id="rId1"/>
    <sheet name="Planner M-Teach (Prim)" sheetId="17" state="hidden" r:id="rId2"/>
    <sheet name="Planner TESOL_APLING" sheetId="13" state="hidden" r:id="rId3"/>
    <sheet name="Planner MC-EDUC" sheetId="14" state="hidden" r:id="rId4"/>
    <sheet name="Unitsets" sheetId="2" state="hidden" r:id="rId5"/>
    <sheet name="Planner GD-EDUC (Prim)" sheetId="16" state="hidden" r:id="rId6"/>
    <sheet name="Planner GD-EDUC (Sec)" sheetId="15"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 name="Issues Log" sheetId="20" state="hidden" r:id="rId13"/>
    <sheet name="Planner GD-EDUC (Prim Accel)" sheetId="18" state="hidden" r:id="rId14"/>
    <sheet name="Planner GD-EDUC (Sec Accel)" sheetId="19" state="hidden" r:id="rId15"/>
  </sheets>
  <definedNames>
    <definedName name="_xlnm._FilterDatabase" localSheetId="9"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13">'Planner GD-EDUC (Prim Accel)'!$A$3:$P$23</definedName>
    <definedName name="_xlnm.Print_Area" localSheetId="5">'Planner GD-EDUC (Prim)'!$A$3:$P$24</definedName>
    <definedName name="_xlnm.Print_Area" localSheetId="14">'Planner GD-EDUC (Sec Accel)'!$A$3:$P$30</definedName>
    <definedName name="_xlnm.Print_Area" localSheetId="6">'Planner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3" l="1"/>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A144" i="8" l="1"/>
  <c r="B144" i="8"/>
  <c r="D144" i="8"/>
  <c r="E144" i="8"/>
  <c r="P37" i="10" l="1"/>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AH81" i="3" s="1"/>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AG81" i="3" s="1"/>
  <c r="E200" i="8"/>
  <c r="D200" i="8"/>
  <c r="B200" i="8"/>
  <c r="A200" i="8"/>
  <c r="E199" i="8"/>
  <c r="D199" i="8"/>
  <c r="B199" i="8"/>
  <c r="A199" i="8"/>
  <c r="E198" i="8"/>
  <c r="D198" i="8"/>
  <c r="B198" i="8"/>
  <c r="A198" i="8"/>
  <c r="AF81" i="3" s="1"/>
  <c r="AH17" i="3" l="1"/>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0" i="3"/>
  <c r="AF91" i="3"/>
  <c r="AF92" i="3"/>
  <c r="AF93" i="3"/>
  <c r="AF94" i="3"/>
  <c r="AF95" i="3"/>
  <c r="AF96" i="3"/>
  <c r="AF97" i="3"/>
  <c r="AF98" i="3"/>
  <c r="AF99" i="3"/>
  <c r="AF100" i="3"/>
  <c r="AF101" i="3"/>
  <c r="AF102" i="3"/>
  <c r="AF103" i="3"/>
  <c r="AF104" i="3"/>
  <c r="AF105"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0" i="3"/>
  <c r="AG91" i="3"/>
  <c r="AG92" i="3"/>
  <c r="AG93" i="3"/>
  <c r="AG94" i="3"/>
  <c r="AG95" i="3"/>
  <c r="AG96" i="3"/>
  <c r="AG97" i="3"/>
  <c r="AG98" i="3"/>
  <c r="AG99" i="3"/>
  <c r="AG100" i="3"/>
  <c r="AG101" i="3"/>
  <c r="AG102" i="3"/>
  <c r="AG103" i="3"/>
  <c r="AG104" i="3"/>
  <c r="AG105"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0" i="3"/>
  <c r="AH91" i="3"/>
  <c r="AH92" i="3"/>
  <c r="AH93" i="3"/>
  <c r="AH94" i="3"/>
  <c r="AH95" i="3"/>
  <c r="AH96" i="3"/>
  <c r="AH97" i="3"/>
  <c r="AH98" i="3"/>
  <c r="AH99" i="3"/>
  <c r="AH100" i="3"/>
  <c r="AH101" i="3"/>
  <c r="AH102" i="3"/>
  <c r="AH103" i="3"/>
  <c r="AH104" i="3"/>
  <c r="AH105"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4" i="8" l="1"/>
  <c r="D194" i="8"/>
  <c r="B194" i="8"/>
  <c r="A194" i="8"/>
  <c r="E193" i="8"/>
  <c r="D193" i="8"/>
  <c r="B193" i="8"/>
  <c r="A193" i="8"/>
  <c r="E192" i="8"/>
  <c r="D192" i="8"/>
  <c r="B192" i="8"/>
  <c r="A192" i="8"/>
  <c r="E191" i="8"/>
  <c r="D191" i="8"/>
  <c r="B191" i="8"/>
  <c r="A191" i="8"/>
  <c r="AD81" i="3" s="1"/>
  <c r="G5" i="13"/>
  <c r="AD16" i="3" l="1"/>
  <c r="AD17" i="3"/>
  <c r="AD18" i="3"/>
  <c r="AD19" i="3"/>
  <c r="AD25" i="3"/>
  <c r="AD84" i="3"/>
  <c r="AD85" i="3"/>
  <c r="AD86" i="3"/>
  <c r="AD90" i="3"/>
  <c r="AD78" i="3"/>
  <c r="AD80" i="3"/>
  <c r="AD79" i="3"/>
  <c r="AD4" i="3"/>
  <c r="AD37" i="3"/>
  <c r="AD61" i="3"/>
  <c r="AD102" i="3"/>
  <c r="AD94" i="3"/>
  <c r="AD82" i="3"/>
  <c r="AD70" i="3"/>
  <c r="AD62" i="3"/>
  <c r="AD54" i="3"/>
  <c r="AD46" i="3"/>
  <c r="AD38" i="3"/>
  <c r="AD30" i="3"/>
  <c r="AD22" i="3"/>
  <c r="AD10" i="3"/>
  <c r="AD53" i="3"/>
  <c r="AD9" i="3"/>
  <c r="AD100" i="3"/>
  <c r="AD92" i="3"/>
  <c r="AD76" i="3"/>
  <c r="AD68" i="3"/>
  <c r="AD60" i="3"/>
  <c r="AD52" i="3"/>
  <c r="AD44" i="3"/>
  <c r="AD36" i="3"/>
  <c r="AD28" i="3"/>
  <c r="AD20" i="3"/>
  <c r="AD8" i="3"/>
  <c r="AD93" i="3"/>
  <c r="AD45" i="3"/>
  <c r="AD99" i="3"/>
  <c r="AD91" i="3"/>
  <c r="AD75" i="3"/>
  <c r="AD67" i="3"/>
  <c r="AD59" i="3"/>
  <c r="AD51" i="3"/>
  <c r="AD43" i="3"/>
  <c r="AD35" i="3"/>
  <c r="AD27" i="3"/>
  <c r="AD15" i="3"/>
  <c r="AD7" i="3"/>
  <c r="AD77" i="3"/>
  <c r="AD21" i="3"/>
  <c r="AD98" i="3"/>
  <c r="AD89" i="3"/>
  <c r="AD74" i="3"/>
  <c r="AD66" i="3"/>
  <c r="AD58" i="3"/>
  <c r="AD50" i="3"/>
  <c r="AD42" i="3"/>
  <c r="AD34" i="3"/>
  <c r="AD26" i="3"/>
  <c r="AD14" i="3"/>
  <c r="AD6" i="3"/>
  <c r="AD69" i="3"/>
  <c r="AD29" i="3"/>
  <c r="AD105" i="3"/>
  <c r="AD97" i="3"/>
  <c r="AD88" i="3"/>
  <c r="AD73" i="3"/>
  <c r="AD65" i="3"/>
  <c r="AD57" i="3"/>
  <c r="AD49" i="3"/>
  <c r="AD41" i="3"/>
  <c r="AD33" i="3"/>
  <c r="AD13" i="3"/>
  <c r="AD3" i="3"/>
  <c r="AD104" i="3"/>
  <c r="AD96" i="3"/>
  <c r="AD87" i="3"/>
  <c r="AD72" i="3"/>
  <c r="AD64" i="3"/>
  <c r="AD56" i="3"/>
  <c r="AD48" i="3"/>
  <c r="AD40" i="3"/>
  <c r="AD32" i="3"/>
  <c r="AD24" i="3"/>
  <c r="AD12" i="3"/>
  <c r="AD5" i="3"/>
  <c r="AD101" i="3"/>
  <c r="AD103" i="3"/>
  <c r="AD95"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7" i="8"/>
  <c r="D187" i="8"/>
  <c r="B187" i="8"/>
  <c r="A187"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AE81" i="3" s="1"/>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18" i="3" l="1"/>
  <c r="AE16" i="3"/>
  <c r="AE19" i="3"/>
  <c r="AE17" i="3"/>
  <c r="AE84" i="3"/>
  <c r="AE85" i="3"/>
  <c r="AE86" i="3"/>
  <c r="AE90" i="3"/>
  <c r="AE25" i="3"/>
  <c r="AE78" i="3"/>
  <c r="AE80" i="3"/>
  <c r="AE79" i="3"/>
  <c r="AE3" i="3"/>
  <c r="AE89" i="3"/>
  <c r="AE7" i="3"/>
  <c r="AE15" i="3"/>
  <c r="AE27" i="3"/>
  <c r="AE35" i="3"/>
  <c r="AE43" i="3"/>
  <c r="AE51" i="3"/>
  <c r="AE59" i="3"/>
  <c r="AE67" i="3"/>
  <c r="AE75" i="3"/>
  <c r="AE91" i="3"/>
  <c r="AE99" i="3"/>
  <c r="AE9" i="3"/>
  <c r="AE29" i="3"/>
  <c r="AE45" i="3"/>
  <c r="AE61" i="3"/>
  <c r="AE77" i="3"/>
  <c r="AE101" i="3"/>
  <c r="AE22" i="3"/>
  <c r="AE38" i="3"/>
  <c r="AE54" i="3"/>
  <c r="AE70" i="3"/>
  <c r="AE94" i="3"/>
  <c r="AE102" i="3"/>
  <c r="AE41" i="3"/>
  <c r="AE65" i="3"/>
  <c r="AE97" i="3"/>
  <c r="AE14" i="3"/>
  <c r="AE42" i="3"/>
  <c r="AE66" i="3"/>
  <c r="AE8" i="3"/>
  <c r="AE20" i="3"/>
  <c r="AE28" i="3"/>
  <c r="AE36" i="3"/>
  <c r="AE44" i="3"/>
  <c r="AE52" i="3"/>
  <c r="AE60" i="3"/>
  <c r="AE68" i="3"/>
  <c r="AE76" i="3"/>
  <c r="AE92" i="3"/>
  <c r="AE100" i="3"/>
  <c r="AE21" i="3"/>
  <c r="AE37" i="3"/>
  <c r="AE53" i="3"/>
  <c r="AE69" i="3"/>
  <c r="AE93" i="3"/>
  <c r="AE10" i="3"/>
  <c r="AE30" i="3"/>
  <c r="AE46" i="3"/>
  <c r="AE62" i="3"/>
  <c r="AE82" i="3"/>
  <c r="AE49" i="3"/>
  <c r="AE73" i="3"/>
  <c r="AE105" i="3"/>
  <c r="AE26" i="3"/>
  <c r="AE50" i="3"/>
  <c r="AE74" i="3"/>
  <c r="AE98" i="3"/>
  <c r="AE11" i="3"/>
  <c r="AE23" i="3"/>
  <c r="AE31" i="3"/>
  <c r="AE39" i="3"/>
  <c r="AE47" i="3"/>
  <c r="AE55" i="3"/>
  <c r="AE63" i="3"/>
  <c r="AE71" i="3"/>
  <c r="AE83" i="3"/>
  <c r="AE95" i="3"/>
  <c r="AE103" i="3"/>
  <c r="AE5" i="3"/>
  <c r="AE12" i="3"/>
  <c r="AE24" i="3"/>
  <c r="AE32" i="3"/>
  <c r="AE40" i="3"/>
  <c r="AE48" i="3"/>
  <c r="AE56" i="3"/>
  <c r="AE64" i="3"/>
  <c r="AE72" i="3"/>
  <c r="AE87" i="3"/>
  <c r="AE96" i="3"/>
  <c r="AE104"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0" i="3"/>
  <c r="AK25" i="3"/>
  <c r="AK84" i="3"/>
  <c r="AK85" i="3"/>
  <c r="AK86" i="3"/>
  <c r="AK90" i="3"/>
  <c r="AL25" i="3"/>
  <c r="AL84" i="3"/>
  <c r="AL85" i="3"/>
  <c r="AL86" i="3"/>
  <c r="AL90" i="3"/>
  <c r="AJ3" i="3"/>
  <c r="AJ78" i="3"/>
  <c r="AJ80" i="3"/>
  <c r="AJ79" i="3"/>
  <c r="AK78" i="3"/>
  <c r="AK80" i="3"/>
  <c r="AK79" i="3"/>
  <c r="AL78" i="3"/>
  <c r="AL80" i="3"/>
  <c r="AL79" i="3"/>
  <c r="AK3" i="3"/>
  <c r="AL3" i="3"/>
  <c r="AK10" i="3"/>
  <c r="AK22" i="3"/>
  <c r="AK30" i="3"/>
  <c r="AK38" i="3"/>
  <c r="AK46" i="3"/>
  <c r="AK54" i="3"/>
  <c r="AK62" i="3"/>
  <c r="AK70" i="3"/>
  <c r="AK82" i="3"/>
  <c r="AK94" i="3"/>
  <c r="AK102" i="3"/>
  <c r="AK5" i="3"/>
  <c r="AK24" i="3"/>
  <c r="AK40" i="3"/>
  <c r="AK56" i="3"/>
  <c r="AK64" i="3"/>
  <c r="AK87" i="3"/>
  <c r="AK104" i="3"/>
  <c r="AK11" i="3"/>
  <c r="AK23" i="3"/>
  <c r="AK31" i="3"/>
  <c r="AK39" i="3"/>
  <c r="AK47" i="3"/>
  <c r="AK55" i="3"/>
  <c r="AK63" i="3"/>
  <c r="AK71" i="3"/>
  <c r="AK83" i="3"/>
  <c r="AK95" i="3"/>
  <c r="AK103" i="3"/>
  <c r="AK12" i="3"/>
  <c r="AK32" i="3"/>
  <c r="AK48" i="3"/>
  <c r="AK72" i="3"/>
  <c r="AK96" i="3"/>
  <c r="AK4" i="3"/>
  <c r="AK13" i="3"/>
  <c r="AK33" i="3"/>
  <c r="AK41" i="3"/>
  <c r="AK49" i="3"/>
  <c r="AK57" i="3"/>
  <c r="AK65" i="3"/>
  <c r="AK73" i="3"/>
  <c r="AK88" i="3"/>
  <c r="AK97" i="3"/>
  <c r="AK105" i="3"/>
  <c r="AK7" i="3"/>
  <c r="AK27" i="3"/>
  <c r="AK43" i="3"/>
  <c r="AK51" i="3"/>
  <c r="AK67" i="3"/>
  <c r="AK99" i="3"/>
  <c r="AK6" i="3"/>
  <c r="AK14" i="3"/>
  <c r="AK26" i="3"/>
  <c r="AK34" i="3"/>
  <c r="AK42" i="3"/>
  <c r="AK50" i="3"/>
  <c r="AK58" i="3"/>
  <c r="AK66" i="3"/>
  <c r="AK74" i="3"/>
  <c r="AK89" i="3"/>
  <c r="AK98" i="3"/>
  <c r="AK15" i="3"/>
  <c r="AK35" i="3"/>
  <c r="AK59" i="3"/>
  <c r="AK91" i="3"/>
  <c r="AK75" i="3"/>
  <c r="AK8" i="3"/>
  <c r="AK20" i="3"/>
  <c r="AK28" i="3"/>
  <c r="AK36" i="3"/>
  <c r="AK44" i="3"/>
  <c r="AK52" i="3"/>
  <c r="AK60" i="3"/>
  <c r="AK68" i="3"/>
  <c r="AK76" i="3"/>
  <c r="AK92" i="3"/>
  <c r="AK100" i="3"/>
  <c r="AK9" i="3"/>
  <c r="AK21" i="3"/>
  <c r="AK29" i="3"/>
  <c r="AK37" i="3"/>
  <c r="AK45" i="3"/>
  <c r="AK53" i="3"/>
  <c r="AK61" i="3"/>
  <c r="AK69" i="3"/>
  <c r="AK77" i="3"/>
  <c r="AK93" i="3"/>
  <c r="AK101" i="3"/>
  <c r="AJ8" i="3"/>
  <c r="AJ20" i="3"/>
  <c r="AJ28" i="3"/>
  <c r="AJ36" i="3"/>
  <c r="AJ44" i="3"/>
  <c r="AJ52" i="3"/>
  <c r="AJ60" i="3"/>
  <c r="AJ68" i="3"/>
  <c r="AJ76" i="3"/>
  <c r="AJ92" i="3"/>
  <c r="AJ100" i="3"/>
  <c r="AJ22" i="3"/>
  <c r="AJ38" i="3"/>
  <c r="AJ54" i="3"/>
  <c r="AJ70" i="3"/>
  <c r="AJ94" i="3"/>
  <c r="AJ9" i="3"/>
  <c r="AJ21" i="3"/>
  <c r="AJ29" i="3"/>
  <c r="AJ37" i="3"/>
  <c r="AJ45" i="3"/>
  <c r="AJ53" i="3"/>
  <c r="AJ61" i="3"/>
  <c r="AJ69" i="3"/>
  <c r="AJ77" i="3"/>
  <c r="AJ93" i="3"/>
  <c r="AJ101" i="3"/>
  <c r="AJ10" i="3"/>
  <c r="AJ30" i="3"/>
  <c r="AJ46" i="3"/>
  <c r="AJ62" i="3"/>
  <c r="AJ82" i="3"/>
  <c r="AJ102" i="3"/>
  <c r="AJ11" i="3"/>
  <c r="AJ23" i="3"/>
  <c r="AJ31" i="3"/>
  <c r="AJ39" i="3"/>
  <c r="AJ47" i="3"/>
  <c r="AJ55" i="3"/>
  <c r="AJ63" i="3"/>
  <c r="AJ71" i="3"/>
  <c r="AJ83" i="3"/>
  <c r="AJ95" i="3"/>
  <c r="AJ103" i="3"/>
  <c r="AJ13" i="3"/>
  <c r="AJ33" i="3"/>
  <c r="AJ49" i="3"/>
  <c r="AJ65" i="3"/>
  <c r="AJ88" i="3"/>
  <c r="AJ105" i="3"/>
  <c r="AJ5" i="3"/>
  <c r="AJ12" i="3"/>
  <c r="AJ24" i="3"/>
  <c r="AJ32" i="3"/>
  <c r="AJ40" i="3"/>
  <c r="AJ48" i="3"/>
  <c r="AJ56" i="3"/>
  <c r="AJ64" i="3"/>
  <c r="AJ72" i="3"/>
  <c r="AJ87" i="3"/>
  <c r="AJ96" i="3"/>
  <c r="AJ104" i="3"/>
  <c r="AJ4" i="3"/>
  <c r="AJ41" i="3"/>
  <c r="AJ57" i="3"/>
  <c r="AJ73" i="3"/>
  <c r="AJ97" i="3"/>
  <c r="AJ6" i="3"/>
  <c r="AJ14" i="3"/>
  <c r="AJ26" i="3"/>
  <c r="AJ34" i="3"/>
  <c r="AJ42" i="3"/>
  <c r="AJ50" i="3"/>
  <c r="AJ58" i="3"/>
  <c r="AJ66" i="3"/>
  <c r="AJ74" i="3"/>
  <c r="AJ89" i="3"/>
  <c r="AJ98" i="3"/>
  <c r="AJ7" i="3"/>
  <c r="AJ15" i="3"/>
  <c r="AJ27" i="3"/>
  <c r="AJ35" i="3"/>
  <c r="AJ43" i="3"/>
  <c r="AJ51" i="3"/>
  <c r="AJ59" i="3"/>
  <c r="AJ67" i="3"/>
  <c r="AJ75" i="3"/>
  <c r="AJ91" i="3"/>
  <c r="AJ99" i="3"/>
  <c r="AL5" i="3"/>
  <c r="AL12" i="3"/>
  <c r="AL24" i="3"/>
  <c r="AL32" i="3"/>
  <c r="AL40" i="3"/>
  <c r="AL48" i="3"/>
  <c r="AL56" i="3"/>
  <c r="AL64" i="3"/>
  <c r="AL72" i="3"/>
  <c r="AL87" i="3"/>
  <c r="AL96" i="3"/>
  <c r="AL104" i="3"/>
  <c r="AL26" i="3"/>
  <c r="AL34" i="3"/>
  <c r="AL50" i="3"/>
  <c r="AL66" i="3"/>
  <c r="AL89" i="3"/>
  <c r="AL4" i="3"/>
  <c r="AL13" i="3"/>
  <c r="AL33" i="3"/>
  <c r="AL41" i="3"/>
  <c r="AL49" i="3"/>
  <c r="AL57" i="3"/>
  <c r="AL65" i="3"/>
  <c r="AL73" i="3"/>
  <c r="AL88" i="3"/>
  <c r="AL97" i="3"/>
  <c r="AL105" i="3"/>
  <c r="AL14" i="3"/>
  <c r="AL42" i="3"/>
  <c r="AL58" i="3"/>
  <c r="AL74" i="3"/>
  <c r="AL98" i="3"/>
  <c r="AL6" i="3"/>
  <c r="AL7" i="3"/>
  <c r="AL15" i="3"/>
  <c r="AL27" i="3"/>
  <c r="AL35" i="3"/>
  <c r="AL43" i="3"/>
  <c r="AL51" i="3"/>
  <c r="AL59" i="3"/>
  <c r="AL67" i="3"/>
  <c r="AL75" i="3"/>
  <c r="AL91" i="3"/>
  <c r="AL99" i="3"/>
  <c r="AL29" i="3"/>
  <c r="AL53" i="3"/>
  <c r="AL69" i="3"/>
  <c r="AL93" i="3"/>
  <c r="AL8" i="3"/>
  <c r="AL20" i="3"/>
  <c r="AL28" i="3"/>
  <c r="AL36" i="3"/>
  <c r="AL44" i="3"/>
  <c r="AL52" i="3"/>
  <c r="AL60" i="3"/>
  <c r="AL68" i="3"/>
  <c r="AL76" i="3"/>
  <c r="AL92" i="3"/>
  <c r="AL100" i="3"/>
  <c r="AL37" i="3"/>
  <c r="AL45" i="3"/>
  <c r="AL61" i="3"/>
  <c r="AL77" i="3"/>
  <c r="AL101" i="3"/>
  <c r="AL9" i="3"/>
  <c r="AL21" i="3"/>
  <c r="AL10" i="3"/>
  <c r="AL22" i="3"/>
  <c r="AL30" i="3"/>
  <c r="AL38" i="3"/>
  <c r="AL46" i="3"/>
  <c r="AL54" i="3"/>
  <c r="AL62" i="3"/>
  <c r="AL70" i="3"/>
  <c r="AL82" i="3"/>
  <c r="AL94" i="3"/>
  <c r="AL102" i="3"/>
  <c r="AL31" i="3"/>
  <c r="AL39" i="3"/>
  <c r="AL47" i="3"/>
  <c r="AL55" i="3"/>
  <c r="AL63" i="3"/>
  <c r="AL71" i="3"/>
  <c r="AL83" i="3"/>
  <c r="AL95" i="3"/>
  <c r="AL103"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0" i="3"/>
  <c r="AI25" i="3"/>
  <c r="AI78" i="3"/>
  <c r="AI80" i="3"/>
  <c r="AI79" i="3"/>
  <c r="AI3" i="3"/>
  <c r="AI47" i="3"/>
  <c r="AI75" i="3"/>
  <c r="AI65" i="3"/>
  <c r="AI94" i="3"/>
  <c r="AI66" i="3"/>
  <c r="AI68" i="3"/>
  <c r="AI63" i="3"/>
  <c r="AI69" i="3"/>
  <c r="AI91" i="3"/>
  <c r="AI92" i="3"/>
  <c r="AI64" i="3"/>
  <c r="AI67" i="3"/>
  <c r="AI70" i="3"/>
  <c r="AI93" i="3"/>
  <c r="AI57" i="3"/>
  <c r="AI59" i="3"/>
  <c r="AI50" i="3"/>
  <c r="AI42" i="3"/>
  <c r="AI34" i="3"/>
  <c r="AI7" i="3"/>
  <c r="AI26" i="3"/>
  <c r="AI103" i="3"/>
  <c r="AI14" i="3"/>
  <c r="AI95" i="3"/>
  <c r="AI102" i="3"/>
  <c r="AI89" i="3"/>
  <c r="AI74" i="3"/>
  <c r="AI58" i="3"/>
  <c r="AI49" i="3"/>
  <c r="AI41" i="3"/>
  <c r="AI33" i="3"/>
  <c r="AI13" i="3"/>
  <c r="AI4" i="3"/>
  <c r="AI101" i="3"/>
  <c r="AI88" i="3"/>
  <c r="AI73" i="3"/>
  <c r="AI56" i="3"/>
  <c r="AI48" i="3"/>
  <c r="AI40" i="3"/>
  <c r="AI32" i="3"/>
  <c r="AI24" i="3"/>
  <c r="AI12" i="3"/>
  <c r="AI5" i="3"/>
  <c r="AI100" i="3"/>
  <c r="AI72" i="3"/>
  <c r="AI31" i="3"/>
  <c r="AI23" i="3"/>
  <c r="AI99" i="3"/>
  <c r="AI83" i="3"/>
  <c r="AI71" i="3"/>
  <c r="AI54" i="3"/>
  <c r="AI46" i="3"/>
  <c r="AI38" i="3"/>
  <c r="AI30" i="3"/>
  <c r="AI22" i="3"/>
  <c r="AI10" i="3"/>
  <c r="AI87" i="3"/>
  <c r="AI55" i="3"/>
  <c r="AI39" i="3"/>
  <c r="AI11" i="3"/>
  <c r="AI98" i="3"/>
  <c r="AI82" i="3"/>
  <c r="AI62" i="3"/>
  <c r="AI53" i="3"/>
  <c r="AI45" i="3"/>
  <c r="AI37" i="3"/>
  <c r="AI29" i="3"/>
  <c r="AI21" i="3"/>
  <c r="AI9" i="3"/>
  <c r="AI6" i="3"/>
  <c r="AI105" i="3"/>
  <c r="AI97" i="3"/>
  <c r="AI77" i="3"/>
  <c r="AI61" i="3"/>
  <c r="AI52" i="3"/>
  <c r="AI44" i="3"/>
  <c r="AI36" i="3"/>
  <c r="AI28" i="3"/>
  <c r="AI20" i="3"/>
  <c r="AI8" i="3"/>
  <c r="AI104" i="3"/>
  <c r="AI96" i="3"/>
  <c r="AI76" i="3"/>
  <c r="AI60" i="3"/>
  <c r="AI51" i="3"/>
  <c r="AI43" i="3"/>
  <c r="AI35" i="3"/>
  <c r="AI27" i="3"/>
  <c r="AI15" i="3"/>
  <c r="E133" i="8"/>
  <c r="D133" i="8"/>
  <c r="B133" i="8"/>
  <c r="A133" i="8"/>
  <c r="E132" i="8"/>
  <c r="D132" i="8"/>
  <c r="B132" i="8"/>
  <c r="A132" i="8"/>
  <c r="E131" i="8"/>
  <c r="D131" i="8"/>
  <c r="B131" i="8"/>
  <c r="A131" i="8"/>
  <c r="E130" i="8"/>
  <c r="D130" i="8"/>
  <c r="B130" i="8"/>
  <c r="A130" i="8"/>
  <c r="AA81" i="3" s="1"/>
  <c r="AA17" i="3" l="1"/>
  <c r="AA16" i="3"/>
  <c r="AA18" i="3"/>
  <c r="AA19" i="3"/>
  <c r="AA25" i="3"/>
  <c r="AA84" i="3"/>
  <c r="AA85" i="3"/>
  <c r="AA86" i="3"/>
  <c r="AA90" i="3"/>
  <c r="AA78" i="3"/>
  <c r="AA80" i="3"/>
  <c r="AA79" i="3"/>
  <c r="AA3" i="3"/>
  <c r="AA57" i="3"/>
  <c r="AA70" i="3"/>
  <c r="AA91" i="3"/>
  <c r="AA92" i="3"/>
  <c r="AA65" i="3"/>
  <c r="AA94" i="3"/>
  <c r="AA66" i="3"/>
  <c r="AA68" i="3"/>
  <c r="AA64" i="3"/>
  <c r="AA67" i="3"/>
  <c r="AA63" i="3"/>
  <c r="AA69" i="3"/>
  <c r="AA93" i="3"/>
  <c r="AA7" i="3"/>
  <c r="AA15" i="3"/>
  <c r="AA27" i="3"/>
  <c r="AA35" i="3"/>
  <c r="AA43" i="3"/>
  <c r="AA51" i="3"/>
  <c r="AA60" i="3"/>
  <c r="AA76" i="3"/>
  <c r="AA96" i="3"/>
  <c r="AA104" i="3"/>
  <c r="AA21" i="3"/>
  <c r="AA45" i="3"/>
  <c r="AA82" i="3"/>
  <c r="AA98" i="3"/>
  <c r="AA46" i="3"/>
  <c r="AA99" i="3"/>
  <c r="AA39" i="3"/>
  <c r="AA100" i="3"/>
  <c r="AA34" i="3"/>
  <c r="AA8" i="3"/>
  <c r="AA20" i="3"/>
  <c r="AA28" i="3"/>
  <c r="AA36" i="3"/>
  <c r="AA44" i="3"/>
  <c r="AA52" i="3"/>
  <c r="AA61" i="3"/>
  <c r="AA77" i="3"/>
  <c r="AA97" i="3"/>
  <c r="AA105" i="3"/>
  <c r="AA9" i="3"/>
  <c r="AA37" i="3"/>
  <c r="AA62" i="3"/>
  <c r="AA10" i="3"/>
  <c r="AA30" i="3"/>
  <c r="AA71" i="3"/>
  <c r="AA47" i="3"/>
  <c r="AA42" i="3"/>
  <c r="AA29" i="3"/>
  <c r="AA53" i="3"/>
  <c r="AA22" i="3"/>
  <c r="AA38" i="3"/>
  <c r="AA83" i="3"/>
  <c r="AA11" i="3"/>
  <c r="AA55" i="3"/>
  <c r="AA26" i="3"/>
  <c r="AA95" i="3"/>
  <c r="AA54" i="3"/>
  <c r="AA23" i="3"/>
  <c r="AA72" i="3"/>
  <c r="AA103" i="3"/>
  <c r="AA31" i="3"/>
  <c r="AA87" i="3"/>
  <c r="AA59" i="3"/>
  <c r="AA5" i="3"/>
  <c r="AA12" i="3"/>
  <c r="AA24" i="3"/>
  <c r="AA32" i="3"/>
  <c r="AA40" i="3"/>
  <c r="AA48" i="3"/>
  <c r="AA56" i="3"/>
  <c r="AA73" i="3"/>
  <c r="AA88" i="3"/>
  <c r="AA101" i="3"/>
  <c r="AA13" i="3"/>
  <c r="AA41" i="3"/>
  <c r="AA58" i="3"/>
  <c r="AA89" i="3"/>
  <c r="AA14" i="3"/>
  <c r="AA50" i="3"/>
  <c r="AA4" i="3"/>
  <c r="AA33" i="3"/>
  <c r="AA49" i="3"/>
  <c r="AA74" i="3"/>
  <c r="AA102"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s="1"/>
  <c r="AC18" i="3" l="1"/>
  <c r="AC19" i="3"/>
  <c r="AC16" i="3"/>
  <c r="AC17" i="3"/>
  <c r="AC84" i="3"/>
  <c r="AC85" i="3"/>
  <c r="AC86" i="3"/>
  <c r="AC90" i="3"/>
  <c r="AC25" i="3"/>
  <c r="AC78" i="3"/>
  <c r="AC80" i="3"/>
  <c r="AC79" i="3"/>
  <c r="AC3" i="3"/>
  <c r="AC67" i="3"/>
  <c r="AC68" i="3"/>
  <c r="AC57" i="3"/>
  <c r="AC70" i="3"/>
  <c r="AC91" i="3"/>
  <c r="AC92" i="3"/>
  <c r="AC65" i="3"/>
  <c r="AC94" i="3"/>
  <c r="AC69" i="3"/>
  <c r="AC93" i="3"/>
  <c r="AC66" i="3"/>
  <c r="AC63" i="3"/>
  <c r="AC64" i="3"/>
  <c r="AC8" i="3"/>
  <c r="AC20" i="3"/>
  <c r="AC28" i="3"/>
  <c r="AC36" i="3"/>
  <c r="AC44" i="3"/>
  <c r="AC52" i="3"/>
  <c r="AC61" i="3"/>
  <c r="AC77" i="3"/>
  <c r="AC97" i="3"/>
  <c r="AC105" i="3"/>
  <c r="AC11" i="3"/>
  <c r="AC31" i="3"/>
  <c r="AC47" i="3"/>
  <c r="AC87" i="3"/>
  <c r="AC41" i="3"/>
  <c r="AC89" i="3"/>
  <c r="AC51" i="3"/>
  <c r="AC9" i="3"/>
  <c r="AC21" i="3"/>
  <c r="AC29" i="3"/>
  <c r="AC37" i="3"/>
  <c r="AC45" i="3"/>
  <c r="AC53" i="3"/>
  <c r="AC62" i="3"/>
  <c r="AC82" i="3"/>
  <c r="AC98" i="3"/>
  <c r="AC23" i="3"/>
  <c r="AC55" i="3"/>
  <c r="AC72" i="3"/>
  <c r="AC33" i="3"/>
  <c r="AC74" i="3"/>
  <c r="AC60" i="3"/>
  <c r="AC10" i="3"/>
  <c r="AC22" i="3"/>
  <c r="AC30" i="3"/>
  <c r="AC38" i="3"/>
  <c r="AC46" i="3"/>
  <c r="AC54" i="3"/>
  <c r="AC71" i="3"/>
  <c r="AC83" i="3"/>
  <c r="AC99" i="3"/>
  <c r="AC39" i="3"/>
  <c r="AC100" i="3"/>
  <c r="AC49" i="3"/>
  <c r="AC102" i="3"/>
  <c r="AC96" i="3"/>
  <c r="AC5" i="3"/>
  <c r="AC12" i="3"/>
  <c r="AC24" i="3"/>
  <c r="AC32" i="3"/>
  <c r="AC40" i="3"/>
  <c r="AC48" i="3"/>
  <c r="AC56" i="3"/>
  <c r="AC73" i="3"/>
  <c r="AC88" i="3"/>
  <c r="AC101" i="3"/>
  <c r="AC4" i="3"/>
  <c r="AC13" i="3"/>
  <c r="AC58" i="3"/>
  <c r="AC43" i="3"/>
  <c r="AC104" i="3"/>
  <c r="AC6" i="3"/>
  <c r="AC14" i="3"/>
  <c r="AC26" i="3"/>
  <c r="AC34" i="3"/>
  <c r="AC42" i="3"/>
  <c r="AC50" i="3"/>
  <c r="AC59" i="3"/>
  <c r="AC75" i="3"/>
  <c r="AC95" i="3"/>
  <c r="AC103"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0" i="3"/>
  <c r="AB25" i="3"/>
  <c r="AB78" i="3"/>
  <c r="AB80" i="3"/>
  <c r="AB79" i="3"/>
  <c r="AB3" i="3"/>
  <c r="AB64" i="3"/>
  <c r="AB93" i="3"/>
  <c r="AB65" i="3"/>
  <c r="AB94" i="3"/>
  <c r="AB67" i="3"/>
  <c r="AB68" i="3"/>
  <c r="AB57" i="3"/>
  <c r="AB70" i="3"/>
  <c r="AB63" i="3"/>
  <c r="AB91" i="3"/>
  <c r="AB66" i="3"/>
  <c r="AB92" i="3"/>
  <c r="AB69" i="3"/>
  <c r="AB11" i="3"/>
  <c r="AB23" i="3"/>
  <c r="AB31" i="3"/>
  <c r="AB39" i="3"/>
  <c r="AB47" i="3"/>
  <c r="AB73" i="3"/>
  <c r="AB101" i="3"/>
  <c r="AB77" i="3"/>
  <c r="AB83" i="3"/>
  <c r="AB5" i="3"/>
  <c r="AB12" i="3"/>
  <c r="AB24" i="3"/>
  <c r="AB32" i="3"/>
  <c r="AB40" i="3"/>
  <c r="AB48" i="3"/>
  <c r="AB76" i="3"/>
  <c r="AB102" i="3"/>
  <c r="AB96" i="3"/>
  <c r="AB60" i="3"/>
  <c r="AB4" i="3"/>
  <c r="AB13" i="3"/>
  <c r="AB33" i="3"/>
  <c r="AB41" i="3"/>
  <c r="AB49" i="3"/>
  <c r="AB87" i="3"/>
  <c r="AB103" i="3"/>
  <c r="AB98" i="3"/>
  <c r="AB59" i="3"/>
  <c r="AB6" i="3"/>
  <c r="AB14" i="3"/>
  <c r="AB26" i="3"/>
  <c r="AB34" i="3"/>
  <c r="AB42" i="3"/>
  <c r="AB50" i="3"/>
  <c r="AB88" i="3"/>
  <c r="AB104" i="3"/>
  <c r="AB51" i="3"/>
  <c r="AB58" i="3"/>
  <c r="AB7" i="3"/>
  <c r="AB15" i="3"/>
  <c r="AB27" i="3"/>
  <c r="AB35" i="3"/>
  <c r="AB43" i="3"/>
  <c r="AB55" i="3"/>
  <c r="AB89" i="3"/>
  <c r="AB105" i="3"/>
  <c r="AB52" i="3"/>
  <c r="AB62" i="3"/>
  <c r="AB8" i="3"/>
  <c r="AB20" i="3"/>
  <c r="AB28" i="3"/>
  <c r="AB36" i="3"/>
  <c r="AB44" i="3"/>
  <c r="AB56" i="3"/>
  <c r="AB97" i="3"/>
  <c r="AB74" i="3"/>
  <c r="AB53" i="3"/>
  <c r="AB61" i="3"/>
  <c r="AB22" i="3"/>
  <c r="AB30" i="3"/>
  <c r="AB46" i="3"/>
  <c r="AB100" i="3"/>
  <c r="AB9" i="3"/>
  <c r="AB21" i="3"/>
  <c r="AB29" i="3"/>
  <c r="AB37" i="3"/>
  <c r="AB45" i="3"/>
  <c r="AB71" i="3"/>
  <c r="AB99" i="3"/>
  <c r="AB95"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0" i="3"/>
  <c r="Z3" i="3"/>
  <c r="Z78" i="3"/>
  <c r="Z80" i="3"/>
  <c r="Z79" i="3"/>
  <c r="A33" i="10"/>
  <c r="A21" i="10"/>
  <c r="A27" i="10"/>
  <c r="A31" i="10"/>
  <c r="A19" i="10"/>
  <c r="A34" i="10"/>
  <c r="A30" i="10"/>
  <c r="A18" i="10"/>
  <c r="A15" i="10"/>
  <c r="D15" i="10" s="1"/>
  <c r="A28" i="10"/>
  <c r="A16" i="10"/>
  <c r="A25" i="10"/>
  <c r="A24" i="10"/>
  <c r="A22" i="10"/>
  <c r="A13" i="10"/>
  <c r="A12" i="10"/>
  <c r="Z63" i="3"/>
  <c r="Z69" i="3"/>
  <c r="Z57" i="3"/>
  <c r="Z70" i="3"/>
  <c r="Z91" i="3"/>
  <c r="Z64" i="3"/>
  <c r="Z93" i="3"/>
  <c r="Z65" i="3"/>
  <c r="Z94" i="3"/>
  <c r="Z67" i="3"/>
  <c r="Z66" i="3"/>
  <c r="Z92" i="3"/>
  <c r="Z68" i="3"/>
  <c r="Z82" i="3"/>
  <c r="Z60" i="3"/>
  <c r="Z59" i="3"/>
  <c r="Z51" i="3"/>
  <c r="Z83" i="3"/>
  <c r="Z58" i="3"/>
  <c r="Z52" i="3"/>
  <c r="Z62" i="3"/>
  <c r="Z54" i="3"/>
  <c r="Z53" i="3"/>
  <c r="Z61" i="3"/>
  <c r="Z74" i="3"/>
  <c r="Z95" i="3"/>
  <c r="Z75" i="3"/>
  <c r="Z77" i="3"/>
  <c r="Z96" i="3"/>
  <c r="Z98"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7" i="3"/>
  <c r="Z99" i="3"/>
  <c r="Z100" i="3"/>
  <c r="Z101" i="3"/>
  <c r="Z102" i="3"/>
  <c r="Z103" i="3"/>
  <c r="Z104" i="3"/>
  <c r="Z105"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s="1"/>
  <c r="X16" i="3" l="1"/>
  <c r="X17" i="3"/>
  <c r="X18" i="3"/>
  <c r="X19" i="3"/>
  <c r="Y17" i="3"/>
  <c r="Y16" i="3"/>
  <c r="Y19" i="3"/>
  <c r="Y18" i="3"/>
  <c r="X84" i="3"/>
  <c r="X85" i="3"/>
  <c r="X86" i="3"/>
  <c r="X90" i="3"/>
  <c r="Y84" i="3"/>
  <c r="Y85" i="3"/>
  <c r="Y86" i="3"/>
  <c r="Y90" i="3"/>
  <c r="Y25" i="3"/>
  <c r="X25" i="3"/>
  <c r="X78" i="3"/>
  <c r="X80" i="3"/>
  <c r="X79" i="3"/>
  <c r="Y78" i="3"/>
  <c r="Y80" i="3"/>
  <c r="Y79" i="3"/>
  <c r="X3" i="3"/>
  <c r="Y3" i="3"/>
  <c r="X91" i="3"/>
  <c r="X92" i="3"/>
  <c r="X65" i="3"/>
  <c r="X64" i="3"/>
  <c r="X93" i="3"/>
  <c r="X94" i="3"/>
  <c r="X66" i="3"/>
  <c r="X67" i="3"/>
  <c r="X63" i="3"/>
  <c r="X69" i="3"/>
  <c r="X70" i="3"/>
  <c r="X57" i="3"/>
  <c r="X68" i="3"/>
  <c r="Y66" i="3"/>
  <c r="Y68" i="3"/>
  <c r="Y67" i="3"/>
  <c r="Y63" i="3"/>
  <c r="Y69" i="3"/>
  <c r="Y57" i="3"/>
  <c r="Y70" i="3"/>
  <c r="Y64" i="3"/>
  <c r="Y93" i="3"/>
  <c r="Y91" i="3"/>
  <c r="Y65" i="3"/>
  <c r="Y92" i="3"/>
  <c r="Y94" i="3"/>
  <c r="Y59" i="3"/>
  <c r="Y52" i="3"/>
  <c r="Y62" i="3"/>
  <c r="Y53" i="3"/>
  <c r="Y60" i="3"/>
  <c r="Y61" i="3"/>
  <c r="Y54" i="3"/>
  <c r="Y51" i="3"/>
  <c r="Y58" i="3"/>
  <c r="Y82" i="3"/>
  <c r="Y83" i="3"/>
  <c r="X53" i="3"/>
  <c r="X61" i="3"/>
  <c r="X54" i="3"/>
  <c r="X82" i="3"/>
  <c r="X83" i="3"/>
  <c r="X52" i="3"/>
  <c r="X62" i="3"/>
  <c r="X60" i="3"/>
  <c r="X59" i="3"/>
  <c r="X51" i="3"/>
  <c r="X58" i="3"/>
  <c r="X74" i="3"/>
  <c r="X95" i="3"/>
  <c r="X75" i="3"/>
  <c r="X77" i="3"/>
  <c r="X96" i="3"/>
  <c r="X98"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7" i="3"/>
  <c r="X99" i="3"/>
  <c r="X100" i="3"/>
  <c r="X101" i="3"/>
  <c r="X102" i="3"/>
  <c r="X103" i="3"/>
  <c r="X104" i="3"/>
  <c r="X105" i="3"/>
  <c r="Y74" i="3"/>
  <c r="Y95" i="3"/>
  <c r="Y75" i="3"/>
  <c r="Y77" i="3"/>
  <c r="Y96" i="3"/>
  <c r="Y98"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7" i="3"/>
  <c r="Y99" i="3"/>
  <c r="Y100" i="3"/>
  <c r="Y101" i="3"/>
  <c r="Y102" i="3"/>
  <c r="Y103" i="3"/>
  <c r="Y104" i="3"/>
  <c r="Y105" i="3"/>
  <c r="E88" i="8"/>
  <c r="D88" i="8"/>
  <c r="B88" i="8"/>
  <c r="A88" i="8"/>
  <c r="E87" i="8"/>
  <c r="D87" i="8"/>
  <c r="B87" i="8"/>
  <c r="A87" i="8"/>
  <c r="W81" i="3" s="1"/>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V16" i="3" l="1"/>
  <c r="V17" i="3"/>
  <c r="V18" i="3"/>
  <c r="V19" i="3"/>
  <c r="U18" i="3"/>
  <c r="U17" i="3"/>
  <c r="U16" i="3"/>
  <c r="U19" i="3"/>
  <c r="W17" i="3"/>
  <c r="W18" i="3"/>
  <c r="W16" i="3"/>
  <c r="W19" i="3"/>
  <c r="T16" i="3"/>
  <c r="T17" i="3"/>
  <c r="T18" i="3"/>
  <c r="T19" i="3"/>
  <c r="T84" i="3"/>
  <c r="T85" i="3"/>
  <c r="T86" i="3"/>
  <c r="T90" i="3"/>
  <c r="U84" i="3"/>
  <c r="U85" i="3"/>
  <c r="U86" i="3"/>
  <c r="U90" i="3"/>
  <c r="V84" i="3"/>
  <c r="V85" i="3"/>
  <c r="V86" i="3"/>
  <c r="V90" i="3"/>
  <c r="W84" i="3"/>
  <c r="W85" i="3"/>
  <c r="W86" i="3"/>
  <c r="W90"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4" i="3"/>
  <c r="V67" i="3"/>
  <c r="V66" i="3"/>
  <c r="V68" i="3"/>
  <c r="V70" i="3"/>
  <c r="V63" i="3"/>
  <c r="V69" i="3"/>
  <c r="V57" i="3"/>
  <c r="V91" i="3"/>
  <c r="V92" i="3"/>
  <c r="V64" i="3"/>
  <c r="V93" i="3"/>
  <c r="T67" i="3"/>
  <c r="T63" i="3"/>
  <c r="T68" i="3"/>
  <c r="T69" i="3"/>
  <c r="T57" i="3"/>
  <c r="T70" i="3"/>
  <c r="T64" i="3"/>
  <c r="T91" i="3"/>
  <c r="T92" i="3"/>
  <c r="T93" i="3"/>
  <c r="T65" i="3"/>
  <c r="T94" i="3"/>
  <c r="T66" i="3"/>
  <c r="U57" i="3"/>
  <c r="U70" i="3"/>
  <c r="U64" i="3"/>
  <c r="U91" i="3"/>
  <c r="U92" i="3"/>
  <c r="U93" i="3"/>
  <c r="U65" i="3"/>
  <c r="U94" i="3"/>
  <c r="U67" i="3"/>
  <c r="U66" i="3"/>
  <c r="U68" i="3"/>
  <c r="U69" i="3"/>
  <c r="U63" i="3"/>
  <c r="W68" i="3"/>
  <c r="W70" i="3"/>
  <c r="W63" i="3"/>
  <c r="W69" i="3"/>
  <c r="W57" i="3"/>
  <c r="W91" i="3"/>
  <c r="W92" i="3"/>
  <c r="W64" i="3"/>
  <c r="W93" i="3"/>
  <c r="W66" i="3"/>
  <c r="W67" i="3"/>
  <c r="W65" i="3"/>
  <c r="W94"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5" i="3"/>
  <c r="T75" i="3"/>
  <c r="T77" i="3"/>
  <c r="T96" i="3"/>
  <c r="T98"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7" i="3"/>
  <c r="T99" i="3"/>
  <c r="T100" i="3"/>
  <c r="T101" i="3"/>
  <c r="T102" i="3"/>
  <c r="T103" i="3"/>
  <c r="T104" i="3"/>
  <c r="T105" i="3"/>
  <c r="U74" i="3"/>
  <c r="U95" i="3"/>
  <c r="U75" i="3"/>
  <c r="U77" i="3"/>
  <c r="U96" i="3"/>
  <c r="U98"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7" i="3"/>
  <c r="U99" i="3"/>
  <c r="U100" i="3"/>
  <c r="U101" i="3"/>
  <c r="U102" i="3"/>
  <c r="U103" i="3"/>
  <c r="U104" i="3"/>
  <c r="U105" i="3"/>
  <c r="V74" i="3"/>
  <c r="V95" i="3"/>
  <c r="V75" i="3"/>
  <c r="V77" i="3"/>
  <c r="V96" i="3"/>
  <c r="V98"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7" i="3"/>
  <c r="V99" i="3"/>
  <c r="V100" i="3"/>
  <c r="V101" i="3"/>
  <c r="V102" i="3"/>
  <c r="V103" i="3"/>
  <c r="V104" i="3"/>
  <c r="V105" i="3"/>
  <c r="W74" i="3"/>
  <c r="W95" i="3"/>
  <c r="W75" i="3"/>
  <c r="W77" i="3"/>
  <c r="W96" i="3"/>
  <c r="W98"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7" i="3"/>
  <c r="W99" i="3"/>
  <c r="W100" i="3"/>
  <c r="W101" i="3"/>
  <c r="W102" i="3"/>
  <c r="W103" i="3"/>
  <c r="W104" i="3"/>
  <c r="W105"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0" i="3"/>
  <c r="S25" i="3"/>
  <c r="S78" i="3"/>
  <c r="S80" i="3"/>
  <c r="S79" i="3"/>
  <c r="S3" i="3"/>
  <c r="S64" i="3"/>
  <c r="S93" i="3"/>
  <c r="S65" i="3"/>
  <c r="S94" i="3"/>
  <c r="S66" i="3"/>
  <c r="S67" i="3"/>
  <c r="S68" i="3"/>
  <c r="S63" i="3"/>
  <c r="S69" i="3"/>
  <c r="S57" i="3"/>
  <c r="S70" i="3"/>
  <c r="S91" i="3"/>
  <c r="S92" i="3"/>
  <c r="S52" i="3"/>
  <c r="S62" i="3"/>
  <c r="S61" i="3"/>
  <c r="S53" i="3"/>
  <c r="S54" i="3"/>
  <c r="S82" i="3"/>
  <c r="S51" i="3"/>
  <c r="S58" i="3"/>
  <c r="S83" i="3"/>
  <c r="S60" i="3"/>
  <c r="S59" i="3"/>
  <c r="S74" i="3"/>
  <c r="S95" i="3"/>
  <c r="S75" i="3"/>
  <c r="S77" i="3"/>
  <c r="S96" i="3"/>
  <c r="S98" i="3"/>
  <c r="S99" i="3"/>
  <c r="S100" i="3"/>
  <c r="S102" i="3"/>
  <c r="S103" i="3"/>
  <c r="S104" i="3"/>
  <c r="S105" i="3"/>
  <c r="S101" i="3"/>
  <c r="S87" i="3"/>
  <c r="S88" i="3"/>
  <c r="S89" i="3"/>
  <c r="S28" i="3"/>
  <c r="S29" i="3"/>
  <c r="S35" i="3"/>
  <c r="S36" i="3"/>
  <c r="S41" i="3"/>
  <c r="S76" i="3"/>
  <c r="S46" i="3"/>
  <c r="S97"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0" i="3"/>
  <c r="Q84" i="3"/>
  <c r="Q85" i="3"/>
  <c r="Q86" i="3"/>
  <c r="Q90" i="3"/>
  <c r="R84" i="3"/>
  <c r="R85" i="3"/>
  <c r="R86" i="3"/>
  <c r="R90" i="3"/>
  <c r="R25" i="3"/>
  <c r="Q25" i="3"/>
  <c r="P3" i="3"/>
  <c r="P78" i="3"/>
  <c r="P80" i="3"/>
  <c r="P79" i="3"/>
  <c r="Q78" i="3"/>
  <c r="Q80" i="3"/>
  <c r="Q79" i="3"/>
  <c r="R78" i="3"/>
  <c r="R80" i="3"/>
  <c r="R79" i="3"/>
  <c r="R3" i="3"/>
  <c r="Q3" i="3"/>
  <c r="R63" i="3"/>
  <c r="R69" i="3"/>
  <c r="R92" i="3"/>
  <c r="R57" i="3"/>
  <c r="R70" i="3"/>
  <c r="R91" i="3"/>
  <c r="R64" i="3"/>
  <c r="R93" i="3"/>
  <c r="R66" i="3"/>
  <c r="R65" i="3"/>
  <c r="R94" i="3"/>
  <c r="R67" i="3"/>
  <c r="R68" i="3"/>
  <c r="P91" i="3"/>
  <c r="P92" i="3"/>
  <c r="P65" i="3"/>
  <c r="P64" i="3"/>
  <c r="P93" i="3"/>
  <c r="P94" i="3"/>
  <c r="P66" i="3"/>
  <c r="P67" i="3"/>
  <c r="P68" i="3"/>
  <c r="P63" i="3"/>
  <c r="P69" i="3"/>
  <c r="P70" i="3"/>
  <c r="P57" i="3"/>
  <c r="Q66" i="3"/>
  <c r="Q68" i="3"/>
  <c r="Q67" i="3"/>
  <c r="Q63" i="3"/>
  <c r="Q69" i="3"/>
  <c r="Q91" i="3"/>
  <c r="Q57" i="3"/>
  <c r="Q70" i="3"/>
  <c r="Q92" i="3"/>
  <c r="Q64" i="3"/>
  <c r="Q93" i="3"/>
  <c r="Q65" i="3"/>
  <c r="Q94"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5" i="3"/>
  <c r="P75" i="3"/>
  <c r="P77" i="3"/>
  <c r="P96" i="3"/>
  <c r="P98" i="3"/>
  <c r="P99" i="3"/>
  <c r="P100" i="3"/>
  <c r="P102" i="3"/>
  <c r="P103" i="3"/>
  <c r="P104" i="3"/>
  <c r="P105" i="3"/>
  <c r="P101" i="3"/>
  <c r="P87" i="3"/>
  <c r="P88" i="3"/>
  <c r="P89" i="3"/>
  <c r="Q74" i="3"/>
  <c r="Q95" i="3"/>
  <c r="Q75" i="3"/>
  <c r="Q77" i="3"/>
  <c r="Q96" i="3"/>
  <c r="Q98" i="3"/>
  <c r="Q99" i="3"/>
  <c r="Q100" i="3"/>
  <c r="Q102" i="3"/>
  <c r="Q103" i="3"/>
  <c r="Q104" i="3"/>
  <c r="Q105" i="3"/>
  <c r="Q101" i="3"/>
  <c r="Q87" i="3"/>
  <c r="Q88" i="3"/>
  <c r="Q89" i="3"/>
  <c r="R74" i="3"/>
  <c r="R95" i="3"/>
  <c r="R75" i="3"/>
  <c r="R77" i="3"/>
  <c r="R96" i="3"/>
  <c r="R98" i="3"/>
  <c r="R99" i="3"/>
  <c r="R100" i="3"/>
  <c r="R102" i="3"/>
  <c r="R103" i="3"/>
  <c r="R104" i="3"/>
  <c r="R105" i="3"/>
  <c r="R101" i="3"/>
  <c r="R87" i="3"/>
  <c r="R88" i="3"/>
  <c r="R89" i="3"/>
  <c r="P28" i="3"/>
  <c r="P29" i="3"/>
  <c r="P35" i="3"/>
  <c r="P36" i="3"/>
  <c r="P41" i="3"/>
  <c r="P76" i="3"/>
  <c r="P46" i="3"/>
  <c r="P97" i="3"/>
  <c r="Q28" i="3"/>
  <c r="Q29" i="3"/>
  <c r="Q35" i="3"/>
  <c r="Q36" i="3"/>
  <c r="Q41" i="3"/>
  <c r="Q76" i="3"/>
  <c r="Q46" i="3"/>
  <c r="Q97" i="3"/>
  <c r="R28" i="3"/>
  <c r="R29" i="3"/>
  <c r="R35" i="3"/>
  <c r="R36" i="3"/>
  <c r="R41" i="3"/>
  <c r="R76" i="3"/>
  <c r="R46" i="3"/>
  <c r="R97"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<sst xmlns="http://schemas.openxmlformats.org/spreadsheetml/2006/main" count="3477" uniqueCount="503">
  <si>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</si>
  <si>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</si>
  <si>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</si>
  <si>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</si>
  <si>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</si>
  <si>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</si>
  <si>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</si>
  <si>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</si>
  <si>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</si>
  <si>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</si>
  <si>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</si>
  <si>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</si>
  <si>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</si>
  <si>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</si>
  <si>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</si>
  <si>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</si>
  <si>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</si>
  <si>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1 (February - May)</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</si>
  <si>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</si>
  <si>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</si>
  <si>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</si>
  <si>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</si>
  <si>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</si>
  <si>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</si>
  <si>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</si>
  <si>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</si>
  <si>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</si>
  <si>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</si>
  <si>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</si>
  <si>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</si>
  <si>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</si>
  <si>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</si>
  <si>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</si>
  <si>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</si>
  <si>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</si>
  <si>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</si>
  <si>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</si>
  <si>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</si>
  <si>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</si>
  <si>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TESOL</t>
  </si>
  <si>
    <t>Master of Education</t>
  </si>
  <si>
    <t>Specialisation:</t>
  </si>
  <si>
    <t>Choose your MEd Specialisation (drop-down list)</t>
  </si>
  <si>
    <t>Choose your commencing study period (drop-down list)</t>
  </si>
  <si>
    <t>Pre Requisites</t>
  </si>
  <si>
    <t>Option Units</t>
  </si>
  <si>
    <t>TableCourses</t>
  </si>
  <si>
    <t>Choose your Course</t>
  </si>
  <si>
    <t>SM Version</t>
  </si>
  <si>
    <t>SM Effective Date</t>
  </si>
  <si>
    <t>Akari Iteration</t>
  </si>
  <si>
    <t>Akari Effective Date</t>
  </si>
  <si>
    <t>Credit Points</t>
  </si>
  <si>
    <t>SM Availabilities</t>
  </si>
  <si>
    <t>Graduate Certificate in Education</t>
  </si>
  <si>
    <t>GC-EDUC</t>
  </si>
  <si>
    <t>v.1</t>
  </si>
  <si>
    <t>100 credit points required</t>
  </si>
  <si>
    <r>
      <rPr>
        <sz val="10"/>
        <color rgb="FF000000"/>
        <rFont val="Arial"/>
        <family val="2"/>
      </rPr>
      <t>Int &amp; FO - SSP1;</t>
    </r>
    <r>
      <rPr>
        <sz val="10"/>
        <color rgb="FF000000"/>
        <rFont val="Arial"/>
        <family val="2"/>
      </rPr>
      <t>SSP3</t>
    </r>
  </si>
  <si>
    <t>RangeUnitsetsECEPR</t>
  </si>
  <si>
    <t>MJRP-TCHECSSP1</t>
  </si>
  <si>
    <t>MJRP-TCHECSSP2</t>
  </si>
  <si>
    <t>MJRP-TCHECSSP3</t>
  </si>
  <si>
    <t>MJRP-TCHECSSP4</t>
  </si>
  <si>
    <t>MJRP-TCHPRSSP1</t>
  </si>
  <si>
    <t>MJRP-TCHPRSSP2</t>
  </si>
  <si>
    <t>MJRP-TCHPRSSP3</t>
  </si>
  <si>
    <t>MJRP-TCHPRSSP4</t>
  </si>
  <si>
    <t>Graduate Certificate in Higher Education Innovative Learning and Teaching</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</si>
  <si>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</si>
  <si>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</si>
  <si>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</si>
  <si>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</si>
  <si>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</si>
  <si>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</si>
  <si>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</si>
  <si>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</si>
  <si>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</si>
  <si>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</si>
  <si>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</si>
  <si>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</si>
  <si>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</si>
  <si>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</si>
  <si>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</si>
  <si>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</si>
  <si>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</si>
  <si>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</si>
  <si>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</si>
  <si>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</si>
  <si>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</si>
  <si>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</si>
  <si>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</si>
  <si>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</si>
  <si>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</si>
  <si>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</si>
  <si>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</si>
  <si>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</si>
  <si>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</si>
  <si>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</si>
  <si>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EDEC5001</t>
  </si>
  <si>
    <t>EDEC5010</t>
  </si>
  <si>
    <t>EDPR5001</t>
  </si>
  <si>
    <t>MC-TEACH</t>
  </si>
  <si>
    <t>400 credit points required</t>
  </si>
  <si>
    <t>No structural changes</t>
  </si>
  <si>
    <t>EDPR5005</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</si>
  <si>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</si>
  <si>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</si>
  <si>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</si>
  <si>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</si>
  <si>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</si>
  <si>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</si>
  <si>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</si>
  <si>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</si>
  <si>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</si>
  <si>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</si>
  <si>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</si>
  <si>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</si>
  <si>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</si>
  <si>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</si>
  <si>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</si>
  <si>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</si>
  <si>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</si>
  <si>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</si>
  <si>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</si>
  <si>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</si>
  <si>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</si>
  <si>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</si>
  <si>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</si>
  <si>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</si>
  <si>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Y3SSP1</t>
  </si>
  <si>
    <t>--</t>
  </si>
  <si>
    <t>Y3SSP2</t>
  </si>
  <si>
    <t>Y3SSP3</t>
  </si>
  <si>
    <t>Y3SSP4</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</si>
  <si>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</si>
  <si>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</si>
  <si>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</si>
  <si>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</si>
  <si>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</si>
  <si>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</si>
  <si>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</si>
  <si>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</si>
  <si>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</si>
  <si>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</si>
  <si>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</si>
  <si>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</si>
  <si>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</si>
  <si>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</si>
  <si>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</si>
  <si>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</si>
  <si>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</si>
  <si>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</si>
  <si>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</si>
  <si>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</si>
  <si>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</si>
  <si>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</si>
  <si>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</si>
  <si>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</si>
  <si>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</si>
  <si>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</si>
  <si>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</si>
  <si>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</si>
  <si>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</si>
  <si>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</si>
  <si>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</si>
  <si>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</si>
  <si>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</si>
  <si>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</si>
  <si>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</si>
  <si>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</si>
  <si>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</si>
  <si>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</si>
  <si>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</si>
  <si>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</si>
  <si>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</si>
  <si>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</si>
  <si>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</si>
  <si>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</si>
  <si>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</si>
  <si>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</si>
  <si>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</si>
  <si>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3 (August - November)</t>
  </si>
  <si>
    <t>Special Study Period 4 (November - February)</t>
  </si>
  <si>
    <t>EDUC6015</t>
  </si>
  <si>
    <t>-</t>
  </si>
  <si>
    <t>TableStudyPeriodsShort</t>
  </si>
  <si>
    <t>DropDownTESOL_APLING</t>
  </si>
  <si>
    <t>Choose your Course (drop-down list)</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</si>
  <si>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</si>
  <si>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</si>
  <si>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</si>
  <si>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</si>
  <si>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</si>
  <si>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</si>
  <si>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</si>
  <si>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</si>
  <si>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</si>
  <si>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</si>
  <si>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</si>
  <si>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</si>
  <si>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</si>
  <si>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</si>
  <si>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</si>
  <si>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</si>
  <si>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</si>
  <si>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</si>
  <si>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</si>
  <si>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</si>
  <si>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</si>
  <si>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</si>
  <si>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</si>
  <si>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</si>
  <si>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Need to create front pages for GCs highlighted above.</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</si>
  <si>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</si>
  <si>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</si>
  <si>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</si>
  <si>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</si>
  <si>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</si>
  <si>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</si>
  <si>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</si>
  <si>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</si>
  <si>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</si>
  <si>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</si>
  <si>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</si>
  <si>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</si>
  <si>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</si>
  <si>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</si>
  <si>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</si>
  <si>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</si>
  <si>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</si>
  <si>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</si>
  <si>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</si>
  <si>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</si>
  <si>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</si>
  <si>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Option9</t>
  </si>
  <si>
    <t>INDS5010</t>
  </si>
  <si>
    <t>Option10</t>
  </si>
  <si>
    <t>Primary Education Major (GradDipEdu)</t>
  </si>
  <si>
    <t>2025 Full-Time (Accelerated Study) Enrolment Planner</t>
  </si>
  <si>
    <t>Secondary Education Major (GradDipEdu)</t>
  </si>
  <si>
    <t>Stream/Teaching Area:</t>
  </si>
  <si>
    <t>Choose your Teaching Area (drop-down list)</t>
  </si>
  <si>
    <t>Stream version:</t>
  </si>
  <si>
    <t>Teaching Area Subjects</t>
  </si>
  <si>
    <t>The Arts Teaching Area</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</si>
  <si>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</si>
  <si>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</si>
  <si>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</si>
  <si>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</si>
  <si>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</si>
  <si>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</si>
  <si>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</si>
  <si>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</si>
  <si>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</si>
  <si>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</si>
  <si>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</si>
  <si>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</si>
  <si>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</si>
  <si>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</si>
  <si>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</si>
  <si>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</si>
  <si>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</si>
  <si>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</si>
  <si>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</si>
  <si>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</si>
  <si>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</si>
  <si>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</si>
  <si>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</si>
  <si>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</si>
  <si>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</si>
  <si>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</si>
  <si>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</si>
  <si>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</si>
  <si>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</si>
  <si>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</si>
  <si>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</si>
  <si>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</si>
  <si>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</si>
  <si>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</si>
  <si>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</si>
  <si>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</si>
  <si>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</si>
  <si>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</si>
  <si>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</si>
  <si>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</si>
  <si>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</si>
  <si>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</si>
  <si>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</si>
  <si>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</si>
  <si>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</si>
  <si>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</si>
  <si>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</si>
  <si>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</si>
  <si>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</si>
  <si>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</si>
  <si>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</si>
  <si>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</si>
  <si>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</si>
  <si>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</si>
  <si>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</si>
  <si>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</si>
  <si>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</si>
  <si>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</si>
  <si>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</si>
  <si>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</si>
  <si>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</si>
  <si>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</si>
  <si>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</si>
  <si>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</si>
  <si>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</si>
  <si>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</si>
  <si>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</si>
  <si>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</si>
  <si>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</si>
  <si>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</si>
  <si>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</si>
  <si>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</si>
  <si>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</si>
  <si>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</si>
  <si>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</si>
  <si>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</si>
  <si>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</si>
  <si>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</si>
  <si>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</si>
  <si>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</si>
  <si>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</si>
  <si>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</si>
  <si>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</si>
  <si>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</si>
  <si>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</si>
  <si>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</si>
  <si>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</si>
  <si>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</si>
  <si>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</si>
  <si>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</si>
  <si>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</si>
  <si>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</si>
  <si>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</si>
  <si>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</si>
  <si>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</si>
  <si>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</si>
  <si>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</si>
  <si>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</si>
  <si>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EDHE5007</t>
  </si>
  <si>
    <t>The Learning Cycle: Design and Curriculum</t>
  </si>
  <si>
    <t>EDHE5008</t>
  </si>
  <si>
    <t>Design Thinking and Educational Innovation</t>
  </si>
  <si>
    <t>EDHE5010</t>
  </si>
  <si>
    <t>Research for the Scholarship of Learning and Teaching</t>
  </si>
  <si>
    <t>EDHE5011</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</si>
  <si>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</si>
  <si>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</si>
  <si>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</si>
  <si>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</si>
  <si>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</si>
  <si>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</si>
  <si>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</si>
  <si>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</si>
  <si>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</si>
  <si>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</si>
  <si>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</si>
  <si>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</si>
  <si>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</si>
  <si>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</si>
  <si>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</si>
  <si>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</si>
  <si>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</si>
  <si>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</si>
  <si>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</si>
  <si>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</si>
  <si>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</si>
  <si>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</si>
  <si>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</si>
  <si>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</si>
  <si>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</si>
  <si>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</si>
  <si>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</si>
  <si>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</si>
  <si>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</si>
  <si>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</si>
  <si>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</si>
  <si>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</si>
  <si>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</si>
  <si>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</si>
  <si>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</si>
  <si>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</si>
  <si>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</si>
  <si>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</si>
  <si>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</si>
  <si>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</si>
  <si>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</si>
  <si>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</si>
  <si>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</si>
  <si>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</si>
  <si>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</si>
  <si>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</si>
  <si>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</si>
  <si>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</si>
  <si>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</si>
  <si>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</si>
  <si>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</si>
  <si>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</si>
  <si>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</si>
  <si>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</si>
  <si>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</si>
  <si>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</si>
  <si>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</si>
  <si>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</si>
  <si>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</si>
  <si>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</si>
  <si>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</si>
  <si>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</si>
  <si>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</si>
  <si>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</si>
  <si>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</si>
  <si>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</si>
  <si>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</si>
  <si>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</si>
  <si>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</si>
  <si>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</si>
  <si>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</si>
  <si>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</si>
  <si>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</si>
  <si>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</si>
  <si>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</si>
  <si>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</si>
  <si>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</si>
  <si>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</si>
  <si>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</si>
  <si>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</si>
  <si>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</si>
  <si>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</si>
  <si>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</si>
  <si>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</si>
  <si>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</si>
  <si>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</si>
  <si>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</si>
  <si>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</si>
  <si>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</si>
  <si>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</si>
  <si>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</si>
  <si>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</si>
  <si>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</si>
  <si>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</si>
  <si>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</si>
  <si>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</si>
  <si>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</si>
  <si>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</si>
  <si>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</si>
  <si>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</si>
  <si>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</si>
  <si>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</si>
  <si>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</si>
  <si>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</si>
  <si>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</si>
  <si>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</si>
  <si>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</si>
  <si>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</si>
  <si>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</si>
  <si>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</si>
  <si>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</si>
  <si>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</si>
  <si>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</si>
  <si>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</si>
  <si>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</si>
  <si>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</si>
  <si>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</si>
  <si>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</si>
  <si>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</si>
  <si>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</si>
  <si>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</si>
  <si>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</si>
  <si>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</si>
  <si>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</si>
  <si>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</si>
  <si>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</si>
  <si>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</si>
  <si>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</si>
  <si>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</si>
  <si>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</si>
  <si>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</si>
  <si>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</si>
  <si>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</si>
  <si>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GD-EDUC (Prim Accel)</t>
  </si>
  <si>
    <t>Accelerated GD needs an availability for EDPR5003 in SSP2 (was online only in 2024)</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</si>
  <si>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</si>
  <si>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</si>
  <si>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</si>
  <si>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</si>
  <si>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</si>
  <si>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</si>
  <si>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</si>
  <si>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</si>
  <si>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</si>
  <si>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Added 1 option unit</t>
  </si>
  <si>
    <t>Akari change not applicable to BEN</t>
  </si>
  <si>
    <t>Pre-reqs (8/11/2024)</t>
  </si>
  <si>
    <t>EDPR5000 or EDUC5030</t>
  </si>
  <si>
    <t>Note</t>
  </si>
  <si>
    <t>Will not publish Accel Planner</t>
  </si>
  <si>
    <t>No Action, noted on planner.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</si>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</sst>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sz val="10"/>
      <color rgb="FF000000"/>
      <name val="Arial"/>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1" fillId="13" borderId="0" applyNumberFormat="0" applyBorder="0" applyAlignment="0" applyProtection="0"/>
  </cellStyleXfs>
  <cellXfs count="275">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14" fontId="22" fillId="2" borderId="0" xfId="1" applyNumberFormat="1" applyFont="1" applyFill="1" applyAlignment="1">
      <alignment vertical="center"/>
    </xf>
    <xf numFmtId="0" fontId="45" fillId="10" borderId="0" xfId="1" applyFont="1" applyFill="1" applyAlignment="1" applyProtection="1">
      <alignment vertical="center"/>
      <protection locked="0"/>
    </xf>
    <xf numFmtId="0" fontId="35" fillId="10" borderId="18" xfId="1" applyFont="1" applyFill="1" applyBorder="1" applyAlignment="1">
      <alignment horizontal="center" vertical="center"/>
    </xf>
    <xf numFmtId="0" fontId="35" fillId="10" borderId="19" xfId="1" applyFont="1" applyFill="1" applyBorder="1" applyAlignment="1">
      <alignment horizontal="center" vertical="center"/>
    </xf>
    <xf numFmtId="0" fontId="35" fillId="10" borderId="19" xfId="1" applyFont="1" applyFill="1" applyBorder="1" applyAlignment="1">
      <alignment vertical="center"/>
    </xf>
    <xf numFmtId="0" fontId="35" fillId="10" borderId="19" xfId="1" applyFont="1" applyFill="1" applyBorder="1" applyAlignment="1">
      <alignment vertical="center" wrapText="1"/>
    </xf>
    <xf numFmtId="0" fontId="35" fillId="10" borderId="19" xfId="1" applyFont="1" applyFill="1" applyBorder="1" applyAlignment="1">
      <alignment horizontal="center" vertical="center" wrapText="1"/>
    </xf>
    <xf numFmtId="0" fontId="22" fillId="10" borderId="22" xfId="1" applyFont="1" applyFill="1" applyBorder="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6" fillId="10" borderId="0" xfId="1" applyFont="1" applyFill="1" applyAlignment="1">
      <alignment horizontal="center" vertical="center" wrapText="1"/>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19" xfId="1" applyFont="1" applyFill="1" applyBorder="1" applyAlignment="1">
      <alignment vertical="center"/>
    </xf>
    <xf numFmtId="0" fontId="35" fillId="4" borderId="19" xfId="1" applyFont="1" applyFill="1" applyBorder="1" applyAlignment="1">
      <alignment vertical="center" wrapText="1"/>
    </xf>
    <xf numFmtId="0" fontId="35" fillId="4" borderId="19"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23"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26" fillId="4" borderId="0" xfId="1" applyFont="1" applyFill="1" applyAlignment="1">
      <alignment horizontal="center" vertical="center" wrapText="1"/>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23" fillId="7" borderId="0" xfId="1" applyFont="1" applyFill="1" applyAlignment="1">
      <alignment horizontal="left" vertical="center" shrinkToFit="1"/>
    </xf>
    <xf numFmtId="0" fontId="22" fillId="2" borderId="19" xfId="1" applyFont="1" applyFill="1" applyBorder="1" applyAlignment="1">
      <alignment vertical="center" shrinkToFit="1"/>
    </xf>
    <xf numFmtId="0" fontId="22" fillId="0" borderId="19" xfId="1" applyFont="1" applyBorder="1" applyAlignment="1">
      <alignment horizontal="left" vertical="center" shrinkToFit="1"/>
    </xf>
    <xf numFmtId="0" fontId="22" fillId="0" borderId="19" xfId="1" applyFont="1" applyBorder="1" applyAlignment="1">
      <alignment vertical="center" shrinkToFit="1"/>
    </xf>
    <xf numFmtId="0" fontId="22" fillId="11" borderId="0" xfId="1" applyFont="1" applyFill="1" applyAlignment="1">
      <alignment vertical="center" shrinkToFit="1"/>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60"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59" fillId="14" borderId="0" xfId="0" applyFont="1" applyFill="1" applyAlignment="1" applyProtection="1">
      <alignment horizontal="center"/>
      <protection locked="0"/>
    </xf>
    <xf numFmtId="0" fontId="62" fillId="0" borderId="0" xfId="0" applyFont="1" applyAlignment="1" applyProtection="1">
      <alignment horizontal="center"/>
      <protection locked="0"/>
    </xf>
    <xf numFmtId="14" fontId="62" fillId="0" borderId="0" xfId="0" applyNumberFormat="1" applyFont="1" applyAlignment="1" applyProtection="1">
      <alignment horizontal="center"/>
      <protection locked="0"/>
    </xf>
    <xf numFmtId="14" fontId="63" fillId="0" borderId="0" xfId="0" applyNumberFormat="1" applyFont="1"/>
    <xf numFmtId="0" fontId="63" fillId="0" borderId="0" xfId="0" applyFont="1" applyAlignment="1">
      <alignment horizontal="center"/>
    </xf>
    <xf numFmtId="14" fontId="61" fillId="13" borderId="0" xfId="3" applyNumberFormat="1" applyAlignment="1">
      <alignment horizontal="center"/>
    </xf>
    <xf numFmtId="0" fontId="63" fillId="0" borderId="0" xfId="0" applyFont="1"/>
    <xf numFmtId="0" fontId="62" fillId="0" borderId="0" xfId="0" applyFont="1" applyAlignment="1">
      <alignment horizontal="center"/>
    </xf>
    <xf numFmtId="0" fontId="64" fillId="0" borderId="0" xfId="0" applyFont="1"/>
    <xf numFmtId="0" fontId="10" fillId="8" borderId="0" xfId="0" applyFont="1" applyFill="1"/>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19" xfId="1" applyFont="1" applyBorder="1" applyAlignment="1">
      <alignment horizontal="center" vertical="center" shrinkToFit="1"/>
    </xf>
    <xf numFmtId="0" fontId="22" fillId="2" borderId="22" xfId="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55" fillId="2" borderId="0" xfId="1" applyFont="1" applyFill="1" applyAlignment="1" applyProtection="1">
      <alignment vertical="center" shrinkToFit="1"/>
      <protection locked="0"/>
    </xf>
    <xf numFmtId="0" fontId="62" fillId="5" borderId="0" xfId="0" applyFont="1" applyFill="1"/>
    <xf numFmtId="0" fontId="61" fillId="13" borderId="0" xfId="3"/>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cellXfs>
  <cellStyles count="4">
    <cellStyle name="Good" xfId="3" builtinId="26"/>
    <cellStyle name="Hyperlink" xfId="2" builtinId="8"/>
    <cellStyle name="Normal" xfId="0" builtinId="0"/>
    <cellStyle name="Normal 2" xfId="1" xr:uid="{00000000-0005-0000-0000-000003000000}"/>
  </cellStyles>
  <dxfs count="491">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553920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249025" y="676275"/>
          <a:ext cx="5629275" cy="553920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21</xdr:col>
      <xdr:colOff>666750</xdr:colOff>
      <xdr:row>19</xdr:row>
      <xdr:rowOff>85725</xdr:rowOff>
    </xdr:from>
    <xdr:to>
      <xdr:col>26</xdr:col>
      <xdr:colOff>95251</xdr:colOff>
      <xdr:row>20</xdr:row>
      <xdr:rowOff>162320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916025" y="4333875"/>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657423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657423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0</xdr:colOff>
      <xdr:row>23</xdr:row>
      <xdr:rowOff>58417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087475" y="52876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0" dataDxfId="489">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88"/>
    <tableColumn id="1" xr3:uid="{00000000-0010-0000-0000-000001000000}" name="UDC" dataDxfId="487"/>
    <tableColumn id="2" xr3:uid="{00000000-0010-0000-0000-000002000000}" name="SM Version" dataDxfId="486"/>
    <tableColumn id="5" xr3:uid="{00000000-0010-0000-0000-000005000000}" name="SM Effective Date" dataDxfId="485"/>
    <tableColumn id="4" xr3:uid="{00000000-0010-0000-0000-000004000000}" name="Akari Iteration" dataDxfId="484"/>
    <tableColumn id="7" xr3:uid="{00000000-0010-0000-0000-000007000000}" name="Akari Effective Date" dataDxfId="483"/>
    <tableColumn id="6" xr3:uid="{00000000-0010-0000-0000-000006000000}" name="Credit Points" dataDxfId="482"/>
    <tableColumn id="8" xr3:uid="{00000000-0010-0000-0000-000008000000}" name="SM Availabilities" dataDxfId="4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0" dataDxfId="479">
  <autoFilter ref="A28:E32" xr:uid="{00000000-0009-0000-0100-000004000000}"/>
  <tableColumns count="5">
    <tableColumn id="1" xr3:uid="{00000000-0010-0000-0100-000001000000}" name="Choose your commencing study period (drop-down list)" dataDxfId="478"/>
    <tableColumn id="2" xr3:uid="{00000000-0010-0000-0100-000002000000}" name="START" dataDxfId="477"/>
    <tableColumn id="3" xr3:uid="{00000000-0010-0000-0100-000003000000}" name="Next" dataDxfId="476"/>
    <tableColumn id="4" xr3:uid="{00000000-0010-0000-0100-000004000000}" name="Next2" dataDxfId="475"/>
    <tableColumn id="5" xr3:uid="{00000000-0010-0000-0100-000005000000}" name="Next3" dataDxfId="4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73" dataDxfId="472">
  <autoFilter ref="A21:G25" xr:uid="{00000000-0009-0000-0100-000022000000}"/>
  <tableColumns count="7">
    <tableColumn id="1" xr3:uid="{00000000-0010-0000-0200-000001000000}" name="Choose your MEd Specialisation (drop-down list)" dataDxfId="471"/>
    <tableColumn id="2" xr3:uid="{00000000-0010-0000-0200-000002000000}" name="UDC" dataDxfId="470"/>
    <tableColumn id="3" xr3:uid="{00000000-0010-0000-0200-000003000000}" name="SM Version" dataDxfId="469"/>
    <tableColumn id="4" xr3:uid="{00000000-0010-0000-0200-000004000000}" name="SM Effective Date" dataDxfId="468"/>
    <tableColumn id="5" xr3:uid="{00000000-0010-0000-0200-000005000000}" name="Akari Iteration" dataDxfId="467"/>
    <tableColumn id="6" xr3:uid="{00000000-0010-0000-0200-000006000000}" name="Akari Effective Date" dataDxfId="466"/>
    <tableColumn id="7" xr3:uid="{00000000-0010-0000-0200-000007000000}" name="Credit Points" dataDxfId="46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64" dataDxfId="463">
  <autoFilter ref="A15:G18" xr:uid="{00000000-0009-0000-0100-000005000000}"/>
  <tableColumns count="7">
    <tableColumn id="1" xr3:uid="{00000000-0010-0000-0300-000001000000}" name="Choose your Major (drop-down list)" dataDxfId="462"/>
    <tableColumn id="2" xr3:uid="{00000000-0010-0000-0300-000002000000}" name="UDC" dataDxfId="461"/>
    <tableColumn id="3" xr3:uid="{00000000-0010-0000-0300-000003000000}" name="SM Version" dataDxfId="460"/>
    <tableColumn id="4" xr3:uid="{00000000-0010-0000-0300-000004000000}" name="SM Effective Date" dataDxfId="459"/>
    <tableColumn id="5" xr3:uid="{00000000-0010-0000-0300-000005000000}" name="Akari Iteration" dataDxfId="458"/>
    <tableColumn id="6" xr3:uid="{00000000-0010-0000-0300-000006000000}" name="Akari Effective Date" dataDxfId="457"/>
    <tableColumn id="7" xr3:uid="{00000000-0010-0000-0300-000007000000}" name="Credit Points" dataDxfId="45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55" dataDxfId="454">
  <autoFilter ref="A35:E37" xr:uid="{00000000-0009-0000-0100-000038000000}"/>
  <tableColumns count="5">
    <tableColumn id="1" xr3:uid="{00000000-0010-0000-0400-000001000000}" name="Choose your commencing study period (drop-down list)" dataDxfId="453"/>
    <tableColumn id="2" xr3:uid="{00000000-0010-0000-0400-000002000000}" name="START" dataDxfId="452"/>
    <tableColumn id="3" xr3:uid="{00000000-0010-0000-0400-000003000000}" name="Next" dataDxfId="451"/>
    <tableColumn id="4" xr3:uid="{00000000-0010-0000-0400-000004000000}" name="Next2" dataDxfId="450"/>
    <tableColumn id="5" xr3:uid="{00000000-0010-0000-0400-000005000000}" name="Next3" dataDxfId="449"/>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48" dataDxfId="447">
  <autoFilter ref="A6:G12" xr:uid="{00000000-0009-0000-0100-000014000000}"/>
  <tableColumns count="7">
    <tableColumn id="1" xr3:uid="{00000000-0010-0000-0500-000001000000}" name="Choose your First Approved Teaching Area (drop-down list)" dataDxfId="446"/>
    <tableColumn id="2" xr3:uid="{00000000-0010-0000-0500-000002000000}" name="UDC" dataDxfId="445"/>
    <tableColumn id="6" xr3:uid="{00000000-0010-0000-0500-000006000000}" name="SM Version" dataDxfId="444"/>
    <tableColumn id="3" xr3:uid="{00000000-0010-0000-0500-000003000000}" name="SM Effective Date" dataDxfId="443"/>
    <tableColumn id="4" xr3:uid="{00000000-0010-0000-0500-000004000000}" name="Akari Iteration" dataDxfId="442"/>
    <tableColumn id="5" xr3:uid="{00000000-0010-0000-0500-000005000000}" name="Akari Effective Date" dataDxfId="441"/>
    <tableColumn id="7" xr3:uid="{00000000-0010-0000-0500-000007000000}" name="Credit Points" dataDxfId="44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39" dataDxfId="438">
  <autoFilter ref="A15:G22" xr:uid="{00000000-0009-0000-0100-000015000000}"/>
  <tableColumns count="7">
    <tableColumn id="1" xr3:uid="{00000000-0010-0000-0600-000001000000}" name="Choose your Second Approved Teaching Area" dataDxfId="437"/>
    <tableColumn id="2" xr3:uid="{00000000-0010-0000-0600-000002000000}" name="UDC" dataDxfId="436"/>
    <tableColumn id="3" xr3:uid="{00000000-0010-0000-0600-000003000000}" name="SM Version" dataDxfId="435"/>
    <tableColumn id="4" xr3:uid="{00000000-0010-0000-0600-000004000000}" name="SM Effective Date" dataDxfId="434"/>
    <tableColumn id="5" xr3:uid="{00000000-0010-0000-0600-000005000000}" name="Akari Iteration" dataDxfId="433"/>
    <tableColumn id="6" xr3:uid="{00000000-0010-0000-0600-000006000000}" name="Akari Effective Date" dataDxfId="432"/>
    <tableColumn id="7" xr3:uid="{00000000-0010-0000-0600-000007000000}" name="Credit Points" dataDxfId="43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0" dataDxfId="429">
  <autoFilter ref="A25:G27" xr:uid="{00000000-0009-0000-0100-000033000000}"/>
  <tableColumns count="7">
    <tableColumn id="1" xr3:uid="{00000000-0010-0000-0700-000001000000}" name="Choose your Major" dataDxfId="428"/>
    <tableColumn id="2" xr3:uid="{00000000-0010-0000-0700-000002000000}" name="UDC" dataDxfId="427"/>
    <tableColumn id="3" xr3:uid="{00000000-0010-0000-0700-000003000000}" name="SM Version" dataDxfId="426"/>
    <tableColumn id="4" xr3:uid="{00000000-0010-0000-0700-000004000000}" name="SM Effective Date" dataDxfId="425"/>
    <tableColumn id="5" xr3:uid="{00000000-0010-0000-0700-000005000000}" name="Akari Iteration" dataDxfId="424"/>
    <tableColumn id="6" xr3:uid="{00000000-0010-0000-0700-000006000000}" name="Akari Effective Date" dataDxfId="423"/>
    <tableColumn id="7" xr3:uid="{00000000-0010-0000-0700-000007000000}" name="Credit Points" dataDxfId="42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5" totalsRowShown="0" headerRowDxfId="421" dataDxfId="420">
  <autoFilter ref="A2:AL105" xr:uid="{00000000-0009-0000-0100-000002000000}"/>
  <sortState xmlns:xlrd2="http://schemas.microsoft.com/office/spreadsheetml/2017/richdata2" ref="A3:AL110">
    <sortCondition ref="A2:A110"/>
  </sortState>
  <tableColumns count="38">
    <tableColumn id="1" xr3:uid="{00000000-0010-0000-0800-000001000000}" name="UDC" dataDxfId="419"/>
    <tableColumn id="2" xr3:uid="{00000000-0010-0000-0800-000002000000}" name="Ver" dataDxfId="418"/>
    <tableColumn id="3" xr3:uid="{00000000-0010-0000-0800-000003000000}" name="OUA Cd" dataDxfId="417"/>
    <tableColumn id="4" xr3:uid="{00000000-0010-0000-0800-000004000000}" name="Title" dataDxfId="416"/>
    <tableColumn id="5" xr3:uid="{00000000-0010-0000-0800-000005000000}" name="Credits" dataDxfId="415"/>
    <tableColumn id="6" xr3:uid="{00000000-0010-0000-0800-000006000000}" name="Pre-reqs (8/11/2024)" dataDxfId="414"/>
    <tableColumn id="12" xr3:uid="{00000000-0010-0000-0800-00000C000000}" name="SSP1 BEN" dataDxfId="413">
      <calculatedColumnFormula>IFERROR(IF(VLOOKUP(TableHandbook[[#This Row],[UDC]],TableAvailabilities[],2,FALSE)&gt;0,"Y",""),"")</calculatedColumnFormula>
    </tableColumn>
    <tableColumn id="17" xr3:uid="{00000000-0010-0000-0800-000011000000}" name="SSP1 FO" dataDxfId="412">
      <calculatedColumnFormula>IFERROR(IF(VLOOKUP(TableHandbook[[#This Row],[UDC]],TableAvailabilities[],3,FALSE)&gt;0,"Y",""),"")</calculatedColumnFormula>
    </tableColumn>
    <tableColumn id="18" xr3:uid="{00000000-0010-0000-0800-000012000000}" name="SSP2 BEN" dataDxfId="411">
      <calculatedColumnFormula>IFERROR(IF(VLOOKUP(TableHandbook[[#This Row],[UDC]],TableAvailabilities[],4,FALSE)&gt;0,"Y",""),"")</calculatedColumnFormula>
    </tableColumn>
    <tableColumn id="7" xr3:uid="{00000000-0010-0000-0800-000007000000}" name="SSP2 FO" dataDxfId="410">
      <calculatedColumnFormula>IFERROR(IF(VLOOKUP(TableHandbook[[#This Row],[UDC]],TableAvailabilities[],5,FALSE)&gt;0,"Y",""),"")</calculatedColumnFormula>
    </tableColumn>
    <tableColumn id="11" xr3:uid="{00000000-0010-0000-0800-00000B000000}" name="SSP3 BEN" dataDxfId="409">
      <calculatedColumnFormula>IFERROR(IF(VLOOKUP(TableHandbook[[#This Row],[UDC]],TableAvailabilities[],6,FALSE)&gt;0,"Y",""),"")</calculatedColumnFormula>
    </tableColumn>
    <tableColumn id="13" xr3:uid="{00000000-0010-0000-0800-00000D000000}" name="SSP3 FO" dataDxfId="408">
      <calculatedColumnFormula>IFERROR(IF(VLOOKUP(TableHandbook[[#This Row],[UDC]],TableAvailabilities[],7,FALSE)&gt;0,"Y",""),"")</calculatedColumnFormula>
    </tableColumn>
    <tableColumn id="14" xr3:uid="{00000000-0010-0000-0800-00000E000000}" name="SSP4 BEN" dataDxfId="407">
      <calculatedColumnFormula>IFERROR(IF(VLOOKUP(TableHandbook[[#This Row],[UDC]],TableAvailabilities[],8,FALSE)&gt;0,"Y",""),"")</calculatedColumnFormula>
    </tableColumn>
    <tableColumn id="15" xr3:uid="{00000000-0010-0000-0800-00000F000000}" name="SSP4 FO" dataDxfId="406">
      <calculatedColumnFormula>IFERROR(IF(VLOOKUP(TableHandbook[[#This Row],[UDC]],TableAvailabilities[],9,FALSE)&gt;0,"Y",""),"")</calculatedColumnFormula>
    </tableColumn>
    <tableColumn id="16" xr3:uid="{00000000-0010-0000-0800-000010000000}" name="Notes" dataDxfId="405"/>
    <tableColumn id="8" xr3:uid="{00000000-0010-0000-0800-000008000000}" name="MC-TEACH" dataDxfId="404">
      <calculatedColumnFormula>IFERROR(VLOOKUP(TableHandbook[[#This Row],[UDC]],TableMCTEACH[],7,FALSE),"")</calculatedColumnFormula>
    </tableColumn>
    <tableColumn id="9" xr3:uid="{00000000-0010-0000-0800-000009000000}" name="MJRP-TCHEC" dataDxfId="403">
      <calculatedColumnFormula>IFERROR(VLOOKUP(TableHandbook[[#This Row],[UDC]],TableMJRPTCHEC[],7,FALSE),"")</calculatedColumnFormula>
    </tableColumn>
    <tableColumn id="10" xr3:uid="{00000000-0010-0000-0800-00000A000000}" name="MJRP-TCHPR" dataDxfId="402">
      <calculatedColumnFormula>IFERROR(VLOOKUP(TableHandbook[[#This Row],[UDC]],TableMJRPTCHPR[],7,FALSE),"")</calculatedColumnFormula>
    </tableColumn>
    <tableColumn id="20" xr3:uid="{00000000-0010-0000-0800-000014000000}" name="MJRP-TCHSC" dataDxfId="401">
      <calculatedColumnFormula>IFERROR(VLOOKUP(TableHandbook[[#This Row],[UDC]],TableMJRPTCHSC[],7,FALSE),"")</calculatedColumnFormula>
    </tableColumn>
    <tableColumn id="19" xr3:uid="{00000000-0010-0000-0800-000013000000}" name="STRP-SCART" dataDxfId="400">
      <calculatedColumnFormula>IFERROR(VLOOKUP(TableHandbook[[#This Row],[UDC]],TableSTRPSCART[],7,FALSE),"")</calculatedColumnFormula>
    </tableColumn>
    <tableColumn id="21" xr3:uid="{00000000-0010-0000-0800-000015000000}" name="STRP-SCENG" dataDxfId="399">
      <calculatedColumnFormula>IFERROR(VLOOKUP(TableHandbook[[#This Row],[UDC]],TableSTRPSCENG[],7,FALSE),"")</calculatedColumnFormula>
    </tableColumn>
    <tableColumn id="22" xr3:uid="{00000000-0010-0000-0800-000016000000}" name="STRP-SCHLP" dataDxfId="398">
      <calculatedColumnFormula>IFERROR(VLOOKUP(TableHandbook[[#This Row],[UDC]],TableSTRPSCHLP[],7,FALSE),"")</calculatedColumnFormula>
    </tableColumn>
    <tableColumn id="23" xr3:uid="{00000000-0010-0000-0800-000017000000}" name="STRP-SCHUS" dataDxfId="397">
      <calculatedColumnFormula>IFERROR(VLOOKUP(TableHandbook[[#This Row],[UDC]],TableSTRPSCHUS[],7,FALSE),"")</calculatedColumnFormula>
    </tableColumn>
    <tableColumn id="24" xr3:uid="{00000000-0010-0000-0800-000018000000}" name="STRP-SCMAT" dataDxfId="396">
      <calculatedColumnFormula>IFERROR(VLOOKUP(TableHandbook[[#This Row],[UDC]],TableSTRPSCMAT[],7,FALSE),"")</calculatedColumnFormula>
    </tableColumn>
    <tableColumn id="25" xr3:uid="{00000000-0010-0000-0800-000019000000}" name="STRP-SCSCI" dataDxfId="395">
      <calculatedColumnFormula>IFERROR(VLOOKUP(TableHandbook[[#This Row],[UDC]],TableSTRPSCSCI[],7,FALSE),"")</calculatedColumnFormula>
    </tableColumn>
    <tableColumn id="26" xr3:uid="{00000000-0010-0000-0800-00001A000000}" name="STRP-SCFON" dataDxfId="394">
      <calculatedColumnFormula>IFERROR(VLOOKUP(TableHandbook[[#This Row],[UDC]],TableSTRPSCFON[],7,FALSE),"")</calculatedColumnFormula>
    </tableColumn>
    <tableColumn id="29" xr3:uid="{00000000-0010-0000-0800-00001D000000}" name="GC-TESOL" dataDxfId="393">
      <calculatedColumnFormula>IFERROR(VLOOKUP(TableHandbook[[#This Row],[UDC]],TableGCTESOL[],7,FALSE),"")</calculatedColumnFormula>
    </tableColumn>
    <tableColumn id="27" xr3:uid="{00000000-0010-0000-0800-00001B000000}" name="MC-TESOL" dataDxfId="392">
      <calculatedColumnFormula>IFERROR(VLOOKUP(TableHandbook[[#This Row],[UDC]],TableMCTESOL[],7,FALSE),"")</calculatedColumnFormula>
    </tableColumn>
    <tableColumn id="28" xr3:uid="{00000000-0010-0000-0800-00001C000000}" name="MC-APLING" dataDxfId="391">
      <calculatedColumnFormula>IFERROR(VLOOKUP(TableHandbook[[#This Row],[UDC]],TableMCAPLING[],7,FALSE),"")</calculatedColumnFormula>
    </tableColumn>
    <tableColumn id="35" xr3:uid="{00000000-0010-0000-0800-000023000000}" name="GC-EDHE" dataDxfId="390">
      <calculatedColumnFormula>IFERROR(VLOOKUP(TableHandbook[[#This Row],[UDC]],TableGCEDHE[],7,FALSE),"")</calculatedColumnFormula>
    </tableColumn>
    <tableColumn id="34" xr3:uid="{00000000-0010-0000-0800-000022000000}" name="GC-EDUC" dataDxfId="389">
      <calculatedColumnFormula>IFERROR(VLOOKUP(TableHandbook[[#This Row],[UDC]],TableGCEDUC[],7,FALSE),"")</calculatedColumnFormula>
    </tableColumn>
    <tableColumn id="36" xr3:uid="{00000000-0010-0000-0800-000024000000}" name="GD-EDUC" dataDxfId="388">
      <calculatedColumnFormula>IFERROR(VLOOKUP(TableHandbook[[#This Row],[UDC]],TableGDEDUC[],7,FALSE),"")</calculatedColumnFormula>
    </tableColumn>
    <tableColumn id="37" xr3:uid="{00000000-0010-0000-0800-000025000000}" name="MJRP-EDUPR" dataDxfId="387">
      <calculatedColumnFormula>IFERROR(VLOOKUP(TableHandbook[[#This Row],[UDC]],TableMJRPEDUPR[],7,FALSE),"")</calculatedColumnFormula>
    </tableColumn>
    <tableColumn id="38" xr3:uid="{00000000-0010-0000-0800-000026000000}" name="MJRP-EDUSC" dataDxfId="386">
      <calculatedColumnFormula>IFERROR(VLOOKUP(TableHandbook[[#This Row],[UDC]],TableMJRPEDUSC[],7,FALSE),"")</calculatedColumnFormula>
    </tableColumn>
    <tableColumn id="30" xr3:uid="{00000000-0010-0000-0800-00001E000000}" name="MC-EDUC" dataDxfId="385">
      <calculatedColumnFormula>IFERROR(VLOOKUP(TableHandbook[[#This Row],[UDC]],TableMCEDUC[],7,FALSE),"")</calculatedColumnFormula>
    </tableColumn>
    <tableColumn id="31" xr3:uid="{00000000-0010-0000-0800-00001F000000}" name="SPPE-CULIN" dataDxfId="384">
      <calculatedColumnFormula>IFERROR(VLOOKUP(TableHandbook[[#This Row],[UDC]],TableSPPECULIN[],7,FALSE),"")</calculatedColumnFormula>
    </tableColumn>
    <tableColumn id="32" xr3:uid="{00000000-0010-0000-0800-000020000000}" name="SPPE-LNTCH" dataDxfId="383">
      <calculatedColumnFormula>IFERROR(VLOOKUP(TableHandbook[[#This Row],[UDC]],TableSPPELNTCH[],7,FALSE),"")</calculatedColumnFormula>
    </tableColumn>
    <tableColumn id="33" xr3:uid="{00000000-0010-0000-0800-000021000000}" name="SPPE-STEME" dataDxfId="382">
      <calculatedColumnFormula>IFERROR(VLOOKUP(TableHandbook[[#This Row],[UDC]],TableSPPESTEME[],7,FALSE),"")</calculatedColumnFormula>
    </tableColumn>
  </tableColumns>
  <tableStyleInfo name="TableStyleLight11"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1">
      <calculatedColumnFormula>TableMCTEACH[[#This Row],[Study Package Code]]</calculatedColumnFormula>
    </tableColumn>
    <tableColumn id="16" xr3:uid="{00000000-0010-0000-0900-000010000000}" name="Version" dataDxfId="380">
      <calculatedColumnFormula>TableMCTEACH[[#This Row],[Ver]]</calculatedColumnFormula>
    </tableColumn>
    <tableColumn id="17" xr3:uid="{00000000-0010-0000-0900-000011000000}" name="OUA Code"/>
    <tableColumn id="18" xr3:uid="{00000000-0010-0000-0900-000012000000}" name="Unit Title" dataDxfId="379">
      <calculatedColumnFormula>TableMCTEACH[[#This Row],[Structure Line]]</calculatedColumnFormula>
    </tableColumn>
    <tableColumn id="19" xr3:uid="{00000000-0010-0000-0900-000013000000}" name="CPs" dataDxfId="378">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77"/>
    <tableColumn id="7" xr3:uid="{00000000-0010-0000-0900-000007000000}" name="Structure Line"/>
    <tableColumn id="8" xr3:uid="{00000000-0010-0000-0900-000008000000}" name="Credit Points"/>
    <tableColumn id="9" xr3:uid="{00000000-0010-0000-0900-000009000000}" name="Effective" dataDxfId="376"/>
    <tableColumn id="10" xr3:uid="{00000000-0010-0000-0900-00000A000000}" name="Discont." dataDxfId="37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4">
      <calculatedColumnFormula>TableMJRPTCHEC[[#This Row],[Study Package Code]]</calculatedColumnFormula>
    </tableColumn>
    <tableColumn id="10" xr3:uid="{00000000-0010-0000-0A00-00000A000000}" name="Version" dataDxfId="373">
      <calculatedColumnFormula>TableMJRPTCHEC[[#This Row],[Ver]]</calculatedColumnFormula>
    </tableColumn>
    <tableColumn id="11" xr3:uid="{00000000-0010-0000-0A00-00000B000000}" name="OUA Code"/>
    <tableColumn id="12" xr3:uid="{00000000-0010-0000-0A00-00000C000000}" name="Unit Title" dataDxfId="372">
      <calculatedColumnFormula>TableMJRPTCHEC[[#This Row],[Structure Line]]</calculatedColumnFormula>
    </tableColumn>
    <tableColumn id="13" xr3:uid="{00000000-0010-0000-0A00-00000D000000}" name="CPs" dataDxfId="371">
      <calculatedColumnFormula>TableMJRPTCHEC[[#This Row],[Credit Points]]</calculatedColumnFormula>
    </tableColumn>
    <tableColumn id="1" xr3:uid="{00000000-0010-0000-0A00-000001000000}" name="No." dataDxfId="370"/>
    <tableColumn id="2" xr3:uid="{00000000-0010-0000-0A00-000002000000}" name="Component Type" dataDxfId="369"/>
    <tableColumn id="3" xr3:uid="{00000000-0010-0000-0A00-000003000000}" name="Year Level" dataDxfId="368"/>
    <tableColumn id="4" xr3:uid="{00000000-0010-0000-0A00-000004000000}" name="Study Period" dataDxfId="367"/>
    <tableColumn id="5" xr3:uid="{00000000-0010-0000-0A00-000005000000}" name="Study Package Code" dataDxfId="366"/>
    <tableColumn id="6" xr3:uid="{00000000-0010-0000-0A00-000006000000}" name="Ver" dataDxfId="365"/>
    <tableColumn id="7" xr3:uid="{00000000-0010-0000-0A00-000007000000}" name="Structure Line" dataDxfId="364"/>
    <tableColumn id="8" xr3:uid="{00000000-0010-0000-0A00-000008000000}" name="Credit Points" dataDxfId="363"/>
    <tableColumn id="14" xr3:uid="{00000000-0010-0000-0A00-00000E000000}" name="Effective" dataDxfId="362"/>
    <tableColumn id="15" xr3:uid="{00000000-0010-0000-0A00-00000F000000}" name="Discont." dataDxfId="36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0">
      <calculatedColumnFormula>TableMJRPTCHPR[[#This Row],[Study Package Code]]</calculatedColumnFormula>
    </tableColumn>
    <tableColumn id="10" xr3:uid="{00000000-0010-0000-0B00-00000A000000}" name="Version" dataDxfId="359">
      <calculatedColumnFormula>TableMJRPTCHPR[[#This Row],[Ver]]</calculatedColumnFormula>
    </tableColumn>
    <tableColumn id="11" xr3:uid="{00000000-0010-0000-0B00-00000B000000}" name="OUA Code"/>
    <tableColumn id="12" xr3:uid="{00000000-0010-0000-0B00-00000C000000}" name="Unit Title" dataDxfId="358">
      <calculatedColumnFormula>TableMJRPTCHPR[[#This Row],[Structure Line]]</calculatedColumnFormula>
    </tableColumn>
    <tableColumn id="13" xr3:uid="{00000000-0010-0000-0B00-00000D000000}" name="CPs" dataDxfId="357">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6"/>
    <tableColumn id="7" xr3:uid="{00000000-0010-0000-0B00-000007000000}" name="Structure Line"/>
    <tableColumn id="8" xr3:uid="{00000000-0010-0000-0B00-000008000000}" name="Credit Points"/>
    <tableColumn id="14" xr3:uid="{00000000-0010-0000-0B00-00000E000000}" name="Effective" dataDxfId="355"/>
    <tableColumn id="15" xr3:uid="{00000000-0010-0000-0B00-00000F000000}" name="Discont." dataDxfId="35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3">
      <calculatedColumnFormula>TableMJRPTCHSC[[#This Row],[Study Package Code]]</calculatedColumnFormula>
    </tableColumn>
    <tableColumn id="10" xr3:uid="{00000000-0010-0000-0C00-00000A000000}" name="Version" dataDxfId="352">
      <calculatedColumnFormula>TableMJRPTCHSC[[#This Row],[Ver]]</calculatedColumnFormula>
    </tableColumn>
    <tableColumn id="11" xr3:uid="{00000000-0010-0000-0C00-00000B000000}" name="OUA Code"/>
    <tableColumn id="12" xr3:uid="{00000000-0010-0000-0C00-00000C000000}" name="Unit Title" dataDxfId="351">
      <calculatedColumnFormula>TableMJRPTCHSC[[#This Row],[Structure Line]]</calculatedColumnFormula>
    </tableColumn>
    <tableColumn id="13" xr3:uid="{00000000-0010-0000-0C00-00000D000000}" name="CPs" dataDxfId="350">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49"/>
    <tableColumn id="7" xr3:uid="{00000000-0010-0000-0C00-000007000000}" name="Structure Line"/>
    <tableColumn id="8" xr3:uid="{00000000-0010-0000-0C00-000008000000}" name="Credit Points"/>
    <tableColumn id="14" xr3:uid="{00000000-0010-0000-0C00-00000E000000}" name="Effective" dataDxfId="348"/>
    <tableColumn id="15" xr3:uid="{00000000-0010-0000-0C00-00000F000000}" name="Discont." dataDxfId="3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6">
      <calculatedColumnFormula>TableSTRPSCART[[#This Row],[Study Package Code]]</calculatedColumnFormula>
    </tableColumn>
    <tableColumn id="10" xr3:uid="{00000000-0010-0000-0D00-00000A000000}" name="Version" dataDxfId="345">
      <calculatedColumnFormula>TableSTRPSCART[[#This Row],[Ver]]</calculatedColumnFormula>
    </tableColumn>
    <tableColumn id="11" xr3:uid="{00000000-0010-0000-0D00-00000B000000}" name="OUA Code"/>
    <tableColumn id="12" xr3:uid="{00000000-0010-0000-0D00-00000C000000}" name="Unit Title" dataDxfId="344">
      <calculatedColumnFormula>TableSTRPSCART[[#This Row],[Structure Line]]</calculatedColumnFormula>
    </tableColumn>
    <tableColumn id="13" xr3:uid="{00000000-0010-0000-0D00-00000D000000}" name="CPs" dataDxfId="343">
      <calculatedColumnFormula>TableSTRPSCART[[#This Row],[Credit Points]]</calculatedColumnFormula>
    </tableColumn>
    <tableColumn id="1" xr3:uid="{00000000-0010-0000-0D00-000001000000}" name="No."/>
    <tableColumn id="2" xr3:uid="{00000000-0010-0000-0D00-000002000000}" name="Component Type" dataDxfId="342"/>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1"/>
    <tableColumn id="7" xr3:uid="{00000000-0010-0000-0D00-000007000000}" name="Structure Line"/>
    <tableColumn id="8" xr3:uid="{00000000-0010-0000-0D00-000008000000}" name="Credit Points"/>
    <tableColumn id="14" xr3:uid="{00000000-0010-0000-0D00-00000E000000}" name="Effective" dataDxfId="340"/>
    <tableColumn id="15" xr3:uid="{00000000-0010-0000-0D00-00000F000000}" name="Discont." dataDxfId="33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38">
      <calculatedColumnFormula>TableSTRPSCENG[[#This Row],[Study Package Code]]</calculatedColumnFormula>
    </tableColumn>
    <tableColumn id="10" xr3:uid="{00000000-0010-0000-0E00-00000A000000}" name="Version" dataDxfId="337">
      <calculatedColumnFormula>TableSTRPSCENG[[#This Row],[Ver]]</calculatedColumnFormula>
    </tableColumn>
    <tableColumn id="11" xr3:uid="{00000000-0010-0000-0E00-00000B000000}" name="OUA Code"/>
    <tableColumn id="12" xr3:uid="{00000000-0010-0000-0E00-00000C000000}" name="Unit Title" dataDxfId="336">
      <calculatedColumnFormula>TableSTRPSCENG[[#This Row],[Structure Line]]</calculatedColumnFormula>
    </tableColumn>
    <tableColumn id="13" xr3:uid="{00000000-0010-0000-0E00-00000D000000}" name="CPs" dataDxfId="335">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4"/>
    <tableColumn id="7" xr3:uid="{00000000-0010-0000-0E00-000007000000}" name="Structure Line"/>
    <tableColumn id="8" xr3:uid="{00000000-0010-0000-0E00-000008000000}" name="Credit Points"/>
    <tableColumn id="14" xr3:uid="{00000000-0010-0000-0E00-00000E000000}" name="Effective" dataDxfId="333"/>
    <tableColumn id="15" xr3:uid="{00000000-0010-0000-0E00-00000F000000}" name="Discont." dataDxfId="3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1">
      <calculatedColumnFormula>TableSTRPSCHLP[[#This Row],[Study Package Code]]</calculatedColumnFormula>
    </tableColumn>
    <tableColumn id="10" xr3:uid="{00000000-0010-0000-0F00-00000A000000}" name="Version" dataDxfId="330">
      <calculatedColumnFormula>TableSTRPSCHLP[[#This Row],[Ver]]</calculatedColumnFormula>
    </tableColumn>
    <tableColumn id="11" xr3:uid="{00000000-0010-0000-0F00-00000B000000}" name="OUA Code"/>
    <tableColumn id="12" xr3:uid="{00000000-0010-0000-0F00-00000C000000}" name="Unit Title" dataDxfId="329">
      <calculatedColumnFormula>TableSTRPSCHLP[[#This Row],[Structure Line]]</calculatedColumnFormula>
    </tableColumn>
    <tableColumn id="13" xr3:uid="{00000000-0010-0000-0F00-00000D000000}" name="CPs" dataDxfId="328">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27"/>
    <tableColumn id="7" xr3:uid="{00000000-0010-0000-0F00-000007000000}" name="Structure Line"/>
    <tableColumn id="8" xr3:uid="{00000000-0010-0000-0F00-000008000000}" name="Credit Points"/>
    <tableColumn id="14" xr3:uid="{00000000-0010-0000-0F00-00000E000000}" name="Effective" dataDxfId="326"/>
    <tableColumn id="15" xr3:uid="{00000000-0010-0000-0F00-00000F000000}" name="Discont." dataDxfId="32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4">
      <calculatedColumnFormula>TableSTRPSCHUS[[#This Row],[Study Package Code]]</calculatedColumnFormula>
    </tableColumn>
    <tableColumn id="10" xr3:uid="{00000000-0010-0000-1000-00000A000000}" name="Version" dataDxfId="323">
      <calculatedColumnFormula>TableSTRPSCHUS[[#This Row],[Ver]]</calculatedColumnFormula>
    </tableColumn>
    <tableColumn id="11" xr3:uid="{00000000-0010-0000-1000-00000B000000}" name="OUA Code"/>
    <tableColumn id="12" xr3:uid="{00000000-0010-0000-1000-00000C000000}" name="Unit Title" dataDxfId="322">
      <calculatedColumnFormula>TableSTRPSCHUS[[#This Row],[Structure Line]]</calculatedColumnFormula>
    </tableColumn>
    <tableColumn id="13" xr3:uid="{00000000-0010-0000-1000-00000D000000}" name="CPs" dataDxfId="321">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0"/>
    <tableColumn id="7" xr3:uid="{00000000-0010-0000-1000-000007000000}" name="Structure Line"/>
    <tableColumn id="8" xr3:uid="{00000000-0010-0000-1000-000008000000}" name="Credit Points"/>
    <tableColumn id="14" xr3:uid="{00000000-0010-0000-1000-00000E000000}" name="Effective" dataDxfId="319"/>
    <tableColumn id="15" xr3:uid="{00000000-0010-0000-1000-00000F000000}" name="Discont." dataDxfId="31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17">
      <calculatedColumnFormula>TableSTRPSCMAT[[#This Row],[Study Package Code]]</calculatedColumnFormula>
    </tableColumn>
    <tableColumn id="10" xr3:uid="{00000000-0010-0000-1100-00000A000000}" name="Version" dataDxfId="316">
      <calculatedColumnFormula>TableSTRPSCMAT[[#This Row],[Ver]]</calculatedColumnFormula>
    </tableColumn>
    <tableColumn id="11" xr3:uid="{00000000-0010-0000-1100-00000B000000}" name="OUA Code"/>
    <tableColumn id="12" xr3:uid="{00000000-0010-0000-1100-00000C000000}" name="Unit Title" dataDxfId="315">
      <calculatedColumnFormula>TableSTRPSCMAT[[#This Row],[Structure Line]]</calculatedColumnFormula>
    </tableColumn>
    <tableColumn id="13" xr3:uid="{00000000-0010-0000-1100-00000D000000}" name="CPs" dataDxfId="314">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3"/>
    <tableColumn id="7" xr3:uid="{00000000-0010-0000-1100-000007000000}" name="Structure Line"/>
    <tableColumn id="8" xr3:uid="{00000000-0010-0000-1100-000008000000}" name="Credit Points"/>
    <tableColumn id="14" xr3:uid="{00000000-0010-0000-1100-00000E000000}" name="Effective" dataDxfId="312"/>
    <tableColumn id="15" xr3:uid="{00000000-0010-0000-1100-00000F000000}" name="Discont." dataDxfId="3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0">
      <calculatedColumnFormula>TableSTRPSCSCI[[#This Row],[Study Package Code]]</calculatedColumnFormula>
    </tableColumn>
    <tableColumn id="10" xr3:uid="{00000000-0010-0000-1200-00000A000000}" name="Version" dataDxfId="309">
      <calculatedColumnFormula>TableSTRPSCSCI[[#This Row],[Ver]]</calculatedColumnFormula>
    </tableColumn>
    <tableColumn id="11" xr3:uid="{00000000-0010-0000-1200-00000B000000}" name="OUA Code"/>
    <tableColumn id="12" xr3:uid="{00000000-0010-0000-1200-00000C000000}" name="Unit Title" dataDxfId="308">
      <calculatedColumnFormula>TableSTRPSCSCI[[#This Row],[Structure Line]]</calculatedColumnFormula>
    </tableColumn>
    <tableColumn id="13" xr3:uid="{00000000-0010-0000-1200-00000D000000}" name="CPs" dataDxfId="307">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6"/>
    <tableColumn id="7" xr3:uid="{00000000-0010-0000-1200-000007000000}" name="Structure Line"/>
    <tableColumn id="8" xr3:uid="{00000000-0010-0000-1200-000008000000}" name="Credit Points"/>
    <tableColumn id="14" xr3:uid="{00000000-0010-0000-1200-00000E000000}" name="Effective" dataDxfId="305"/>
    <tableColumn id="15" xr3:uid="{00000000-0010-0000-1200-00000F000000}" name="Discont." dataDxfId="3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3">
      <calculatedColumnFormula>TableSTRPSCFON[[#This Row],[Study Package Code]]</calculatedColumnFormula>
    </tableColumn>
    <tableColumn id="10" xr3:uid="{00000000-0010-0000-1300-00000A000000}" name="Version" dataDxfId="302">
      <calculatedColumnFormula>TableSTRPSCFON[[#This Row],[Ver]]</calculatedColumnFormula>
    </tableColumn>
    <tableColumn id="11" xr3:uid="{00000000-0010-0000-1300-00000B000000}" name="OUA Code"/>
    <tableColumn id="12" xr3:uid="{00000000-0010-0000-1300-00000C000000}" name="Unit Title" dataDxfId="301">
      <calculatedColumnFormula>TableSTRPSCFON[[#This Row],[Structure Line]]</calculatedColumnFormula>
    </tableColumn>
    <tableColumn id="13" xr3:uid="{00000000-0010-0000-1300-00000D000000}" name="CPs" dataDxfId="300">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299"/>
    <tableColumn id="7" xr3:uid="{00000000-0010-0000-1300-000007000000}" name="Structure Line"/>
    <tableColumn id="8" xr3:uid="{00000000-0010-0000-1300-000008000000}" name="Credit Points"/>
    <tableColumn id="14" xr3:uid="{00000000-0010-0000-1300-00000E000000}" name="Effective" dataDxfId="298"/>
    <tableColumn id="15" xr3:uid="{00000000-0010-0000-1300-00000F000000}" name="Discont." dataDxfId="29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6">
      <calculatedColumnFormula>TableMCTESOL[[#This Row],[Study Package Code]]</calculatedColumnFormula>
    </tableColumn>
    <tableColumn id="10" xr3:uid="{00000000-0010-0000-1400-00000A000000}" name="Version" dataDxfId="295">
      <calculatedColumnFormula>TableMCTESOL[[#This Row],[Ver]]</calculatedColumnFormula>
    </tableColumn>
    <tableColumn id="11" xr3:uid="{00000000-0010-0000-1400-00000B000000}" name="OUA Code"/>
    <tableColumn id="12" xr3:uid="{00000000-0010-0000-1400-00000C000000}" name="Unit Title" dataDxfId="294">
      <calculatedColumnFormula>TableMCTESOL[[#This Row],[Structure Line]]</calculatedColumnFormula>
    </tableColumn>
    <tableColumn id="13" xr3:uid="{00000000-0010-0000-1400-00000D000000}" name="CPs" dataDxfId="293">
      <calculatedColumnFormula>TableMCTESOL[[#This Row],[Credit Points]]</calculatedColumnFormula>
    </tableColumn>
    <tableColumn id="1" xr3:uid="{00000000-0010-0000-1400-000001000000}" name="No." dataDxfId="292"/>
    <tableColumn id="2" xr3:uid="{00000000-0010-0000-1400-000002000000}" name="Component Type" dataDxfId="291"/>
    <tableColumn id="3" xr3:uid="{00000000-0010-0000-1400-000003000000}" name="Year Level" dataDxfId="290"/>
    <tableColumn id="4" xr3:uid="{00000000-0010-0000-1400-000004000000}" name="Study Period" dataDxfId="289"/>
    <tableColumn id="5" xr3:uid="{00000000-0010-0000-1400-000005000000}" name="Study Package Code" dataDxfId="288"/>
    <tableColumn id="6" xr3:uid="{00000000-0010-0000-1400-000006000000}" name="Ver" dataDxfId="287"/>
    <tableColumn id="7" xr3:uid="{00000000-0010-0000-1400-000007000000}" name="Structure Line" dataDxfId="286"/>
    <tableColumn id="8" xr3:uid="{00000000-0010-0000-1400-000008000000}" name="Credit Points" dataDxfId="285"/>
    <tableColumn id="14" xr3:uid="{00000000-0010-0000-1400-00000E000000}" name="Effective" dataDxfId="284"/>
    <tableColumn id="15" xr3:uid="{00000000-0010-0000-1400-00000F000000}" name="Discont." dataDxfId="28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2">
      <calculatedColumnFormula>TableMCAPLING[[#This Row],[Study Package Code]]</calculatedColumnFormula>
    </tableColumn>
    <tableColumn id="10" xr3:uid="{00000000-0010-0000-1500-00000A000000}" name="Version" dataDxfId="281">
      <calculatedColumnFormula>TableMCAPLING[[#This Row],[Ver]]</calculatedColumnFormula>
    </tableColumn>
    <tableColumn id="11" xr3:uid="{00000000-0010-0000-1500-00000B000000}" name="OUA Code"/>
    <tableColumn id="12" xr3:uid="{00000000-0010-0000-1500-00000C000000}" name="Unit Title" dataDxfId="280">
      <calculatedColumnFormula>TableMCAPLING[[#This Row],[Structure Line]]</calculatedColumnFormula>
    </tableColumn>
    <tableColumn id="13" xr3:uid="{00000000-0010-0000-1500-00000D000000}" name="CPs" dataDxfId="279">
      <calculatedColumnFormula>TableMCAPLING[[#This Row],[Credit Points]]</calculatedColumnFormula>
    </tableColumn>
    <tableColumn id="1" xr3:uid="{00000000-0010-0000-1500-000001000000}" name="No." dataDxfId="278"/>
    <tableColumn id="2" xr3:uid="{00000000-0010-0000-1500-000002000000}" name="Component Type" dataDxfId="277"/>
    <tableColumn id="3" xr3:uid="{00000000-0010-0000-1500-000003000000}" name="Year Level" dataDxfId="276"/>
    <tableColumn id="4" xr3:uid="{00000000-0010-0000-1500-000004000000}" name="Study Period" dataDxfId="275"/>
    <tableColumn id="5" xr3:uid="{00000000-0010-0000-1500-000005000000}" name="Study Package Code" dataDxfId="274"/>
    <tableColumn id="6" xr3:uid="{00000000-0010-0000-1500-000006000000}" name="Ver" dataDxfId="273"/>
    <tableColumn id="7" xr3:uid="{00000000-0010-0000-1500-000007000000}" name="Structure Line" dataDxfId="272"/>
    <tableColumn id="8" xr3:uid="{00000000-0010-0000-1500-000008000000}" name="Credit Points" dataDxfId="271"/>
    <tableColumn id="14" xr3:uid="{00000000-0010-0000-1500-00000E000000}" name="Effective" dataDxfId="270"/>
    <tableColumn id="15" xr3:uid="{00000000-0010-0000-1500-00000F000000}" name="Discont." dataDxfId="26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68">
      <calculatedColumnFormula>TableGCTESOL[[#This Row],[Study Package Code]]</calculatedColumnFormula>
    </tableColumn>
    <tableColumn id="10" xr3:uid="{00000000-0010-0000-1600-00000A000000}" name="Version" dataDxfId="267">
      <calculatedColumnFormula>TableGCTESOL[[#This Row],[Ver]]</calculatedColumnFormula>
    </tableColumn>
    <tableColumn id="11" xr3:uid="{00000000-0010-0000-1600-00000B000000}" name="OUA Code"/>
    <tableColumn id="12" xr3:uid="{00000000-0010-0000-1600-00000C000000}" name="Unit Title" dataDxfId="266">
      <calculatedColumnFormula>TableGCTESOL[[#This Row],[Structure Line]]</calculatedColumnFormula>
    </tableColumn>
    <tableColumn id="13" xr3:uid="{00000000-0010-0000-1600-00000D000000}" name="CPs" dataDxfId="265">
      <calculatedColumnFormula>TableGCTESOL[[#This Row],[Credit Points]]</calculatedColumnFormula>
    </tableColumn>
    <tableColumn id="1" xr3:uid="{00000000-0010-0000-1600-000001000000}" name="No." dataDxfId="264"/>
    <tableColumn id="2" xr3:uid="{00000000-0010-0000-1600-000002000000}" name="Component Type" dataDxfId="263"/>
    <tableColumn id="3" xr3:uid="{00000000-0010-0000-1600-000003000000}" name="Year Level" dataDxfId="262"/>
    <tableColumn id="4" xr3:uid="{00000000-0010-0000-1600-000004000000}" name="Study Period" dataDxfId="261"/>
    <tableColumn id="5" xr3:uid="{00000000-0010-0000-1600-000005000000}" name="Study Package Code" dataDxfId="260"/>
    <tableColumn id="6" xr3:uid="{00000000-0010-0000-1600-000006000000}" name="Ver" dataDxfId="259"/>
    <tableColumn id="7" xr3:uid="{00000000-0010-0000-1600-000007000000}" name="Structure Line" dataDxfId="258"/>
    <tableColumn id="8" xr3:uid="{00000000-0010-0000-1600-000008000000}" name="Credit Points" dataDxfId="257"/>
    <tableColumn id="14" xr3:uid="{00000000-0010-0000-1600-00000E000000}" name="Effective" dataDxfId="256"/>
    <tableColumn id="15" xr3:uid="{00000000-0010-0000-1600-00000F000000}" name="Discont." dataDxfId="25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4">
      <calculatedColumnFormula>TableMCEDUC[[#This Row],[Study Package Code]]</calculatedColumnFormula>
    </tableColumn>
    <tableColumn id="10" xr3:uid="{00000000-0010-0000-1700-00000A000000}" name="Version" dataDxfId="253">
      <calculatedColumnFormula>TableMCEDUC[[#This Row],[Ver]]</calculatedColumnFormula>
    </tableColumn>
    <tableColumn id="11" xr3:uid="{00000000-0010-0000-1700-00000B000000}" name="OUA Code"/>
    <tableColumn id="12" xr3:uid="{00000000-0010-0000-1700-00000C000000}" name="Unit Title" dataDxfId="252">
      <calculatedColumnFormula>TableMCEDUC[[#This Row],[Structure Line]]</calculatedColumnFormula>
    </tableColumn>
    <tableColumn id="13" xr3:uid="{00000000-0010-0000-1700-00000D000000}" name="CPs" dataDxfId="251">
      <calculatedColumnFormula>TableMCEDUC[[#This Row],[Credit Points]]</calculatedColumnFormula>
    </tableColumn>
    <tableColumn id="1" xr3:uid="{00000000-0010-0000-1700-000001000000}" name="No." dataDxfId="250"/>
    <tableColumn id="2" xr3:uid="{00000000-0010-0000-1700-000002000000}" name="Component Type" dataDxfId="249"/>
    <tableColumn id="3" xr3:uid="{00000000-0010-0000-1700-000003000000}" name="Year Level" dataDxfId="248"/>
    <tableColumn id="4" xr3:uid="{00000000-0010-0000-1700-000004000000}" name="Study Period" dataDxfId="247"/>
    <tableColumn id="5" xr3:uid="{00000000-0010-0000-1700-000005000000}" name="Study Package Code" dataDxfId="246"/>
    <tableColumn id="6" xr3:uid="{00000000-0010-0000-1700-000006000000}" name="Ver" dataDxfId="245"/>
    <tableColumn id="7" xr3:uid="{00000000-0010-0000-1700-000007000000}" name="Structure Line" dataDxfId="244"/>
    <tableColumn id="8" xr3:uid="{00000000-0010-0000-1700-000008000000}" name="Credit Points" dataDxfId="243"/>
    <tableColumn id="14" xr3:uid="{00000000-0010-0000-1700-00000E000000}" name="Effective" dataDxfId="242"/>
    <tableColumn id="15" xr3:uid="{00000000-0010-0000-1700-00000F000000}" name="Discont." dataDxfId="24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0">
      <calculatedColumnFormula>TableSPPECULIN[[#This Row],[Study Package Code]]</calculatedColumnFormula>
    </tableColumn>
    <tableColumn id="10" xr3:uid="{00000000-0010-0000-1800-00000A000000}" name="Version" dataDxfId="239">
      <calculatedColumnFormula>TableSPPECULIN[[#This Row],[Ver]]</calculatedColumnFormula>
    </tableColumn>
    <tableColumn id="11" xr3:uid="{00000000-0010-0000-1800-00000B000000}" name="OUA Code"/>
    <tableColumn id="12" xr3:uid="{00000000-0010-0000-1800-00000C000000}" name="Unit Title" dataDxfId="238">
      <calculatedColumnFormula>TableSPPECULIN[[#This Row],[Structure Line]]</calculatedColumnFormula>
    </tableColumn>
    <tableColumn id="13" xr3:uid="{00000000-0010-0000-1800-00000D000000}" name="CPs" dataDxfId="237">
      <calculatedColumnFormula>TableSPPECULIN[[#This Row],[Credit Points]]</calculatedColumnFormula>
    </tableColumn>
    <tableColumn id="1" xr3:uid="{00000000-0010-0000-1800-000001000000}" name="No." dataDxfId="236"/>
    <tableColumn id="2" xr3:uid="{00000000-0010-0000-1800-000002000000}" name="Component Type" dataDxfId="235"/>
    <tableColumn id="3" xr3:uid="{00000000-0010-0000-1800-000003000000}" name="Year Level" dataDxfId="234"/>
    <tableColumn id="4" xr3:uid="{00000000-0010-0000-1800-000004000000}" name="Study Period" dataDxfId="233"/>
    <tableColumn id="5" xr3:uid="{00000000-0010-0000-1800-000005000000}" name="Study Package Code" dataDxfId="232"/>
    <tableColumn id="6" xr3:uid="{00000000-0010-0000-1800-000006000000}" name="Ver" dataDxfId="231"/>
    <tableColumn id="7" xr3:uid="{00000000-0010-0000-1800-000007000000}" name="Structure Line" dataDxfId="230"/>
    <tableColumn id="8" xr3:uid="{00000000-0010-0000-1800-000008000000}" name="Credit Points" dataDxfId="229"/>
    <tableColumn id="14" xr3:uid="{00000000-0010-0000-1800-00000E000000}" name="Effective" dataDxfId="228"/>
    <tableColumn id="15" xr3:uid="{00000000-0010-0000-1800-00000F000000}" name="Discont." dataDxfId="22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6">
      <calculatedColumnFormula>TableSPPELNTCH[[#This Row],[Study Package Code]]</calculatedColumnFormula>
    </tableColumn>
    <tableColumn id="10" xr3:uid="{00000000-0010-0000-1900-00000A000000}" name="Version" dataDxfId="225">
      <calculatedColumnFormula>TableSPPELNTCH[[#This Row],[Ver]]</calculatedColumnFormula>
    </tableColumn>
    <tableColumn id="11" xr3:uid="{00000000-0010-0000-1900-00000B000000}" name="OUA Code"/>
    <tableColumn id="12" xr3:uid="{00000000-0010-0000-1900-00000C000000}" name="Unit Title" dataDxfId="224">
      <calculatedColumnFormula>TableSPPELNTCH[[#This Row],[Structure Line]]</calculatedColumnFormula>
    </tableColumn>
    <tableColumn id="13" xr3:uid="{00000000-0010-0000-1900-00000D000000}" name="CPs" dataDxfId="223">
      <calculatedColumnFormula>TableSPPELNTCH[[#This Row],[Credit Points]]</calculatedColumnFormula>
    </tableColumn>
    <tableColumn id="1" xr3:uid="{00000000-0010-0000-1900-000001000000}" name="No." dataDxfId="222"/>
    <tableColumn id="2" xr3:uid="{00000000-0010-0000-1900-000002000000}" name="Component Type" dataDxfId="221"/>
    <tableColumn id="3" xr3:uid="{00000000-0010-0000-1900-000003000000}" name="Year Level" dataDxfId="220"/>
    <tableColumn id="4" xr3:uid="{00000000-0010-0000-1900-000004000000}" name="Study Period" dataDxfId="219"/>
    <tableColumn id="5" xr3:uid="{00000000-0010-0000-1900-000005000000}" name="Study Package Code" dataDxfId="218"/>
    <tableColumn id="6" xr3:uid="{00000000-0010-0000-1900-000006000000}" name="Ver" dataDxfId="217"/>
    <tableColumn id="7" xr3:uid="{00000000-0010-0000-1900-000007000000}" name="Structure Line" dataDxfId="216"/>
    <tableColumn id="8" xr3:uid="{00000000-0010-0000-1900-000008000000}" name="Credit Points" dataDxfId="215"/>
    <tableColumn id="14" xr3:uid="{00000000-0010-0000-1900-00000E000000}" name="Effective" dataDxfId="214"/>
    <tableColumn id="15" xr3:uid="{00000000-0010-0000-1900-00000F000000}" name="Discont." dataDxfId="21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2">
      <calculatedColumnFormula>TableSPPESTEME[[#This Row],[Study Package Code]]</calculatedColumnFormula>
    </tableColumn>
    <tableColumn id="10" xr3:uid="{00000000-0010-0000-1A00-00000A000000}" name="Version" dataDxfId="211">
      <calculatedColumnFormula>TableSPPESTEME[[#This Row],[Ver]]</calculatedColumnFormula>
    </tableColumn>
    <tableColumn id="11" xr3:uid="{00000000-0010-0000-1A00-00000B000000}" name="OUA Code"/>
    <tableColumn id="12" xr3:uid="{00000000-0010-0000-1A00-00000C000000}" name="Unit Title" dataDxfId="210">
      <calculatedColumnFormula>TableSPPESTEME[[#This Row],[Structure Line]]</calculatedColumnFormula>
    </tableColumn>
    <tableColumn id="13" xr3:uid="{00000000-0010-0000-1A00-00000D000000}" name="CPs" dataDxfId="209">
      <calculatedColumnFormula>TableSPPESTEME[[#This Row],[Credit Points]]</calculatedColumnFormula>
    </tableColumn>
    <tableColumn id="1" xr3:uid="{00000000-0010-0000-1A00-000001000000}" name="No." dataDxfId="208"/>
    <tableColumn id="2" xr3:uid="{00000000-0010-0000-1A00-000002000000}" name="Component Type" dataDxfId="207"/>
    <tableColumn id="3" xr3:uid="{00000000-0010-0000-1A00-000003000000}" name="Year Level" dataDxfId="206"/>
    <tableColumn id="4" xr3:uid="{00000000-0010-0000-1A00-000004000000}" name="Study Period" dataDxfId="205"/>
    <tableColumn id="5" xr3:uid="{00000000-0010-0000-1A00-000005000000}" name="Study Package Code" dataDxfId="204"/>
    <tableColumn id="6" xr3:uid="{00000000-0010-0000-1A00-000006000000}" name="Ver" dataDxfId="203"/>
    <tableColumn id="7" xr3:uid="{00000000-0010-0000-1A00-000007000000}" name="Structure Line" dataDxfId="202"/>
    <tableColumn id="8" xr3:uid="{00000000-0010-0000-1A00-000008000000}" name="Credit Points" dataDxfId="201"/>
    <tableColumn id="14" xr3:uid="{00000000-0010-0000-1A00-00000E000000}" name="Effective" dataDxfId="200"/>
    <tableColumn id="15" xr3:uid="{00000000-0010-0000-1A00-00000F000000}" name="Discont." dataDxfId="199"/>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7" totalsRowShown="0">
  <autoFilter ref="A173:O187" xr:uid="{00000000-0009-0000-0100-000021000000}"/>
  <sortState xmlns:xlrd2="http://schemas.microsoft.com/office/spreadsheetml/2017/richdata2" ref="A186:M217">
    <sortCondition ref="F10:F42"/>
  </sortState>
  <tableColumns count="15">
    <tableColumn id="9" xr3:uid="{00000000-0010-0000-1B00-000009000000}" name="UDC" dataDxfId="198">
      <calculatedColumnFormula>TableGCEDUC[[#This Row],[Study Package Code]]</calculatedColumnFormula>
    </tableColumn>
    <tableColumn id="10" xr3:uid="{00000000-0010-0000-1B00-00000A000000}" name="Version" dataDxfId="197">
      <calculatedColumnFormula>TableGCEDUC[[#This Row],[Ver]]</calculatedColumnFormula>
    </tableColumn>
    <tableColumn id="11" xr3:uid="{00000000-0010-0000-1B00-00000B000000}" name="OUA Code"/>
    <tableColumn id="12" xr3:uid="{00000000-0010-0000-1B00-00000C000000}" name="Unit Title" dataDxfId="196">
      <calculatedColumnFormula>TableGCEDUC[[#This Row],[Structure Line]]</calculatedColumnFormula>
    </tableColumn>
    <tableColumn id="13" xr3:uid="{00000000-0010-0000-1B00-00000D000000}" name="CPs" dataDxfId="195">
      <calculatedColumnFormula>TableGCEDUC[[#This Row],[Credit Points]]</calculatedColumnFormula>
    </tableColumn>
    <tableColumn id="1" xr3:uid="{00000000-0010-0000-1B00-000001000000}" name="No." dataDxfId="194"/>
    <tableColumn id="2" xr3:uid="{00000000-0010-0000-1B00-000002000000}" name="Component Type" dataDxfId="193"/>
    <tableColumn id="3" xr3:uid="{00000000-0010-0000-1B00-000003000000}" name="Year Level" dataDxfId="192"/>
    <tableColumn id="4" xr3:uid="{00000000-0010-0000-1B00-000004000000}" name="Study Period" dataDxfId="191"/>
    <tableColumn id="5" xr3:uid="{00000000-0010-0000-1B00-000005000000}" name="Study Package Code" dataDxfId="190"/>
    <tableColumn id="6" xr3:uid="{00000000-0010-0000-1B00-000006000000}" name="Ver" dataDxfId="189"/>
    <tableColumn id="7" xr3:uid="{00000000-0010-0000-1B00-000007000000}" name="Structure Line" dataDxfId="188"/>
    <tableColumn id="8" xr3:uid="{00000000-0010-0000-1B00-000008000000}" name="Credit Points" dataDxfId="187"/>
    <tableColumn id="14" xr3:uid="{00000000-0010-0000-1B00-00000E000000}" name="Effective" dataDxfId="186"/>
    <tableColumn id="15" xr3:uid="{00000000-0010-0000-1B00-00000F000000}" name="Discont." dataDxfId="18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0:O194" totalsRowShown="0">
  <autoFilter ref="A190:O194" xr:uid="{00000000-0009-0000-0100-000024000000}"/>
  <sortState xmlns:xlrd2="http://schemas.microsoft.com/office/spreadsheetml/2017/richdata2" ref="A191:M222">
    <sortCondition ref="F10:F42"/>
  </sortState>
  <tableColumns count="15">
    <tableColumn id="9" xr3:uid="{00000000-0010-0000-1C00-000009000000}" name="UDC" dataDxfId="184">
      <calculatedColumnFormula>TableGCEDHE[[#This Row],[Study Package Code]]</calculatedColumnFormula>
    </tableColumn>
    <tableColumn id="10" xr3:uid="{00000000-0010-0000-1C00-00000A000000}" name="Version" dataDxfId="183">
      <calculatedColumnFormula>TableGCEDHE[[#This Row],[Ver]]</calculatedColumnFormula>
    </tableColumn>
    <tableColumn id="11" xr3:uid="{00000000-0010-0000-1C00-00000B000000}" name="OUA Code"/>
    <tableColumn id="12" xr3:uid="{00000000-0010-0000-1C00-00000C000000}" name="Unit Title" dataDxfId="182">
      <calculatedColumnFormula>TableGCEDHE[[#This Row],[Structure Line]]</calculatedColumnFormula>
    </tableColumn>
    <tableColumn id="13" xr3:uid="{00000000-0010-0000-1C00-00000D000000}" name="CPs" dataDxfId="181">
      <calculatedColumnFormula>TableGCEDHE[[#This Row],[Credit Points]]</calculatedColumnFormula>
    </tableColumn>
    <tableColumn id="1" xr3:uid="{00000000-0010-0000-1C00-000001000000}" name="No." dataDxfId="180"/>
    <tableColumn id="2" xr3:uid="{00000000-0010-0000-1C00-000002000000}" name="Component Type" dataDxfId="179"/>
    <tableColumn id="3" xr3:uid="{00000000-0010-0000-1C00-000003000000}" name="Year Level" dataDxfId="178"/>
    <tableColumn id="4" xr3:uid="{00000000-0010-0000-1C00-000004000000}" name="Study Period" dataDxfId="177"/>
    <tableColumn id="5" xr3:uid="{00000000-0010-0000-1C00-000005000000}" name="Study Package Code" dataDxfId="176"/>
    <tableColumn id="6" xr3:uid="{00000000-0010-0000-1C00-000006000000}" name="Ver" dataDxfId="175"/>
    <tableColumn id="7" xr3:uid="{00000000-0010-0000-1C00-000007000000}" name="Structure Line" dataDxfId="174"/>
    <tableColumn id="8" xr3:uid="{00000000-0010-0000-1C00-000008000000}" name="Credit Points" dataDxfId="173"/>
    <tableColumn id="14" xr3:uid="{00000000-0010-0000-1C00-00000E000000}" name="Effective" dataDxfId="172"/>
    <tableColumn id="15" xr3:uid="{00000000-0010-0000-1C00-00000F000000}" name="Discont." dataDxfId="17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0"/>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7" totalsRowShown="0">
  <autoFilter ref="Q173:R187"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0:R194" totalsRowShown="0">
  <autoFilter ref="Q190:R194"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7:O200" totalsRowShown="0">
  <autoFilter ref="A197:O200" xr:uid="{00000000-0009-0000-0100-000031000000}"/>
  <sortState xmlns:xlrd2="http://schemas.microsoft.com/office/spreadsheetml/2017/richdata2" ref="A197:M228">
    <sortCondition ref="F10:F42"/>
  </sortState>
  <tableColumns count="15">
    <tableColumn id="9" xr3:uid="{00000000-0010-0000-3100-000009000000}" name="UDC" dataDxfId="169">
      <calculatedColumnFormula>TableGDEDUC[[#This Row],[Study Package Code]]</calculatedColumnFormula>
    </tableColumn>
    <tableColumn id="10" xr3:uid="{00000000-0010-0000-3100-00000A000000}" name="Version" dataDxfId="168">
      <calculatedColumnFormula>TableGDEDUC[[#This Row],[Ver]]</calculatedColumnFormula>
    </tableColumn>
    <tableColumn id="11" xr3:uid="{00000000-0010-0000-3100-00000B000000}" name="OUA Code"/>
    <tableColumn id="12" xr3:uid="{00000000-0010-0000-3100-00000C000000}" name="Unit Title" dataDxfId="167">
      <calculatedColumnFormula>TableGDEDUC[[#This Row],[Structure Line]]</calculatedColumnFormula>
    </tableColumn>
    <tableColumn id="13" xr3:uid="{00000000-0010-0000-3100-00000D000000}" name="CPs" dataDxfId="166">
      <calculatedColumnFormula>TableGDEDUC[[#This Row],[Credit Points]]</calculatedColumnFormula>
    </tableColumn>
    <tableColumn id="1" xr3:uid="{00000000-0010-0000-3100-000001000000}" name="No." dataDxfId="165"/>
    <tableColumn id="2" xr3:uid="{00000000-0010-0000-3100-000002000000}" name="Component Type" dataDxfId="164"/>
    <tableColumn id="3" xr3:uid="{00000000-0010-0000-3100-000003000000}" name="Year Level" dataDxfId="163"/>
    <tableColumn id="4" xr3:uid="{00000000-0010-0000-3100-000004000000}" name="Study Period" dataDxfId="162"/>
    <tableColumn id="5" xr3:uid="{00000000-0010-0000-3100-000005000000}" name="Study Package Code" dataDxfId="161"/>
    <tableColumn id="6" xr3:uid="{00000000-0010-0000-3100-000006000000}" name="Ver" dataDxfId="160"/>
    <tableColumn id="7" xr3:uid="{00000000-0010-0000-3100-000007000000}" name="Structure Line" dataDxfId="159"/>
    <tableColumn id="8" xr3:uid="{00000000-0010-0000-3100-000008000000}" name="Credit Points" dataDxfId="158"/>
    <tableColumn id="14" xr3:uid="{00000000-0010-0000-3100-00000E000000}" name="Effective" dataDxfId="157"/>
    <tableColumn id="15" xr3:uid="{00000000-0010-0000-3100-00000F000000}" name="Discont." dataDxfId="156"/>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7:R200" totalsRowShown="0">
  <autoFilter ref="Q197:R200"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2:O210" totalsRowShown="0">
  <autoFilter ref="A202:O210" xr:uid="{00000000-0009-0000-0100-000034000000}"/>
  <sortState xmlns:xlrd2="http://schemas.microsoft.com/office/spreadsheetml/2017/richdata2" ref="A215:M246">
    <sortCondition ref="F10:F42"/>
  </sortState>
  <tableColumns count="15">
    <tableColumn id="9" xr3:uid="{00000000-0010-0000-3300-000009000000}" name="UDC" dataDxfId="155">
      <calculatedColumnFormula>TableMJRPEDUPR[[#This Row],[Study Package Code]]</calculatedColumnFormula>
    </tableColumn>
    <tableColumn id="10" xr3:uid="{00000000-0010-0000-3300-00000A000000}" name="Version" dataDxfId="154">
      <calculatedColumnFormula>TableMJRPEDUPR[[#This Row],[Ver]]</calculatedColumnFormula>
    </tableColumn>
    <tableColumn id="11" xr3:uid="{00000000-0010-0000-3300-00000B000000}" name="OUA Code"/>
    <tableColumn id="12" xr3:uid="{00000000-0010-0000-3300-00000C000000}" name="Unit Title" dataDxfId="153">
      <calculatedColumnFormula>TableMJRPEDUPR[[#This Row],[Structure Line]]</calculatedColumnFormula>
    </tableColumn>
    <tableColumn id="13" xr3:uid="{00000000-0010-0000-3300-00000D000000}" name="CPs" dataDxfId="152">
      <calculatedColumnFormula>TableMJRPEDUPR[[#This Row],[Credit Points]]</calculatedColumnFormula>
    </tableColumn>
    <tableColumn id="1" xr3:uid="{00000000-0010-0000-3300-000001000000}" name="No." dataDxfId="151"/>
    <tableColumn id="2" xr3:uid="{00000000-0010-0000-3300-000002000000}" name="Component Type" dataDxfId="150"/>
    <tableColumn id="3" xr3:uid="{00000000-0010-0000-3300-000003000000}" name="Year Level" dataDxfId="149"/>
    <tableColumn id="4" xr3:uid="{00000000-0010-0000-3300-000004000000}" name="Study Period" dataDxfId="148"/>
    <tableColumn id="5" xr3:uid="{00000000-0010-0000-3300-000005000000}" name="Study Package Code" dataDxfId="147"/>
    <tableColumn id="6" xr3:uid="{00000000-0010-0000-3300-000006000000}" name="Ver" dataDxfId="146"/>
    <tableColumn id="7" xr3:uid="{00000000-0010-0000-3300-000007000000}" name="Structure Line" dataDxfId="145"/>
    <tableColumn id="8" xr3:uid="{00000000-0010-0000-3300-000008000000}" name="Credit Points" dataDxfId="144"/>
    <tableColumn id="14" xr3:uid="{00000000-0010-0000-3300-00000E000000}" name="Effective" dataDxfId="143"/>
    <tableColumn id="15" xr3:uid="{00000000-0010-0000-3300-00000F000000}" name="Discont." dataDxfId="1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2:R210" totalsRowShown="0">
  <autoFilter ref="Q202:R210"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2:O225" totalsRowShown="0">
  <autoFilter ref="A212:O225" xr:uid="{00000000-0009-0000-0100-000036000000}"/>
  <sortState xmlns:xlrd2="http://schemas.microsoft.com/office/spreadsheetml/2017/richdata2" ref="A233:M264">
    <sortCondition ref="F10:F42"/>
  </sortState>
  <tableColumns count="15">
    <tableColumn id="9" xr3:uid="{00000000-0010-0000-3500-000009000000}" name="UDC" dataDxfId="141">
      <calculatedColumnFormula>TableMJRPEDUSC[[#This Row],[Study Package Code]]</calculatedColumnFormula>
    </tableColumn>
    <tableColumn id="10" xr3:uid="{00000000-0010-0000-3500-00000A000000}" name="Version" dataDxfId="140">
      <calculatedColumnFormula>TableMJRPEDUSC[[#This Row],[Ver]]</calculatedColumnFormula>
    </tableColumn>
    <tableColumn id="11" xr3:uid="{00000000-0010-0000-3500-00000B000000}" name="OUA Code"/>
    <tableColumn id="12" xr3:uid="{00000000-0010-0000-3500-00000C000000}" name="Unit Title" dataDxfId="139">
      <calculatedColumnFormula>TableMJRPEDUSC[[#This Row],[Structure Line]]</calculatedColumnFormula>
    </tableColumn>
    <tableColumn id="13" xr3:uid="{00000000-0010-0000-3500-00000D000000}" name="CPs" dataDxfId="138">
      <calculatedColumnFormula>TableMJRPEDUSC[[#This Row],[Credit Points]]</calculatedColumnFormula>
    </tableColumn>
    <tableColumn id="1" xr3:uid="{00000000-0010-0000-3500-000001000000}" name="No." dataDxfId="137"/>
    <tableColumn id="2" xr3:uid="{00000000-0010-0000-3500-000002000000}" name="Component Type" dataDxfId="136"/>
    <tableColumn id="3" xr3:uid="{00000000-0010-0000-3500-000003000000}" name="Year Level" dataDxfId="135"/>
    <tableColumn id="4" xr3:uid="{00000000-0010-0000-3500-000004000000}" name="Study Period" dataDxfId="134"/>
    <tableColumn id="5" xr3:uid="{00000000-0010-0000-3500-000005000000}" name="Study Package Code" dataDxfId="133"/>
    <tableColumn id="6" xr3:uid="{00000000-0010-0000-3500-000006000000}" name="Ver" dataDxfId="132"/>
    <tableColumn id="7" xr3:uid="{00000000-0010-0000-3500-000007000000}" name="Structure Line" dataDxfId="131"/>
    <tableColumn id="8" xr3:uid="{00000000-0010-0000-3500-000008000000}" name="Credit Points" dataDxfId="130"/>
    <tableColumn id="14" xr3:uid="{00000000-0010-0000-3500-00000E000000}" name="Effective" dataDxfId="129"/>
    <tableColumn id="15" xr3:uid="{00000000-0010-0000-3500-00000F000000}" name="Discont." dataDxfId="12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2:R225" totalsRowShown="0">
  <autoFilter ref="Q212:R225"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27"/>
    <tableColumn id="3" xr3:uid="{00000000-0010-0000-3700-000003000000}" name="SSP1 Online" dataDxfId="126"/>
    <tableColumn id="6" xr3:uid="{00000000-0010-0000-3700-000006000000}" name="SSP2 Internal" dataDxfId="125"/>
    <tableColumn id="7" xr3:uid="{00000000-0010-0000-3700-000007000000}" name="SSP2 Online" dataDxfId="124"/>
    <tableColumn id="8" xr3:uid="{00000000-0010-0000-3700-000008000000}" name="SSP3 Internal" dataDxfId="123"/>
    <tableColumn id="9" xr3:uid="{00000000-0010-0000-3700-000009000000}" name="SSP3 Online" dataDxfId="122"/>
    <tableColumn id="4" xr3:uid="{00000000-0010-0000-3700-000004000000}" name="SSP4 Internal" dataDxfId="121"/>
    <tableColumn id="5" xr3:uid="{00000000-0010-0000-3700-000005000000}" name="SSP4 Online" dataDxfId="120"/>
  </tableColumns>
  <tableStyleInfo name="TableStyleLight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19"/>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9" Type="http://schemas.openxmlformats.org/officeDocument/2006/relationships/table" Target="../tables/table47.xml"/><Relationship Id="rId21" Type="http://schemas.openxmlformats.org/officeDocument/2006/relationships/table" Target="../tables/table29.xml"/><Relationship Id="rId34" Type="http://schemas.openxmlformats.org/officeDocument/2006/relationships/table" Target="../tables/table42.xml"/><Relationship Id="rId42" Type="http://schemas.openxmlformats.org/officeDocument/2006/relationships/table" Target="../tables/table50.xml"/><Relationship Id="rId47" Type="http://schemas.openxmlformats.org/officeDocument/2006/relationships/table" Target="../tables/table55.xml"/><Relationship Id="rId7" Type="http://schemas.openxmlformats.org/officeDocument/2006/relationships/table" Target="../tables/table15.xml"/><Relationship Id="rId2" Type="http://schemas.openxmlformats.org/officeDocument/2006/relationships/table" Target="../tables/table10.xml"/><Relationship Id="rId16" Type="http://schemas.openxmlformats.org/officeDocument/2006/relationships/table" Target="../tables/table24.xml"/><Relationship Id="rId29"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40" Type="http://schemas.openxmlformats.org/officeDocument/2006/relationships/table" Target="../tables/table48.xml"/><Relationship Id="rId45" Type="http://schemas.openxmlformats.org/officeDocument/2006/relationships/table" Target="../tables/table53.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4" Type="http://schemas.openxmlformats.org/officeDocument/2006/relationships/table" Target="../tables/table52.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43" Type="http://schemas.openxmlformats.org/officeDocument/2006/relationships/table" Target="../tables/table51.xml"/><Relationship Id="rId8" Type="http://schemas.openxmlformats.org/officeDocument/2006/relationships/table" Target="../tables/table16.xml"/><Relationship Id="rId3" Type="http://schemas.openxmlformats.org/officeDocument/2006/relationships/table" Target="../tables/table11.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38" Type="http://schemas.openxmlformats.org/officeDocument/2006/relationships/table" Target="../tables/table46.xml"/><Relationship Id="rId46" Type="http://schemas.openxmlformats.org/officeDocument/2006/relationships/table" Target="../tables/table54.xml"/><Relationship Id="rId20" Type="http://schemas.openxmlformats.org/officeDocument/2006/relationships/table" Target="../tables/table28.xml"/><Relationship Id="rId41" Type="http://schemas.openxmlformats.org/officeDocument/2006/relationships/table" Target="../tables/table4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375" style="9" customWidth="1"/>
    <col min="4" max="4" width="56.125" style="8"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14</v>
      </c>
      <c r="E6" s="123"/>
      <c r="F6" s="121" t="s">
        <v>15</v>
      </c>
      <c r="G6" s="123" t="str">
        <f>IFERROR(CONCATENATE(VLOOKUP(D6,TableMajors[],2,FALSE)," ",VLOOKUP(D6,TableMajors[],3,FALSE)),"")</f>
        <v>MJRP-TCHEC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240"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241"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241"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24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241"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241"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24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241"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241"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24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241"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242"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240"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243" t="str">
        <f>IFERROR(IF(VLOOKUP($A22,TableHandbook[],4,FALSE)=0,"",VLOOKUP($A22,TableHandbook[],4,FALSE)),"")</f>
        <v/>
      </c>
      <c r="E22" s="152" t="str">
        <f>IF(OR(A22="",A22="--"),"",VLOOKUP($D$7,TableStudyPeriods[],2,FALSE))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242" t="str">
        <f>IFERROR(IF(VLOOKUP($A23,TableHandbook[],4,FALSE)=0,"",VLOOKUP($A23,TableHandbook[],4,FALSE)),"")</f>
        <v/>
      </c>
      <c r="E23" s="152" t="str">
        <f>IF(OR(A23="",A23="---"),"",E22)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24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242" t="str">
        <f>IFERROR(IF(VLOOKUP($A25,TableHandbook[],4,FALSE)=0,"",VLOOKUP($A25,TableHandbook[],4,FALSE)),"")</f>
        <v/>
      </c>
      <c r="E25" s="152" t="str">
        <f>IF(OR(A25="",A25="--"),"",VLOOKUP($D$7,TableStudyPeriods[],3,FALSE))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242" t="str">
        <f>IFERROR(IF(VLOOKUP($A26,TableHandbook[],4,FALSE)=0,"",VLOOKUP($A26,TableHandbook[],4,FALSE)),"")</f>
        <v/>
      </c>
      <c r="E26" s="152" t="str">
        <f>IF(OR(A26="",A26="---"),"",E25)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24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242" t="str">
        <f>IFERROR(IF(VLOOKUP($A28,TableHandbook[],4,FALSE)=0,"",VLOOKUP($A28,TableHandbook[],4,FALSE)),"")</f>
        <v/>
      </c>
      <c r="E28" s="152" t="str">
        <f>IF(OR(A28="",A28="--"),"",VLOOKUP($D$7,TableStudyPeriods[],4,FALSE))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242" t="str">
        <f>IFERROR(IF(VLOOKUP($A29,TableHandbook[],4,FALSE)=0,"",VLOOKUP($A29,TableHandbook[],4,FALSE)),"")</f>
        <v/>
      </c>
      <c r="E29" s="152" t="str">
        <f>IF(OR(A29="",A29="---"),"",E28)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24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242" t="str">
        <f>IFERROR(IF(VLOOKUP($A31,TableHandbook[],4,FALSE)=0,"",VLOOKUP($A31,TableHandbook[],4,FALSE)),"")</f>
        <v/>
      </c>
      <c r="E31" s="152" t="str">
        <f>IF(OR(A31="",A31="--"),"",VLOOKUP($D$7,TableStudyPeriods[],5,FALSE))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242" t="str">
        <f>IFERROR(IF(VLOOKUP($A32,TableHandbook[],4,FALSE)=0,"",VLOOKUP($A32,TableHandbook[],4,FALSE)),"")</f>
        <v/>
      </c>
      <c r="E32" s="145" t="str">
        <f>IF(OR(A32="",A32="---"),"",E31)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73" t="s">
        <v>34</v>
      </c>
      <c r="B34" s="273"/>
      <c r="C34" s="273"/>
      <c r="D34" s="273"/>
      <c r="E34" s="273"/>
      <c r="F34" s="273"/>
      <c r="G34" s="273"/>
      <c r="H34" s="273"/>
      <c r="I34" s="273"/>
      <c r="J34" s="273"/>
      <c r="K34" s="273"/>
      <c r="L34" s="273"/>
      <c r="M34" s="273"/>
      <c r="N34" s="273"/>
      <c r="O34" s="273"/>
      <c r="P34" s="273"/>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8" priority="1">
      <formula>$A10=""</formula>
    </cfRule>
  </conditionalFormatting>
  <conditionalFormatting sqref="D5:D7">
    <cfRule type="containsText" dxfId="117" priority="8"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125" style="9" bestFit="1" customWidth="1"/>
    <col min="3" max="3" width="3.2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9"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38</v>
      </c>
      <c r="E6" s="123"/>
      <c r="F6" s="121" t="s">
        <v>15</v>
      </c>
      <c r="G6" s="123" t="str">
        <f>IFERROR(CONCATENATE(VLOOKUP(D6,TableMajors[],2,FALSE)," ",VLOOKUP(D6,TableMajors[],3,FALSE)),"")</f>
        <v>MJRP-TCHPR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156" t="str">
        <f>IFERROR(IF(VLOOKUP($A20,TableHandbook[],4,FALSE)=0,"",VLOOKUP($A20,TableHandbook[],4,FALSE)),"")</f>
        <v/>
      </c>
      <c r="E20" s="152" t="str">
        <f>IF(A20="","",E19)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157"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159" t="str">
        <f>IFERROR(IF(VLOOKUP($A22,TableHandbook[],4,FALSE)=0,"",VLOOKUP($A22,TableHandbook[],4,FALSE)),"")</f>
        <v/>
      </c>
      <c r="E22" s="152" t="str">
        <f>IF(A22="","",VLOOKUP($D$7,TableStudyPeriods[],2,FALSE))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156" t="str">
        <f>IFERROR(IF(VLOOKUP($A23,TableHandbook[],4,FALSE)=0,"",VLOOKUP($A23,TableHandbook[],4,FALSE)),"")</f>
        <v/>
      </c>
      <c r="E23" s="152" t="str">
        <f>IF(A23="","",E22)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17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156" t="str">
        <f>IFERROR(IF(VLOOKUP($A26,TableHandbook[],4,FALSE)=0,"",VLOOKUP($A26,TableHandbook[],4,FALSE)),"")</f>
        <v/>
      </c>
      <c r="E26" s="152" t="str">
        <f>IF(A26="","",E25)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17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156" t="str">
        <f>IFERROR(IF(VLOOKUP($A29,TableHandbook[],4,FALSE)=0,"",VLOOKUP($A29,TableHandbook[],4,FALSE)),"")</f>
        <v/>
      </c>
      <c r="E29" s="152" t="str">
        <f>IF(A29="","",E28)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17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52" t="str">
        <f>IF(A31="","",VLOOKUP($D$7,TableStudyPeriods[],5,FALSE))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156" t="str">
        <f>IFERROR(IF(VLOOKUP($A32,TableHandbook[],4,FALSE)=0,"",VLOOKUP($A32,TableHandbook[],4,FALSE)),"")</f>
        <v/>
      </c>
      <c r="E32" s="145" t="str">
        <f>IF(A32="","",E31)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73" t="s">
        <v>34</v>
      </c>
      <c r="B34" s="273"/>
      <c r="C34" s="273"/>
      <c r="D34" s="273"/>
      <c r="E34" s="273"/>
      <c r="F34" s="273"/>
      <c r="G34" s="273"/>
      <c r="H34" s="273"/>
      <c r="I34" s="273"/>
      <c r="J34" s="273"/>
      <c r="K34" s="273"/>
      <c r="L34" s="273"/>
      <c r="M34" s="273"/>
      <c r="N34" s="273"/>
      <c r="O34" s="273"/>
      <c r="P34" s="273"/>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5" priority="1">
      <formula>$A10=""</formula>
    </cfRule>
  </conditionalFormatting>
  <conditionalFormatting sqref="D5:D7">
    <cfRule type="containsText" dxfId="114" priority="3" operator="containsText" text="Choose">
      <formula>NOT(ISERROR(SEARCH("Choose",D5)))</formula>
    </cfRule>
  </conditionalFormatting>
  <conditionalFormatting sqref="H10:O32">
    <cfRule type="expression" dxfId="113"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A35"/>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 style="9" customWidth="1"/>
    <col min="4" max="4" width="56.25" style="8" customWidth="1"/>
    <col min="5" max="5" width="7.25" style="8" customWidth="1"/>
    <col min="6" max="6" width="16.125" style="8" bestFit="1"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269" t="s">
        <v>188</v>
      </c>
      <c r="E5" s="123"/>
      <c r="F5" s="121" t="s">
        <v>12</v>
      </c>
      <c r="G5" s="123" t="str">
        <f>IFERROR(CONCATENATE(VLOOKUP(D5,TableCourses[],2,FALSE)," ",VLOOKUP(D5,TableCourses[],3,FALSE)),"")</f>
        <v/>
      </c>
      <c r="H5" s="123"/>
      <c r="I5" s="123"/>
      <c r="J5" s="123"/>
      <c r="K5" s="124"/>
      <c r="L5" s="124"/>
      <c r="M5" s="124"/>
      <c r="N5" s="124"/>
      <c r="O5" s="124"/>
      <c r="P5" s="127" t="e">
        <f>CONCATENATE(VLOOKUP(D5,TableCourses[],2,FALSE),VLOOKUP(D6,TableStudyPeriods[],2,FALSE))</f>
        <v>#N/A</v>
      </c>
    </row>
    <row r="6" spans="1:27" ht="20.100000000000001" customHeight="1" x14ac:dyDescent="0.25">
      <c r="A6" s="128"/>
      <c r="B6" s="129"/>
      <c r="C6" s="121" t="s">
        <v>16</v>
      </c>
      <c r="D6" s="167" t="s">
        <v>43</v>
      </c>
      <c r="E6" s="131"/>
      <c r="F6" s="121" t="s">
        <v>18</v>
      </c>
      <c r="G6" s="123" t="str">
        <f>IFERROR(VLOOKUP($D$5,TableCourses[],7,FALSE),"")</f>
        <v/>
      </c>
      <c r="H6" s="132"/>
      <c r="I6" s="132"/>
      <c r="J6" s="132"/>
      <c r="K6" s="133"/>
      <c r="L6" s="133"/>
      <c r="M6" s="133"/>
      <c r="N6" s="133"/>
      <c r="O6" s="133"/>
      <c r="P6" s="133"/>
      <c r="AA6" s="10"/>
    </row>
    <row r="7" spans="1:27" s="12" customFormat="1" ht="14.1" customHeight="1" x14ac:dyDescent="0.25">
      <c r="A7" s="134"/>
      <c r="B7" s="134"/>
      <c r="C7" s="134"/>
      <c r="D7" s="135"/>
      <c r="E7" s="136"/>
      <c r="F7" s="134"/>
      <c r="G7" s="134"/>
      <c r="H7" s="137" t="s">
        <v>19</v>
      </c>
      <c r="I7" s="138"/>
      <c r="J7" s="138"/>
      <c r="K7" s="138"/>
      <c r="L7" s="138"/>
      <c r="M7" s="138"/>
      <c r="N7" s="138"/>
      <c r="O7" s="139"/>
      <c r="P7" s="136"/>
      <c r="Q7" s="140"/>
      <c r="R7" s="140"/>
      <c r="S7" s="140"/>
      <c r="AA7" s="11"/>
    </row>
    <row r="8" spans="1:27" s="12" customFormat="1" ht="31.5" x14ac:dyDescent="0.25">
      <c r="A8" s="134" t="s">
        <v>20</v>
      </c>
      <c r="B8" s="134"/>
      <c r="C8" s="134"/>
      <c r="D8" s="135" t="s">
        <v>3</v>
      </c>
      <c r="E8" s="141" t="s">
        <v>21</v>
      </c>
      <c r="F8" s="134" t="s">
        <v>22</v>
      </c>
      <c r="G8" s="134" t="s">
        <v>23</v>
      </c>
      <c r="H8" s="142" t="s">
        <v>24</v>
      </c>
      <c r="I8" s="143" t="s">
        <v>25</v>
      </c>
      <c r="J8" s="142" t="s">
        <v>26</v>
      </c>
      <c r="K8" s="143" t="s">
        <v>27</v>
      </c>
      <c r="L8" s="142" t="s">
        <v>28</v>
      </c>
      <c r="M8" s="143" t="s">
        <v>29</v>
      </c>
      <c r="N8" s="142" t="s">
        <v>30</v>
      </c>
      <c r="O8" s="143" t="s">
        <v>31</v>
      </c>
      <c r="P8" s="134" t="s">
        <v>32</v>
      </c>
      <c r="Q8" s="140"/>
      <c r="R8" s="140"/>
      <c r="S8" s="140"/>
      <c r="AA8" s="11"/>
    </row>
    <row r="9" spans="1:27" s="14" customFormat="1" ht="21" customHeight="1" x14ac:dyDescent="0.15">
      <c r="A9" s="144" t="str">
        <f>IFERROR(IF(HLOOKUP($P$5,RangeUnitsetsTESOL,Q9,FALSE)=0,"",HLOOKUP($P$5,RangeUnitsetsTESOL,Q9,FALSE)),"")</f>
        <v/>
      </c>
      <c r="B9" s="145" t="str">
        <f>IFERROR(IF(VLOOKUP($A9,TableHandbook[],2,FALSE)=0,"",VLOOKUP($A9,TableHandbook[],2,FALSE)),"")</f>
        <v/>
      </c>
      <c r="C9" s="145" t="str">
        <f>IFERROR(IF(VLOOKUP($A9,TableHandbook[],3,FALSE)=0,"",VLOOKUP($A9,TableHandbook[],3,FALSE)),"")</f>
        <v/>
      </c>
      <c r="D9" s="146" t="str">
        <f>IFERROR(IF(VLOOKUP($A9,TableHandbook[],4,FALSE)=0,"",VLOOKUP($A9,TableHandbook[],4,FALSE)),"")</f>
        <v/>
      </c>
      <c r="E9" s="145" t="str">
        <f>IF(A9="","",VLOOKUP($D$6,TableStudyPeriods[],2,FALSE))</f>
        <v/>
      </c>
      <c r="F9" s="147" t="str">
        <f>IFERROR(IF(VLOOKUP($A9,TableHandbook[],6,FALSE)=0,"",VLOOKUP($A9,TableHandbook[],6,FALSE)),"")</f>
        <v/>
      </c>
      <c r="G9" s="145" t="str">
        <f>IFERROR(IF(VLOOKUP($A9,TableHandbook[],5,FALSE)=0,"",VLOOKUP($A9,TableHandbook[],5,FALSE)),"")</f>
        <v/>
      </c>
      <c r="H9" s="148" t="str">
        <f>IFERROR(VLOOKUP($A9,TableHandbook[],H$2,FALSE),"")</f>
        <v/>
      </c>
      <c r="I9" s="149" t="str">
        <f>IFERROR(VLOOKUP($A9,TableHandbook[],I$2,FALSE),"")</f>
        <v/>
      </c>
      <c r="J9" s="148" t="str">
        <f>IFERROR(VLOOKUP($A9,TableHandbook[],J$2,FALSE),"")</f>
        <v/>
      </c>
      <c r="K9" s="149" t="str">
        <f>IFERROR(VLOOKUP($A9,TableHandbook[],K$2,FALSE),"")</f>
        <v/>
      </c>
      <c r="L9" s="148" t="str">
        <f>IFERROR(VLOOKUP($A9,TableHandbook[],L$2,FALSE),"")</f>
        <v/>
      </c>
      <c r="M9" s="149" t="str">
        <f>IFERROR(VLOOKUP($A9,TableHandbook[],M$2,FALSE),"")</f>
        <v/>
      </c>
      <c r="N9" s="148" t="str">
        <f>IFERROR(VLOOKUP($A9,TableHandbook[],N$2,FALSE),"")</f>
        <v/>
      </c>
      <c r="O9" s="149" t="str">
        <f>IFERROR(VLOOKUP($A9,TableHandbook[],O$2,FALSE),"")</f>
        <v/>
      </c>
      <c r="P9" s="23"/>
      <c r="Q9" s="150">
        <v>2</v>
      </c>
      <c r="R9" s="151"/>
      <c r="S9" s="151"/>
      <c r="AA9" s="13"/>
    </row>
    <row r="10" spans="1:27" s="14" customFormat="1" ht="21" customHeight="1" x14ac:dyDescent="0.15">
      <c r="A10" s="144" t="str">
        <f>IFERROR(IF(HLOOKUP($P$5,RangeUnitsetsTESOL,Q10,FALSE)=0,"",HLOOKUP($P$5,RangeUnitsetsTESOL,Q10,FALSE)),"")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IF(OR(A10="",A10="-"),"",E9)</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3</v>
      </c>
      <c r="R10" s="151"/>
      <c r="S10" s="151"/>
      <c r="AA10" s="13"/>
    </row>
    <row r="11" spans="1:27" s="14" customFormat="1" ht="6" customHeight="1" x14ac:dyDescent="0.15">
      <c r="A11" s="172"/>
      <c r="B11" s="173"/>
      <c r="C11" s="173"/>
      <c r="D11" s="174"/>
      <c r="E11" s="173"/>
      <c r="F11" s="175"/>
      <c r="G11" s="173"/>
      <c r="H11" s="176"/>
      <c r="I11" s="177"/>
      <c r="J11" s="176"/>
      <c r="K11" s="177"/>
      <c r="L11" s="176"/>
      <c r="M11" s="177"/>
      <c r="N11" s="176"/>
      <c r="O11" s="177"/>
      <c r="P11" s="107"/>
      <c r="Q11" s="150"/>
      <c r="R11" s="151"/>
      <c r="S11" s="151"/>
      <c r="T11" s="151"/>
      <c r="AA11" s="13"/>
    </row>
    <row r="12" spans="1:27" s="14" customFormat="1" ht="21" customHeight="1" x14ac:dyDescent="0.15">
      <c r="A12" s="144" t="str">
        <f>IFERROR(IF(HLOOKUP($P$5,RangeUnitsetsTESOL,Q12,FALSE)=0,"",HLOOKUP($P$5,RangeUnitsetsTESOL,Q12,FALSE)),"")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IF(A12="","",VLOOKUP($D$6,TableStudyPeriods[],3,FALSE))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4"/>
      <c r="Q12" s="150">
        <v>4</v>
      </c>
      <c r="R12" s="151"/>
      <c r="S12" s="151"/>
      <c r="AA12" s="13"/>
    </row>
    <row r="13" spans="1:27" s="14" customFormat="1" ht="21" customHeight="1" x14ac:dyDescent="0.15">
      <c r="A13" s="144" t="str">
        <f>IFERROR(IF(HLOOKUP($P$5,RangeUnitsetsTESOL,Q13,FALSE)=0,"",HLOOKUP($P$5,RangeUnitsetsTESOL,Q13,FALSE)),"")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5</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IFERROR(IF(HLOOKUP($P$5,RangeUnitsetsTESOL,Q15,FALSE)=0,"",HLOOKUP($P$5,RangeUnitsetsTESOL,Q15,FALSE)),"")</f>
        <v/>
      </c>
      <c r="B15" s="152" t="str">
        <f>IFERROR(IF(VLOOKUP($A15,TableHandbook[],2,FALSE)=0,"",VLOOKUP($A15,TableHandbook[],2,FALSE)),"")</f>
        <v/>
      </c>
      <c r="C15" s="152" t="str">
        <f>IFERROR(IF(VLOOKUP($A15,TableHandbook[],3,FALSE)=0,"",VLOOKUP($A15,TableHandbook[],3,FALSE)),"")</f>
        <v/>
      </c>
      <c r="D15" s="146" t="str">
        <f>IFERROR(IF(VLOOKUP($A15,TableHandbook[],4,FALSE)=0,"",VLOOKUP($A15,TableHandbook[],4,FALSE)),"")</f>
        <v/>
      </c>
      <c r="E15" s="145" t="str">
        <f>IF(A15="","",VLOOKUP($D$6,TableStudyPeriods[],4,FALSE))</f>
        <v/>
      </c>
      <c r="F15" s="147" t="str">
        <f>IFERROR(IF(VLOOKUP($A15,TableHandbook[],6,FALSE)=0,"",VLOOKUP($A15,TableHandbook[],6,FALSE)),"")</f>
        <v/>
      </c>
      <c r="G15" s="152" t="str">
        <f>IFERROR(IF(VLOOKUP($A15,TableHandbook[],5,FALSE)=0,"",VLOOKUP($A15,TableHandbook[],5,FALSE)),"")</f>
        <v/>
      </c>
      <c r="H15" s="153" t="str">
        <f>IFERROR(VLOOKUP($A15,TableHandbook[],H$2,FALSE),"")</f>
        <v/>
      </c>
      <c r="I15" s="154" t="str">
        <f>IFERROR(VLOOKUP($A15,TableHandbook[],I$2,FALSE),"")</f>
        <v/>
      </c>
      <c r="J15" s="153" t="str">
        <f>IFERROR(VLOOKUP($A15,TableHandbook[],J$2,FALSE),"")</f>
        <v/>
      </c>
      <c r="K15" s="154" t="str">
        <f>IFERROR(VLOOKUP($A15,TableHandbook[],K$2,FALSE),"")</f>
        <v/>
      </c>
      <c r="L15" s="153" t="str">
        <f>IFERROR(VLOOKUP($A15,TableHandbook[],L$2,FALSE),"")</f>
        <v/>
      </c>
      <c r="M15" s="154" t="str">
        <f>IFERROR(VLOOKUP($A15,TableHandbook[],M$2,FALSE),"")</f>
        <v/>
      </c>
      <c r="N15" s="153" t="str">
        <f>IFERROR(VLOOKUP($A15,TableHandbook[],N$2,FALSE),"")</f>
        <v/>
      </c>
      <c r="O15" s="154" t="str">
        <f>IFERROR(VLOOKUP($A15,TableHandbook[],O$2,FALSE),"")</f>
        <v/>
      </c>
      <c r="P15" s="24"/>
      <c r="Q15" s="150">
        <v>6</v>
      </c>
      <c r="R15" s="151"/>
      <c r="S15" s="151"/>
      <c r="AA15" s="13"/>
    </row>
    <row r="16" spans="1:27" s="16" customFormat="1" ht="21" customHeight="1" x14ac:dyDescent="0.15">
      <c r="A16" s="144" t="str">
        <f>IFERROR(IF(HLOOKUP($P$5,RangeUnitsetsTESOL,Q16,FALSE)=0,"",HLOOKUP($P$5,RangeUnitsetsTESOL,Q16,FALSE)),"")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IF(OR(A16="",A16="-"),"",E15)</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7</v>
      </c>
      <c r="R16" s="155"/>
      <c r="S16" s="155"/>
      <c r="AA16" s="1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6" customFormat="1" ht="21" customHeight="1" x14ac:dyDescent="0.15">
      <c r="A18" s="144" t="str">
        <f>IFERROR(IF(HLOOKUP($P$5,RangeUnitsetsTESOL,Q18,FALSE)=0,"",HLOOKUP($P$5,RangeUnitsetsTESOL,Q18,FALSE)),"")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IF(A18="","",VLOOKUP($D$6,TableStudyPeriods[],5,FALSE))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8</v>
      </c>
      <c r="R18" s="155"/>
      <c r="S18" s="155"/>
      <c r="AA18" s="15"/>
    </row>
    <row r="19" spans="1:27" s="16" customFormat="1" ht="21" customHeight="1" x14ac:dyDescent="0.15">
      <c r="A19" s="144" t="str">
        <f>IFERROR(IF(HLOOKUP($P$5,RangeUnitsetsTESOL,Q19,FALSE)=0,"",HLOOKUP($P$5,RangeUnitsetsTESOL,Q19,FALSE)),"")</f>
        <v/>
      </c>
      <c r="B19" s="152" t="str">
        <f>IFERROR(IF(VLOOKUP($A19,TableHandbook[],2,FALSE)=0,"",VLOOKUP($A19,TableHandbook[],2,FALSE)),"")</f>
        <v/>
      </c>
      <c r="C19" s="152" t="str">
        <f>IFERROR(IF(VLOOKUP($A19,TableHandbook[],3,FALSE)=0,"",VLOOKUP($A19,TableHandbook[],3,FALSE)),"")</f>
        <v/>
      </c>
      <c r="D19" s="156" t="str">
        <f>IFERROR(IF(VLOOKUP($A19,TableHandbook[],4,FALSE)=0,"",VLOOKUP($A19,TableHandbook[],4,FALSE)),"")</f>
        <v/>
      </c>
      <c r="E19" s="152" t="str">
        <f>IF(OR(A19="",A19="-"),"",E18)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9</v>
      </c>
      <c r="R19" s="155"/>
      <c r="S19" s="155"/>
      <c r="AA19" s="15"/>
    </row>
    <row r="20" spans="1:27" s="12" customFormat="1" ht="31.5" x14ac:dyDescent="0.25">
      <c r="A20" s="134" t="s">
        <v>33</v>
      </c>
      <c r="B20" s="134"/>
      <c r="C20" s="134"/>
      <c r="D20" s="157" t="s">
        <v>3</v>
      </c>
      <c r="E20" s="141" t="s">
        <v>21</v>
      </c>
      <c r="F20" s="134" t="s">
        <v>22</v>
      </c>
      <c r="G20" s="134" t="s">
        <v>23</v>
      </c>
      <c r="H20" s="142" t="str">
        <f>H8</f>
        <v>SSP1 BEN</v>
      </c>
      <c r="I20" s="143" t="str">
        <f t="shared" ref="I20:P20" si="0">I8</f>
        <v>SSP1 FO</v>
      </c>
      <c r="J20" s="142" t="str">
        <f t="shared" si="0"/>
        <v>SSP2 BEN</v>
      </c>
      <c r="K20" s="143" t="str">
        <f t="shared" si="0"/>
        <v>SSP2 FO</v>
      </c>
      <c r="L20" s="142" t="str">
        <f t="shared" si="0"/>
        <v>SSP3 BEN</v>
      </c>
      <c r="M20" s="143" t="str">
        <f t="shared" si="0"/>
        <v>SSP3 FO</v>
      </c>
      <c r="N20" s="142" t="str">
        <f t="shared" si="0"/>
        <v>SSP4 BEN</v>
      </c>
      <c r="O20" s="143" t="str">
        <f t="shared" si="0"/>
        <v>SSP4 FO</v>
      </c>
      <c r="P20" s="134" t="str">
        <f t="shared" si="0"/>
        <v>Notes / Progress</v>
      </c>
      <c r="Q20" s="158"/>
      <c r="R20" s="140"/>
      <c r="S20" s="140"/>
      <c r="AA20" s="11"/>
    </row>
    <row r="21" spans="1:27" s="14" customFormat="1" ht="21" customHeight="1" x14ac:dyDescent="0.15">
      <c r="A21" s="144" t="str">
        <f>IFERROR(IF(HLOOKUP($P$5,RangeUnitsetsTESOL,Q21,FALSE)=0,"",HLOOKUP($P$5,RangeUnitsetsTESOL,Q21,FALSE)),"")</f>
        <v/>
      </c>
      <c r="B21" s="152" t="str">
        <f>IFERROR(IF(VLOOKUP($A21,TableHandbook[],2,FALSE)=0,"",VLOOKUP($A21,TableHandbook[],2,FALSE)),"")</f>
        <v/>
      </c>
      <c r="C21" s="152" t="str">
        <f>IFERROR(IF(VLOOKUP($A21,TableHandbook[],3,FALSE)=0,"",VLOOKUP($A21,TableHandbook[],3,FALSE)),"")</f>
        <v/>
      </c>
      <c r="D21" s="159" t="str">
        <f>IFERROR(IF(VLOOKUP($A21,TableHandbook[],4,FALSE)=0,"",VLOOKUP($A21,TableHandbook[],4,FALSE)),"")</f>
        <v/>
      </c>
      <c r="E21" s="152" t="str">
        <f>IF(A21="","",VLOOKUP($D$6,TableStudyPeriods[],2,FALSE))</f>
        <v/>
      </c>
      <c r="F21" s="147" t="str">
        <f>IFERROR(IF(VLOOKUP($A21,TableHandbook[],6,FALSE)=0,"",VLOOKUP($A21,TableHandbook[],6,FALSE)),"")</f>
        <v/>
      </c>
      <c r="G21" s="145" t="str">
        <f>IFERROR(IF(VLOOKUP($A21,TableHandbook[],5,FALSE)=0,"",VLOOKUP($A21,TableHandbook[],5,FALSE)),"")</f>
        <v/>
      </c>
      <c r="H21" s="148" t="str">
        <f>IFERROR(VLOOKUP($A21,TableHandbook[],H$2,FALSE),"")</f>
        <v/>
      </c>
      <c r="I21" s="149" t="str">
        <f>IFERROR(VLOOKUP($A21,TableHandbook[],I$2,FALSE),"")</f>
        <v/>
      </c>
      <c r="J21" s="148" t="str">
        <f>IFERROR(VLOOKUP($A21,TableHandbook[],J$2,FALSE),"")</f>
        <v/>
      </c>
      <c r="K21" s="149" t="str">
        <f>IFERROR(VLOOKUP($A21,TableHandbook[],K$2,FALSE),"")</f>
        <v/>
      </c>
      <c r="L21" s="148" t="str">
        <f>IFERROR(VLOOKUP($A21,TableHandbook[],L$2,FALSE),"")</f>
        <v/>
      </c>
      <c r="M21" s="149" t="str">
        <f>IFERROR(VLOOKUP($A21,TableHandbook[],M$2,FALSE),"")</f>
        <v/>
      </c>
      <c r="N21" s="148" t="str">
        <f>IFERROR(VLOOKUP($A21,TableHandbook[],N$2,FALSE),"")</f>
        <v/>
      </c>
      <c r="O21" s="149" t="str">
        <f>IFERROR(VLOOKUP($A21,TableHandbook[],O$2,FALSE),"")</f>
        <v/>
      </c>
      <c r="P21" s="22"/>
      <c r="Q21" s="150">
        <v>10</v>
      </c>
      <c r="R21" s="151"/>
      <c r="S21" s="151"/>
      <c r="AA21" s="13"/>
    </row>
    <row r="22" spans="1:27" s="14" customFormat="1" ht="21" customHeight="1" x14ac:dyDescent="0.15">
      <c r="A22" s="144" t="str">
        <f>IFERROR(IF(HLOOKUP($P$5,RangeUnitsetsTESOL,Q22,FALSE)=0,"",HLOOKUP($P$5,RangeUnitsetsTESOL,Q22,FALSE)),"")</f>
        <v/>
      </c>
      <c r="B22" s="152" t="str">
        <f>IFERROR(IF(VLOOKUP($A22,TableHandbook[],2,FALSE)=0,"",VLOOKUP($A22,TableHandbook[],2,FALSE)),"")</f>
        <v/>
      </c>
      <c r="C22" s="152" t="str">
        <f>IFERROR(IF(VLOOKUP($A22,TableHandbook[],3,FALSE)=0,"",VLOOKUP($A22,TableHandbook[],3,FALSE)),"")</f>
        <v/>
      </c>
      <c r="D22" s="156" t="str">
        <f>IFERROR(IF(VLOOKUP($A22,TableHandbook[],4,FALSE)=0,"",VLOOKUP($A22,TableHandbook[],4,FALSE)),"")</f>
        <v/>
      </c>
      <c r="E22" s="152" t="str">
        <f>IF(OR(A22="",A22="-"),"",E21)</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11</v>
      </c>
      <c r="R22" s="151"/>
      <c r="S22" s="151"/>
      <c r="AA22" s="13"/>
    </row>
    <row r="23" spans="1:27" s="14" customFormat="1" ht="6" customHeight="1" x14ac:dyDescent="0.15">
      <c r="A23" s="172"/>
      <c r="B23" s="173"/>
      <c r="C23" s="173"/>
      <c r="D23" s="174"/>
      <c r="E23" s="173"/>
      <c r="F23" s="175"/>
      <c r="G23" s="173"/>
      <c r="H23" s="176"/>
      <c r="I23" s="177"/>
      <c r="J23" s="176"/>
      <c r="K23" s="177"/>
      <c r="L23" s="176"/>
      <c r="M23" s="177"/>
      <c r="N23" s="176"/>
      <c r="O23" s="177"/>
      <c r="P23" s="107"/>
      <c r="Q23" s="150"/>
      <c r="R23" s="151"/>
      <c r="S23" s="151"/>
      <c r="T23" s="151"/>
      <c r="AA23" s="13"/>
    </row>
    <row r="24" spans="1:27" s="14" customFormat="1" ht="21" customHeight="1" x14ac:dyDescent="0.15">
      <c r="A24" s="144" t="str">
        <f>IFERROR(IF(HLOOKUP($P$5,RangeUnitsetsTESOL,Q24,FALSE)=0,"",HLOOKUP($P$5,RangeUnitsetsTESOL,Q24,FALSE)),"")</f>
        <v/>
      </c>
      <c r="B24" s="152" t="str">
        <f>IFERROR(IF(VLOOKUP($A24,TableHandbook[],2,FALSE)=0,"",VLOOKUP($A24,TableHandbook[],2,FALSE)),"")</f>
        <v/>
      </c>
      <c r="C24" s="152" t="str">
        <f>IFERROR(IF(VLOOKUP($A24,TableHandbook[],3,FALSE)=0,"",VLOOKUP($A24,TableHandbook[],3,FALSE)),"")</f>
        <v/>
      </c>
      <c r="D24" s="156" t="str">
        <f>IFERROR(IF(VLOOKUP($A24,TableHandbook[],4,FALSE)=0,"",VLOOKUP($A24,TableHandbook[],4,FALSE)),"")</f>
        <v/>
      </c>
      <c r="E24" s="152" t="str">
        <f>IF(A24="","",VLOOKUP($D$6,TableStudyPeriods[],3,FALSE))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12</v>
      </c>
      <c r="R24" s="151"/>
      <c r="S24" s="151"/>
      <c r="AA24" s="13"/>
    </row>
    <row r="25" spans="1:27" s="14" customFormat="1" ht="21" customHeight="1" x14ac:dyDescent="0.15">
      <c r="A25" s="144" t="str">
        <f>IFERROR(IF(HLOOKUP($P$5,RangeUnitsetsTESOL,Q25,FALSE)=0,"",HLOOKUP($P$5,RangeUnitsetsTESOL,Q25,FALSE)),"")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IF(OR(A25="",A25="-"),"",E24)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13</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IFERROR(IF(HLOOKUP($P$5,RangeUnitsetsTESOL,Q27,FALSE)=0,"",HLOOKUP($P$5,RangeUnitsetsTESOL,Q27,FALSE)),"")</f>
        <v/>
      </c>
      <c r="B27" s="152" t="str">
        <f>IFERROR(IF(VLOOKUP($A27,TableHandbook[],2,FALSE)=0,"",VLOOKUP($A27,TableHandbook[],2,FALSE)),"")</f>
        <v/>
      </c>
      <c r="C27" s="152" t="str">
        <f>IFERROR(IF(VLOOKUP($A27,TableHandbook[],3,FALSE)=0,"",VLOOKUP($A27,TableHandbook[],3,FALSE)),"")</f>
        <v/>
      </c>
      <c r="D27" s="156" t="str">
        <f>IFERROR(IF(VLOOKUP($A27,TableHandbook[],4,FALSE)=0,"",VLOOKUP($A27,TableHandbook[],4,FALSE)),"")</f>
        <v/>
      </c>
      <c r="E27" s="152" t="str">
        <f>IF(A27="","",VLOOKUP($D$6,TableStudyPeriods[],4,FALSE))</f>
        <v/>
      </c>
      <c r="F27" s="147" t="str">
        <f>IFERROR(IF(VLOOKUP($A27,TableHandbook[],6,FALSE)=0,"",VLOOKUP($A27,TableHandbook[],6,FALSE)),"")</f>
        <v/>
      </c>
      <c r="G27" s="145" t="str">
        <f>IFERROR(IF(VLOOKUP($A27,TableHandbook[],5,FALSE)=0,"",VLOOKUP($A27,TableHandbook[],5,FALSE)),"")</f>
        <v/>
      </c>
      <c r="H27" s="153" t="str">
        <f>IFERROR(VLOOKUP($A27,TableHandbook[],H$2,FALSE),"")</f>
        <v/>
      </c>
      <c r="I27" s="154" t="str">
        <f>IFERROR(VLOOKUP($A27,TableHandbook[],I$2,FALSE),"")</f>
        <v/>
      </c>
      <c r="J27" s="153" t="str">
        <f>IFERROR(VLOOKUP($A27,TableHandbook[],J$2,FALSE),"")</f>
        <v/>
      </c>
      <c r="K27" s="154" t="str">
        <f>IFERROR(VLOOKUP($A27,TableHandbook[],K$2,FALSE),"")</f>
        <v/>
      </c>
      <c r="L27" s="153" t="str">
        <f>IFERROR(VLOOKUP($A27,TableHandbook[],L$2,FALSE),"")</f>
        <v/>
      </c>
      <c r="M27" s="154" t="str">
        <f>IFERROR(VLOOKUP($A27,TableHandbook[],M$2,FALSE),"")</f>
        <v/>
      </c>
      <c r="N27" s="153" t="str">
        <f>IFERROR(VLOOKUP($A27,TableHandbook[],N$2,FALSE),"")</f>
        <v/>
      </c>
      <c r="O27" s="154" t="str">
        <f>IFERROR(VLOOKUP($A27,TableHandbook[],O$2,FALSE),"")</f>
        <v/>
      </c>
      <c r="P27" s="22"/>
      <c r="Q27" s="150">
        <v>14</v>
      </c>
      <c r="R27" s="151"/>
      <c r="S27" s="151"/>
      <c r="AA27" s="13"/>
    </row>
    <row r="28" spans="1:27" s="14" customFormat="1" ht="21" customHeight="1" x14ac:dyDescent="0.15">
      <c r="A28" s="144" t="str">
        <f>IFERROR(IF(HLOOKUP($P$5,RangeUnitsetsTESOL,Q28,FALSE)=0,"",HLOOKUP($P$5,RangeUnitsetsTESOL,Q28,FALSE)),"")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IF(OR(A28="",A28="-"),"",E27)</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15</v>
      </c>
      <c r="R28" s="151"/>
      <c r="S28" s="151"/>
      <c r="AA28" s="13"/>
    </row>
    <row r="29" spans="1:27" s="16" customFormat="1" ht="6" customHeight="1" x14ac:dyDescent="0.15">
      <c r="A29" s="172"/>
      <c r="B29" s="173"/>
      <c r="C29" s="173"/>
      <c r="D29" s="174"/>
      <c r="E29" s="173"/>
      <c r="F29" s="175"/>
      <c r="G29" s="173"/>
      <c r="H29" s="176"/>
      <c r="I29" s="177"/>
      <c r="J29" s="176"/>
      <c r="K29" s="177"/>
      <c r="L29" s="176"/>
      <c r="M29" s="177"/>
      <c r="N29" s="176"/>
      <c r="O29" s="177"/>
      <c r="P29" s="107"/>
      <c r="Q29" s="150"/>
      <c r="R29" s="155"/>
      <c r="S29" s="155"/>
      <c r="AA29" s="15"/>
    </row>
    <row r="30" spans="1:27" s="16" customFormat="1" ht="21" customHeight="1" x14ac:dyDescent="0.15">
      <c r="A30" s="144" t="str">
        <f>IFERROR(IF(HLOOKUP($P$5,RangeUnitsetsTESOL,Q30,FALSE)=0,"",HLOOKUP($P$5,RangeUnitsetsTESOL,Q30,FALSE)),"")</f>
        <v/>
      </c>
      <c r="B30" s="152" t="str">
        <f>IFERROR(IF(VLOOKUP($A30,TableHandbook[],2,FALSE)=0,"",VLOOKUP($A30,TableHandbook[],2,FALSE)),"")</f>
        <v/>
      </c>
      <c r="C30" s="152" t="str">
        <f>IFERROR(IF(VLOOKUP($A30,TableHandbook[],3,FALSE)=0,"",VLOOKUP($A30,TableHandbook[],3,FALSE)),"")</f>
        <v/>
      </c>
      <c r="D30" s="156" t="str">
        <f>IFERROR(IF(VLOOKUP($A30,TableHandbook[],4,FALSE)=0,"",VLOOKUP($A30,TableHandbook[],4,FALSE)),"")</f>
        <v/>
      </c>
      <c r="E30" s="152" t="str">
        <f>IF(A30="","",VLOOKUP($D$6,TableStudyPeriods[],5,FALSE))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16</v>
      </c>
      <c r="R30" s="155"/>
      <c r="S30" s="155"/>
      <c r="AA30" s="15"/>
    </row>
    <row r="31" spans="1:27" s="16" customFormat="1" ht="21" customHeight="1" x14ac:dyDescent="0.15">
      <c r="A31" s="144" t="str">
        <f>IFERROR(IF(HLOOKUP($P$5,RangeUnitsetsTESOL,Q31,FALSE)=0,"",HLOOKUP($P$5,RangeUnitsetsTESOL,Q31,FALSE)),"")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45" t="str">
        <f>IF(OR(A31="",A31="-"),"",E30)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17</v>
      </c>
      <c r="R31" s="155"/>
      <c r="S31" s="155"/>
      <c r="AA31" s="15"/>
    </row>
    <row r="32" spans="1:27" ht="15" customHeight="1" x14ac:dyDescent="0.25">
      <c r="A32" s="160"/>
      <c r="B32" s="160"/>
      <c r="C32" s="160"/>
      <c r="D32" s="161"/>
      <c r="E32" s="161"/>
      <c r="F32" s="162"/>
      <c r="G32" s="162"/>
      <c r="H32" s="162"/>
      <c r="I32" s="162"/>
      <c r="J32" s="162"/>
      <c r="K32" s="162"/>
      <c r="L32" s="162"/>
      <c r="M32" s="162"/>
      <c r="N32" s="162"/>
      <c r="O32" s="162"/>
      <c r="P32" s="162"/>
      <c r="AA32" s="10"/>
    </row>
    <row r="33" spans="1:27" s="10" customFormat="1" ht="35.25" customHeight="1" x14ac:dyDescent="0.25">
      <c r="A33" s="273" t="s">
        <v>34</v>
      </c>
      <c r="B33" s="273"/>
      <c r="C33" s="273"/>
      <c r="D33" s="273"/>
      <c r="E33" s="273"/>
      <c r="F33" s="273"/>
      <c r="G33" s="273"/>
      <c r="H33" s="273"/>
      <c r="I33" s="273"/>
      <c r="J33" s="273"/>
      <c r="K33" s="273"/>
      <c r="L33" s="273"/>
      <c r="M33" s="273"/>
      <c r="N33" s="273"/>
      <c r="O33" s="273"/>
      <c r="P33" s="273"/>
      <c r="Q33" s="8"/>
      <c r="R33" s="8"/>
      <c r="S33" s="8"/>
      <c r="T33" s="8"/>
      <c r="U33" s="8"/>
      <c r="V33" s="8"/>
      <c r="W33" s="8"/>
      <c r="X33" s="8"/>
      <c r="Y33" s="8"/>
      <c r="Z33" s="8"/>
    </row>
    <row r="34" spans="1:27" s="18" customFormat="1" ht="17.25" x14ac:dyDescent="0.2">
      <c r="A34" s="66" t="s">
        <v>35</v>
      </c>
      <c r="B34" s="66"/>
      <c r="C34" s="66"/>
      <c r="D34" s="67"/>
      <c r="E34" s="67"/>
      <c r="F34" s="67"/>
      <c r="G34" s="67"/>
      <c r="H34" s="67"/>
      <c r="I34" s="67"/>
      <c r="J34" s="67"/>
      <c r="K34" s="67"/>
      <c r="L34" s="67"/>
      <c r="M34" s="67"/>
      <c r="N34" s="67"/>
      <c r="O34" s="67"/>
      <c r="P34" s="67"/>
      <c r="Q34" s="163"/>
      <c r="R34" s="163"/>
      <c r="S34" s="163"/>
      <c r="AA34" s="17"/>
    </row>
    <row r="35" spans="1:27" x14ac:dyDescent="0.25">
      <c r="A35" s="164" t="s">
        <v>36</v>
      </c>
      <c r="B35" s="164"/>
      <c r="C35" s="164"/>
      <c r="D35" s="164"/>
      <c r="E35" s="165"/>
      <c r="F35" s="162"/>
      <c r="G35" s="166"/>
      <c r="H35" s="166"/>
      <c r="I35" s="166"/>
      <c r="J35" s="166"/>
      <c r="K35" s="166"/>
      <c r="L35" s="166"/>
      <c r="M35" s="166"/>
      <c r="N35" s="166"/>
      <c r="O35" s="166"/>
      <c r="P35" s="166" t="s">
        <v>37</v>
      </c>
    </row>
  </sheetData>
  <sheetProtection formatCells="0"/>
  <mergeCells count="2">
    <mergeCell ref="A3:D3"/>
    <mergeCell ref="A33:P33"/>
  </mergeCells>
  <conditionalFormatting sqref="A9:P31">
    <cfRule type="expression" dxfId="112" priority="2">
      <formula>$A9=""</formula>
    </cfRule>
  </conditionalFormatting>
  <conditionalFormatting sqref="D5:D6">
    <cfRule type="containsText" dxfId="111" priority="3" operator="containsText" text="Choose">
      <formula>NOT(ISERROR(SEARCH("Choose",D5)))</formula>
    </cfRule>
  </conditionalFormatting>
  <conditionalFormatting sqref="H9:O31">
    <cfRule type="expression" dxfId="110"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37"/>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5.875" style="9" customWidth="1"/>
    <col min="4" max="4" width="44.37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74" t="s">
        <v>8</v>
      </c>
      <c r="B3" s="274"/>
      <c r="C3" s="274"/>
      <c r="D3" s="274"/>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40</v>
      </c>
      <c r="E5" s="123"/>
      <c r="F5" s="121" t="s">
        <v>12</v>
      </c>
      <c r="G5" s="128" t="str">
        <f>IFERROR(CONCATENATE(VLOOKUP(D5,TableCourses[],2,FALSE)," ",VLOOKUP(D5,TableCourses[],3,FALSE)),"")</f>
        <v>MC-EDUC v.3</v>
      </c>
      <c r="H5" s="168"/>
      <c r="I5" s="123"/>
      <c r="J5" s="123"/>
      <c r="K5" s="123"/>
      <c r="L5" s="123"/>
      <c r="M5" s="123"/>
      <c r="N5" s="123"/>
      <c r="O5" s="123"/>
      <c r="P5" s="169"/>
      <c r="Q5" s="88"/>
    </row>
    <row r="6" spans="1:27" ht="20.100000000000001" customHeight="1" x14ac:dyDescent="0.25">
      <c r="B6" s="120"/>
      <c r="C6" s="121" t="s">
        <v>41</v>
      </c>
      <c r="D6" s="200" t="s">
        <v>42</v>
      </c>
      <c r="E6" s="123"/>
      <c r="F6" s="121" t="s">
        <v>15</v>
      </c>
      <c r="G6" s="128" t="str">
        <f>IFERROR(CONCATENATE(VLOOKUP(D6,TableSpecialisationsMCEDUC[],2,FALSE)," ",VLOOKUP(D6,TableSpecialisationsMCEDUC[],3,FALSE)),"")</f>
        <v/>
      </c>
      <c r="H6" s="168"/>
      <c r="I6" s="123"/>
      <c r="J6" s="123"/>
      <c r="K6" s="123"/>
      <c r="L6" s="123"/>
      <c r="M6" s="123"/>
      <c r="N6" s="123"/>
      <c r="O6" s="123"/>
      <c r="P6" s="170" t="e">
        <f>CONCATENATE(VLOOKUP(D6,TableSpecialisationsMCEDUC[],2,FALSE),VLOOKUP(D7,TableStudyPeriods[],2,FALSE))</f>
        <v>#N/A</v>
      </c>
      <c r="Q6" s="88"/>
    </row>
    <row r="7" spans="1:27" ht="20.100000000000001" customHeight="1" x14ac:dyDescent="0.25">
      <c r="A7" s="128"/>
      <c r="B7" s="129"/>
      <c r="C7" s="121" t="s">
        <v>16</v>
      </c>
      <c r="D7" s="167" t="s">
        <v>43</v>
      </c>
      <c r="E7" s="131"/>
      <c r="F7" s="121" t="s">
        <v>18</v>
      </c>
      <c r="G7" s="123" t="str">
        <f>IFERROR(VLOOKUP($D$5,TableCourses[],7,FALSE),"")</f>
        <v>200 credit points required</v>
      </c>
      <c r="H7" s="132"/>
      <c r="I7" s="132"/>
      <c r="J7" s="132"/>
      <c r="K7" s="132"/>
      <c r="L7" s="132"/>
      <c r="M7" s="132"/>
      <c r="N7" s="132"/>
      <c r="O7" s="132"/>
      <c r="P7" s="170" t="str">
        <f>IFERROR(CONCATENATE("DD",MID(#REF!,6,5)),"")</f>
        <v/>
      </c>
      <c r="Q7" s="88"/>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58"/>
      <c r="R8" s="140"/>
      <c r="S8" s="140"/>
      <c r="AA8" s="11"/>
    </row>
    <row r="9" spans="1:27" s="12" customFormat="1" ht="31.5" x14ac:dyDescent="0.25">
      <c r="A9" s="134" t="s">
        <v>20</v>
      </c>
      <c r="B9" s="134"/>
      <c r="C9" s="134"/>
      <c r="D9" s="135" t="s">
        <v>3</v>
      </c>
      <c r="E9" s="141" t="s">
        <v>21</v>
      </c>
      <c r="F9" s="134" t="s">
        <v>44</v>
      </c>
      <c r="G9" s="134" t="s">
        <v>23</v>
      </c>
      <c r="H9" s="142" t="s">
        <v>24</v>
      </c>
      <c r="I9" s="143" t="s">
        <v>25</v>
      </c>
      <c r="J9" s="142" t="s">
        <v>26</v>
      </c>
      <c r="K9" s="143" t="s">
        <v>27</v>
      </c>
      <c r="L9" s="142" t="s">
        <v>28</v>
      </c>
      <c r="M9" s="143" t="s">
        <v>29</v>
      </c>
      <c r="N9" s="142" t="s">
        <v>30</v>
      </c>
      <c r="O9" s="143" t="s">
        <v>31</v>
      </c>
      <c r="P9" s="134" t="s">
        <v>32</v>
      </c>
      <c r="Q9" s="158"/>
      <c r="R9" s="140"/>
      <c r="S9" s="140"/>
      <c r="AA9" s="11"/>
    </row>
    <row r="10" spans="1:27" s="14" customFormat="1" ht="21" customHeight="1" x14ac:dyDescent="0.15">
      <c r="A10" s="144" t="str">
        <f>IFERROR(IF(HLOOKUP($P$6,RangeUnitsetsMCEDUC,Q10,FALSE)=0,"",HLOOKUP($P$6,RangeUnitsetsMCEDUC,Q10,FALSE)),"")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71" t="str">
        <f>IFERROR(IF(HLOOKUP($P$6,RangeUnitsetsMCEDUC,Q11,FALSE)=0,"",HLOOKUP($P$6,RangeUnitsetsMCEDUC,Q11,FALSE)),"")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IFERROR(IF(HLOOKUP($P$6,RangeUnitsetsMCEDUC,Q13,FALSE)=0,"",HLOOKUP($P$6,RangeUnitsetsMCEDUC,Q13,FALSE)),"")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IFERROR(IF(HLOOKUP($P$6,RangeUnitsetsMCEDUC,Q14,FALSE)=0,"",HLOOKUP($P$6,RangeUnitsetsMCEDUC,Q14,FALSE)),"")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IFERROR(IF(HLOOKUP($P$6,RangeUnitsetsMCEDUC,Q16,FALSE)=0,"",HLOOKUP($P$6,RangeUnitsetsMCEDUC,Q16,FALSE)),"")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IFERROR(IF(HLOOKUP($P$6,RangeUnitsetsMCEDUC,Q17,FALSE)=0,"",HLOOKUP($P$6,RangeUnitsetsMCEDUC,Q17,FALSE)),"")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IFERROR(IF(HLOOKUP($P$6,RangeUnitsetsMCEDUC,Q19,FALSE)=0,"",HLOOKUP($P$6,RangeUnitsetsMCEDUC,Q19,FALSE)),"")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IFERROR(IF(HLOOKUP($P$6,RangeUnitsetsMCEDUC,Q20,FALSE)=0,"",HLOOKUP($P$6,RangeUnitsetsMCEDUC,Q20,FALSE)),"")</f>
        <v/>
      </c>
      <c r="B20" s="152" t="str">
        <f>IFERROR(IF(VLOOKUP($A20,TableHandbook[],2,FALSE)=0,"",VLOOKUP($A20,TableHandbook[],2,FALSE)),"")</f>
        <v/>
      </c>
      <c r="C20" s="152" t="str">
        <f>IFERROR(IF(VLOOKUP($A20,TableHandbook[],3,FALSE)=0,"",VLOOKUP($A20,TableHandbook[],3,FALSE)),"")</f>
        <v/>
      </c>
      <c r="D20" s="178"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ht="16.5" customHeight="1" x14ac:dyDescent="0.25">
      <c r="A21" s="160"/>
      <c r="B21" s="160"/>
      <c r="C21" s="160"/>
      <c r="D21" s="161"/>
      <c r="E21" s="161"/>
      <c r="F21" s="162"/>
      <c r="G21" s="162"/>
      <c r="H21" s="162"/>
      <c r="I21" s="162"/>
      <c r="J21" s="162"/>
      <c r="K21" s="162"/>
      <c r="L21" s="162"/>
      <c r="M21" s="162"/>
      <c r="N21" s="162"/>
      <c r="O21" s="162"/>
      <c r="P21" s="162"/>
      <c r="Q21" s="88"/>
      <c r="AA21" s="10"/>
    </row>
    <row r="22" spans="1:27" s="20" customFormat="1" ht="20.25" x14ac:dyDescent="0.25">
      <c r="A22" s="249" t="s">
        <v>45</v>
      </c>
      <c r="B22" s="180"/>
      <c r="C22" s="180"/>
      <c r="D22" s="181"/>
      <c r="E22" s="182"/>
      <c r="F22" s="182"/>
      <c r="G22" s="182"/>
      <c r="H22" s="183" t="str">
        <f>H8</f>
        <v>2025 Availabilities</v>
      </c>
      <c r="I22" s="184"/>
      <c r="J22" s="184"/>
      <c r="K22" s="184"/>
      <c r="L22" s="184"/>
      <c r="M22" s="184"/>
      <c r="N22" s="185"/>
      <c r="O22" s="186"/>
      <c r="P22" s="187"/>
      <c r="Q22" s="88"/>
      <c r="AA22" s="19"/>
    </row>
    <row r="23" spans="1:27" ht="21" customHeight="1" x14ac:dyDescent="0.25">
      <c r="A23" s="134"/>
      <c r="B23" s="134"/>
      <c r="C23" s="134"/>
      <c r="D23" s="135" t="s">
        <v>3</v>
      </c>
      <c r="E23" s="141" t="s">
        <v>21</v>
      </c>
      <c r="F23" s="134" t="s">
        <v>44</v>
      </c>
      <c r="G23" s="134" t="s">
        <v>23</v>
      </c>
      <c r="H23" s="142" t="str">
        <f>H9</f>
        <v>SSP1 BEN</v>
      </c>
      <c r="I23" s="143" t="str">
        <f t="shared" ref="I23:P23" si="0">I9</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c r="AA23" s="10"/>
    </row>
    <row r="24" spans="1:27" x14ac:dyDescent="0.25">
      <c r="A24" s="188" t="str">
        <f t="shared" ref="A24:A33" si="1">IFERROR(IF(HLOOKUP($P$6,RangeUnitsetsMCEDUC,Q24,FALSE)=0,"",HLOOKUP($P$6,RangeUnitsetsMCEDUC,Q24,FALSE)),"")</f>
        <v/>
      </c>
      <c r="B24" s="189" t="str">
        <f>IFERROR(IF(VLOOKUP($A24,TableHandbook[],2,FALSE)=0,"",VLOOKUP($A24,TableHandbook[],2,FALSE)),"")</f>
        <v/>
      </c>
      <c r="C24" s="190" t="str">
        <f>IFERROR(IF(VLOOKUP($A24,TableHandbook[],3,FALSE)=0,"",VLOOKUP($A24,TableHandbook[],3,FALSE)),"")</f>
        <v/>
      </c>
      <c r="D24" s="190" t="str">
        <f>IFERROR(IF(VLOOKUP($A24,TableHandbook[],4,FALSE)=0,"",VLOOKUP($A24,TableHandbook[],4,FALSE)),"")</f>
        <v/>
      </c>
      <c r="E24" s="191"/>
      <c r="F24" s="192" t="str">
        <f>IFERROR(IF(VLOOKUP($A24,TableHandbook[],6,FALSE)=0,"",VLOOKUP($A24,TableHandbook[],6,FALSE)),"")</f>
        <v/>
      </c>
      <c r="G24" s="192" t="str">
        <f>IFERROR(IF(VLOOKUP($A24,TableHandbook[],5,FALSE)=0,"",VLOOKUP($A24,TableHandbook[],5,FALSE)),"")</f>
        <v/>
      </c>
      <c r="H24" s="263" t="str">
        <f>IFERROR(VLOOKUP($A24,TableHandbook[],H$2,FALSE),"")</f>
        <v/>
      </c>
      <c r="I24" s="264" t="str">
        <f>IFERROR(VLOOKUP($A24,TableHandbook[],I$2,FALSE),"")</f>
        <v/>
      </c>
      <c r="J24" s="265" t="str">
        <f>IFERROR(VLOOKUP($A24,TableHandbook[],J$2,FALSE),"")</f>
        <v/>
      </c>
      <c r="K24" s="264" t="str">
        <f>IFERROR(VLOOKUP($A24,TableHandbook[],K$2,FALSE),"")</f>
        <v/>
      </c>
      <c r="L24" s="265" t="str">
        <f>IFERROR(VLOOKUP($A24,TableHandbook[],L$2,FALSE),"")</f>
        <v/>
      </c>
      <c r="M24" s="264" t="str">
        <f>IFERROR(VLOOKUP($A24,TableHandbook[],M$2,FALSE),"")</f>
        <v/>
      </c>
      <c r="N24" s="265" t="str">
        <f>IFERROR(VLOOKUP($A24,TableHandbook[],N$2,FALSE),"")</f>
        <v/>
      </c>
      <c r="O24" s="264" t="str">
        <f>IFERROR(VLOOKUP($A24,TableHandbook[],O$2,FALSE),"")</f>
        <v/>
      </c>
      <c r="P24" s="24"/>
      <c r="Q24" s="150">
        <v>10</v>
      </c>
      <c r="AA24" s="10"/>
    </row>
    <row r="25" spans="1:27" x14ac:dyDescent="0.25">
      <c r="A25" s="188" t="str">
        <f t="shared" si="1"/>
        <v/>
      </c>
      <c r="B25" s="189" t="str">
        <f>IFERROR(IF(VLOOKUP($A25,TableHandbook[],2,FALSE)=0,"",VLOOKUP($A25,TableHandbook[],2,FALSE)),"")</f>
        <v/>
      </c>
      <c r="C25" s="190" t="str">
        <f>IFERROR(IF(VLOOKUP($A25,TableHandbook[],3,FALSE)=0,"",VLOOKUP($A25,TableHandbook[],3,FALSE)),"")</f>
        <v/>
      </c>
      <c r="D25" s="190" t="str">
        <f>IFERROR(IF(VLOOKUP($A25,TableHandbook[],4,FALSE)=0,"",VLOOKUP($A25,TableHandbook[],4,FALSE)),"")</f>
        <v/>
      </c>
      <c r="E25" s="191"/>
      <c r="F25" s="192" t="str">
        <f>IFERROR(IF(VLOOKUP($A25,TableHandbook[],6,FALSE)=0,"",VLOOKUP($A25,TableHandbook[],6,FALSE)),"")</f>
        <v/>
      </c>
      <c r="G25" s="192" t="str">
        <f>IFERROR(IF(VLOOKUP($A25,TableHandbook[],5,FALSE)=0,"",VLOOKUP($A25,TableHandbook[],5,FALSE)),"")</f>
        <v/>
      </c>
      <c r="H25" s="266" t="str">
        <f>IFERROR(VLOOKUP($A25,TableHandbook[],H$2,FALSE),"")</f>
        <v/>
      </c>
      <c r="I25" s="267" t="str">
        <f>IFERROR(VLOOKUP($A25,TableHandbook[],I$2,FALSE),"")</f>
        <v/>
      </c>
      <c r="J25" s="268" t="str">
        <f>IFERROR(VLOOKUP($A25,TableHandbook[],J$2,FALSE),"")</f>
        <v/>
      </c>
      <c r="K25" s="267" t="str">
        <f>IFERROR(VLOOKUP($A25,TableHandbook[],K$2,FALSE),"")</f>
        <v/>
      </c>
      <c r="L25" s="268" t="str">
        <f>IFERROR(VLOOKUP($A25,TableHandbook[],L$2,FALSE),"")</f>
        <v/>
      </c>
      <c r="M25" s="267" t="str">
        <f>IFERROR(VLOOKUP($A25,TableHandbook[],M$2,FALSE),"")</f>
        <v/>
      </c>
      <c r="N25" s="268" t="str">
        <f>IFERROR(VLOOKUP($A25,TableHandbook[],N$2,FALSE),"")</f>
        <v/>
      </c>
      <c r="O25" s="267" t="str">
        <f>IFERROR(VLOOKUP($A25,TableHandbook[],O$2,FALSE),"")</f>
        <v/>
      </c>
      <c r="P25" s="24"/>
      <c r="Q25" s="150">
        <v>11</v>
      </c>
      <c r="AA25" s="10"/>
    </row>
    <row r="26" spans="1:27" x14ac:dyDescent="0.25">
      <c r="A26" s="188" t="str">
        <f t="shared" si="1"/>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266" t="str">
        <f>IFERROR(VLOOKUP($A26,TableHandbook[],H$2,FALSE),"")</f>
        <v/>
      </c>
      <c r="I26" s="267" t="str">
        <f>IFERROR(VLOOKUP($A26,TableHandbook[],I$2,FALSE),"")</f>
        <v/>
      </c>
      <c r="J26" s="268" t="str">
        <f>IFERROR(VLOOKUP($A26,TableHandbook[],J$2,FALSE),"")</f>
        <v/>
      </c>
      <c r="K26" s="267" t="str">
        <f>IFERROR(VLOOKUP($A26,TableHandbook[],K$2,FALSE),"")</f>
        <v/>
      </c>
      <c r="L26" s="268" t="str">
        <f>IFERROR(VLOOKUP($A26,TableHandbook[],L$2,FALSE),"")</f>
        <v/>
      </c>
      <c r="M26" s="267" t="str">
        <f>IFERROR(VLOOKUP($A26,TableHandbook[],M$2,FALSE),"")</f>
        <v/>
      </c>
      <c r="N26" s="268" t="str">
        <f>IFERROR(VLOOKUP($A26,TableHandbook[],N$2,FALSE),"")</f>
        <v/>
      </c>
      <c r="O26" s="267" t="str">
        <f>IFERROR(VLOOKUP($A26,TableHandbook[],O$2,FALSE),"")</f>
        <v/>
      </c>
      <c r="P26" s="24"/>
      <c r="Q26" s="150">
        <v>12</v>
      </c>
      <c r="AA26" s="10"/>
    </row>
    <row r="27" spans="1:27" x14ac:dyDescent="0.25">
      <c r="A27" s="188" t="str">
        <f t="shared" si="1"/>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266" t="str">
        <f>IFERROR(VLOOKUP($A27,TableHandbook[],H$2,FALSE),"")</f>
        <v/>
      </c>
      <c r="I27" s="267" t="str">
        <f>IFERROR(VLOOKUP($A27,TableHandbook[],I$2,FALSE),"")</f>
        <v/>
      </c>
      <c r="J27" s="268" t="str">
        <f>IFERROR(VLOOKUP($A27,TableHandbook[],J$2,FALSE),"")</f>
        <v/>
      </c>
      <c r="K27" s="267" t="str">
        <f>IFERROR(VLOOKUP($A27,TableHandbook[],K$2,FALSE),"")</f>
        <v/>
      </c>
      <c r="L27" s="268" t="str">
        <f>IFERROR(VLOOKUP($A27,TableHandbook[],L$2,FALSE),"")</f>
        <v/>
      </c>
      <c r="M27" s="267" t="str">
        <f>IFERROR(VLOOKUP($A27,TableHandbook[],M$2,FALSE),"")</f>
        <v/>
      </c>
      <c r="N27" s="268" t="str">
        <f>IFERROR(VLOOKUP($A27,TableHandbook[],N$2,FALSE),"")</f>
        <v/>
      </c>
      <c r="O27" s="267" t="str">
        <f>IFERROR(VLOOKUP($A27,TableHandbook[],O$2,FALSE),"")</f>
        <v/>
      </c>
      <c r="P27" s="24"/>
      <c r="Q27" s="150">
        <v>13</v>
      </c>
      <c r="AA27" s="10"/>
    </row>
    <row r="28" spans="1:27" x14ac:dyDescent="0.25">
      <c r="A28" s="188" t="str">
        <f t="shared" si="1"/>
        <v/>
      </c>
      <c r="B28" s="189" t="str">
        <f>IFERROR(IF(VLOOKUP($A28,TableHandbook[],2,FALSE)=0,"",VLOOKUP($A28,TableHandbook[],2,FALSE)),"")</f>
        <v/>
      </c>
      <c r="C28" s="190" t="str">
        <f>IFERROR(IF(VLOOKUP($A28,TableHandbook[],3,FALSE)=0,"",VLOOKUP($A28,TableHandbook[],3,FALSE)),"")</f>
        <v/>
      </c>
      <c r="D28" s="190" t="str">
        <f>IFERROR(IF(VLOOKUP($A28,TableHandbook[],4,FALSE)=0,"",VLOOKUP($A28,TableHandbook[],4,FALSE)),"")</f>
        <v/>
      </c>
      <c r="E28" s="191"/>
      <c r="F28" s="192" t="str">
        <f>IFERROR(IF(VLOOKUP($A28,TableHandbook[],6,FALSE)=0,"",VLOOKUP($A28,TableHandbook[],6,FALSE)),"")</f>
        <v/>
      </c>
      <c r="G28" s="192" t="str">
        <f>IFERROR(IF(VLOOKUP($A28,TableHandbook[],5,FALSE)=0,"",VLOOKUP($A28,TableHandbook[],5,FALSE)),"")</f>
        <v/>
      </c>
      <c r="H28" s="263" t="str">
        <f>IFERROR(VLOOKUP($A28,TableHandbook[],H$2,FALSE),"")</f>
        <v/>
      </c>
      <c r="I28" s="264" t="str">
        <f>IFERROR(VLOOKUP($A28,TableHandbook[],I$2,FALSE),"")</f>
        <v/>
      </c>
      <c r="J28" s="265" t="str">
        <f>IFERROR(VLOOKUP($A28,TableHandbook[],J$2,FALSE),"")</f>
        <v/>
      </c>
      <c r="K28" s="264" t="str">
        <f>IFERROR(VLOOKUP($A28,TableHandbook[],K$2,FALSE),"")</f>
        <v/>
      </c>
      <c r="L28" s="265" t="str">
        <f>IFERROR(VLOOKUP($A28,TableHandbook[],L$2,FALSE),"")</f>
        <v/>
      </c>
      <c r="M28" s="264" t="str">
        <f>IFERROR(VLOOKUP($A28,TableHandbook[],M$2,FALSE),"")</f>
        <v/>
      </c>
      <c r="N28" s="265" t="str">
        <f>IFERROR(VLOOKUP($A28,TableHandbook[],N$2,FALSE),"")</f>
        <v/>
      </c>
      <c r="O28" s="264" t="str">
        <f>IFERROR(VLOOKUP($A28,TableHandbook[],O$2,FALSE),"")</f>
        <v/>
      </c>
      <c r="P28" s="24"/>
      <c r="Q28" s="150">
        <v>14</v>
      </c>
      <c r="AA28" s="10"/>
    </row>
    <row r="29" spans="1:27" x14ac:dyDescent="0.25">
      <c r="A29" s="188" t="str">
        <f t="shared" si="1"/>
        <v/>
      </c>
      <c r="B29" s="189" t="str">
        <f>IFERROR(IF(VLOOKUP($A29,TableHandbook[],2,FALSE)=0,"",VLOOKUP($A29,TableHandbook[],2,FALSE)),"")</f>
        <v/>
      </c>
      <c r="C29" s="190" t="str">
        <f>IFERROR(IF(VLOOKUP($A29,TableHandbook[],3,FALSE)=0,"",VLOOKUP($A29,TableHandbook[],3,FALSE)),"")</f>
        <v/>
      </c>
      <c r="D29" s="190" t="str">
        <f>IFERROR(IF(VLOOKUP($A29,TableHandbook[],4,FALSE)=0,"",VLOOKUP($A29,TableHandbook[],4,FALSE)),"")</f>
        <v/>
      </c>
      <c r="E29" s="191"/>
      <c r="F29" s="192" t="str">
        <f>IFERROR(IF(VLOOKUP($A29,TableHandbook[],6,FALSE)=0,"",VLOOKUP($A29,TableHandbook[],6,FALSE)),"")</f>
        <v/>
      </c>
      <c r="G29" s="192" t="str">
        <f>IFERROR(IF(VLOOKUP($A29,TableHandbook[],5,FALSE)=0,"",VLOOKUP($A29,TableHandbook[],5,FALSE)),"")</f>
        <v/>
      </c>
      <c r="H29" s="263" t="str">
        <f>IFERROR(VLOOKUP($A29,TableHandbook[],H$2,FALSE),"")</f>
        <v/>
      </c>
      <c r="I29" s="264" t="str">
        <f>IFERROR(VLOOKUP($A29,TableHandbook[],I$2,FALSE),"")</f>
        <v/>
      </c>
      <c r="J29" s="265" t="str">
        <f>IFERROR(VLOOKUP($A29,TableHandbook[],J$2,FALSE),"")</f>
        <v/>
      </c>
      <c r="K29" s="264" t="str">
        <f>IFERROR(VLOOKUP($A29,TableHandbook[],K$2,FALSE),"")</f>
        <v/>
      </c>
      <c r="L29" s="265" t="str">
        <f>IFERROR(VLOOKUP($A29,TableHandbook[],L$2,FALSE),"")</f>
        <v/>
      </c>
      <c r="M29" s="264" t="str">
        <f>IFERROR(VLOOKUP($A29,TableHandbook[],M$2,FALSE),"")</f>
        <v/>
      </c>
      <c r="N29" s="265" t="str">
        <f>IFERROR(VLOOKUP($A29,TableHandbook[],N$2,FALSE),"")</f>
        <v/>
      </c>
      <c r="O29" s="264" t="str">
        <f>IFERROR(VLOOKUP($A29,TableHandbook[],O$2,FALSE),"")</f>
        <v/>
      </c>
      <c r="P29" s="24"/>
      <c r="Q29" s="150">
        <v>15</v>
      </c>
      <c r="AA29" s="10"/>
    </row>
    <row r="30" spans="1:27" x14ac:dyDescent="0.25">
      <c r="A30" s="188" t="str">
        <f t="shared" si="1"/>
        <v/>
      </c>
      <c r="B30" s="189" t="str">
        <f>IFERROR(IF(VLOOKUP($A30,TableHandbook[],2,FALSE)=0,"",VLOOKUP($A30,TableHandbook[],2,FALSE)),"")</f>
        <v/>
      </c>
      <c r="C30" s="190" t="str">
        <f>IFERROR(IF(VLOOKUP($A30,TableHandbook[],3,FALSE)=0,"",VLOOKUP($A30,TableHandbook[],3,FALSE)),"")</f>
        <v/>
      </c>
      <c r="D30" s="190" t="str">
        <f>IFERROR(IF(VLOOKUP($A30,TableHandbook[],4,FALSE)=0,"",VLOOKUP($A30,TableHandbook[],4,FALSE)),"")</f>
        <v/>
      </c>
      <c r="E30" s="191"/>
      <c r="F30" s="192" t="str">
        <f>IFERROR(IF(VLOOKUP($A30,TableHandbook[],6,FALSE)=0,"",VLOOKUP($A30,TableHandbook[],6,FALSE)),"")</f>
        <v/>
      </c>
      <c r="G30" s="192" t="str">
        <f>IFERROR(IF(VLOOKUP($A30,TableHandbook[],5,FALSE)=0,"",VLOOKUP($A30,TableHandbook[],5,FALSE)),"")</f>
        <v/>
      </c>
      <c r="H30" s="263" t="str">
        <f>IFERROR(VLOOKUP($A30,TableHandbook[],H$2,FALSE),"")</f>
        <v/>
      </c>
      <c r="I30" s="264" t="str">
        <f>IFERROR(VLOOKUP($A30,TableHandbook[],I$2,FALSE),"")</f>
        <v/>
      </c>
      <c r="J30" s="265" t="str">
        <f>IFERROR(VLOOKUP($A30,TableHandbook[],J$2,FALSE),"")</f>
        <v/>
      </c>
      <c r="K30" s="264" t="str">
        <f>IFERROR(VLOOKUP($A30,TableHandbook[],K$2,FALSE),"")</f>
        <v/>
      </c>
      <c r="L30" s="265" t="str">
        <f>IFERROR(VLOOKUP($A30,TableHandbook[],L$2,FALSE),"")</f>
        <v/>
      </c>
      <c r="M30" s="264" t="str">
        <f>IFERROR(VLOOKUP($A30,TableHandbook[],M$2,FALSE),"")</f>
        <v/>
      </c>
      <c r="N30" s="265" t="str">
        <f>IFERROR(VLOOKUP($A30,TableHandbook[],N$2,FALSE),"")</f>
        <v/>
      </c>
      <c r="O30" s="264" t="str">
        <f>IFERROR(VLOOKUP($A30,TableHandbook[],O$2,FALSE),"")</f>
        <v/>
      </c>
      <c r="P30" s="24"/>
      <c r="Q30" s="150">
        <v>16</v>
      </c>
      <c r="AA30" s="10"/>
    </row>
    <row r="31" spans="1:27" x14ac:dyDescent="0.25">
      <c r="A31" s="188" t="str">
        <f t="shared" ref="A31" si="2">IFERROR(IF(HLOOKUP($P$6,RangeUnitsetsMCEDUC,Q31,FALSE)=0,"",HLOOKUP($P$6,RangeUnitsetsMCEDUC,Q31,FALSE)),"")</f>
        <v/>
      </c>
      <c r="B31" s="189" t="str">
        <f>IFERROR(IF(VLOOKUP($A31,TableHandbook[],2,FALSE)=0,"",VLOOKUP($A31,TableHandbook[],2,FALSE)),"")</f>
        <v/>
      </c>
      <c r="C31" s="190" t="str">
        <f>IFERROR(IF(VLOOKUP($A31,TableHandbook[],3,FALSE)=0,"",VLOOKUP($A31,TableHandbook[],3,FALSE)),"")</f>
        <v/>
      </c>
      <c r="D31" s="190" t="str">
        <f>IFERROR(IF(VLOOKUP($A31,TableHandbook[],4,FALSE)=0,"",VLOOKUP($A31,TableHandbook[],4,FALSE)),"")</f>
        <v/>
      </c>
      <c r="E31" s="191"/>
      <c r="F31" s="192" t="str">
        <f>IFERROR(IF(VLOOKUP($A31,TableHandbook[],6,FALSE)=0,"",VLOOKUP($A31,TableHandbook[],6,FALSE)),"")</f>
        <v/>
      </c>
      <c r="G31" s="192" t="str">
        <f>IFERROR(IF(VLOOKUP($A31,TableHandbook[],5,FALSE)=0,"",VLOOKUP($A31,TableHandbook[],5,FALSE)),"")</f>
        <v/>
      </c>
      <c r="H31" s="263" t="str">
        <f>IFERROR(VLOOKUP($A31,TableHandbook[],H$2,FALSE),"")</f>
        <v/>
      </c>
      <c r="I31" s="264" t="str">
        <f>IFERROR(VLOOKUP($A31,TableHandbook[],I$2,FALSE),"")</f>
        <v/>
      </c>
      <c r="J31" s="265" t="str">
        <f>IFERROR(VLOOKUP($A31,TableHandbook[],J$2,FALSE),"")</f>
        <v/>
      </c>
      <c r="K31" s="264" t="str">
        <f>IFERROR(VLOOKUP($A31,TableHandbook[],K$2,FALSE),"")</f>
        <v/>
      </c>
      <c r="L31" s="265" t="str">
        <f>IFERROR(VLOOKUP($A31,TableHandbook[],L$2,FALSE),"")</f>
        <v/>
      </c>
      <c r="M31" s="264" t="str">
        <f>IFERROR(VLOOKUP($A31,TableHandbook[],M$2,FALSE),"")</f>
        <v/>
      </c>
      <c r="N31" s="265" t="str">
        <f>IFERROR(VLOOKUP($A31,TableHandbook[],N$2,FALSE),"")</f>
        <v/>
      </c>
      <c r="O31" s="264" t="str">
        <f>IFERROR(VLOOKUP($A31,TableHandbook[],O$2,FALSE),"")</f>
        <v/>
      </c>
      <c r="P31" s="24"/>
      <c r="Q31" s="150">
        <v>17</v>
      </c>
      <c r="AA31" s="10"/>
    </row>
    <row r="32" spans="1:27" x14ac:dyDescent="0.25">
      <c r="A32" s="188" t="str">
        <f t="shared" si="1"/>
        <v/>
      </c>
      <c r="B32" s="189" t="str">
        <f>IFERROR(IF(VLOOKUP($A32,TableHandbook[],2,FALSE)=0,"",VLOOKUP($A32,TableHandbook[],2,FALSE)),"")</f>
        <v/>
      </c>
      <c r="C32" s="190" t="str">
        <f>IFERROR(IF(VLOOKUP($A32,TableHandbook[],3,FALSE)=0,"",VLOOKUP($A32,TableHandbook[],3,FALSE)),"")</f>
        <v/>
      </c>
      <c r="D32" s="190" t="str">
        <f>IFERROR(IF(VLOOKUP($A32,TableHandbook[],4,FALSE)=0,"",VLOOKUP($A32,TableHandbook[],4,FALSE)),"")</f>
        <v/>
      </c>
      <c r="E32" s="191"/>
      <c r="F32" s="192" t="str">
        <f>IFERROR(IF(VLOOKUP($A32,TableHandbook[],6,FALSE)=0,"",VLOOKUP($A32,TableHandbook[],6,FALSE)),"")</f>
        <v/>
      </c>
      <c r="G32" s="192" t="str">
        <f>IFERROR(IF(VLOOKUP($A32,TableHandbook[],5,FALSE)=0,"",VLOOKUP($A32,TableHandbook[],5,FALSE)),"")</f>
        <v/>
      </c>
      <c r="H32" s="266" t="str">
        <f>IFERROR(VLOOKUP($A32,TableHandbook[],H$2,FALSE),"")</f>
        <v/>
      </c>
      <c r="I32" s="267" t="str">
        <f>IFERROR(VLOOKUP($A32,TableHandbook[],I$2,FALSE),"")</f>
        <v/>
      </c>
      <c r="J32" s="268" t="str">
        <f>IFERROR(VLOOKUP($A32,TableHandbook[],J$2,FALSE),"")</f>
        <v/>
      </c>
      <c r="K32" s="267" t="str">
        <f>IFERROR(VLOOKUP($A32,TableHandbook[],K$2,FALSE),"")</f>
        <v/>
      </c>
      <c r="L32" s="268" t="str">
        <f>IFERROR(VLOOKUP($A32,TableHandbook[],L$2,FALSE),"")</f>
        <v/>
      </c>
      <c r="M32" s="267" t="str">
        <f>IFERROR(VLOOKUP($A32,TableHandbook[],M$2,FALSE),"")</f>
        <v/>
      </c>
      <c r="N32" s="268" t="str">
        <f>IFERROR(VLOOKUP($A32,TableHandbook[],N$2,FALSE),"")</f>
        <v/>
      </c>
      <c r="O32" s="267" t="str">
        <f>IFERROR(VLOOKUP($A32,TableHandbook[],O$2,FALSE),"")</f>
        <v/>
      </c>
      <c r="P32" s="24"/>
      <c r="Q32" s="150">
        <v>18</v>
      </c>
      <c r="AA32" s="10"/>
    </row>
    <row r="33" spans="1:27" x14ac:dyDescent="0.25">
      <c r="A33" s="188" t="str">
        <f t="shared" si="1"/>
        <v/>
      </c>
      <c r="B33" s="189" t="str">
        <f>IFERROR(IF(VLOOKUP($A33,TableHandbook[],2,FALSE)=0,"",VLOOKUP($A33,TableHandbook[],2,FALSE)),"")</f>
        <v/>
      </c>
      <c r="C33" s="190" t="str">
        <f>IFERROR(IF(VLOOKUP($A33,TableHandbook[],3,FALSE)=0,"",VLOOKUP($A33,TableHandbook[],3,FALSE)),"")</f>
        <v/>
      </c>
      <c r="D33" s="190" t="str">
        <f>IFERROR(IF(VLOOKUP($A33,TableHandbook[],4,FALSE)=0,"",VLOOKUP($A33,TableHandbook[],4,FALSE)),"")</f>
        <v/>
      </c>
      <c r="E33" s="191"/>
      <c r="F33" s="192" t="str">
        <f>IFERROR(IF(VLOOKUP($A33,TableHandbook[],6,FALSE)=0,"",VLOOKUP($A33,TableHandbook[],6,FALSE)),"")</f>
        <v/>
      </c>
      <c r="G33" s="192" t="str">
        <f>IFERROR(IF(VLOOKUP($A33,TableHandbook[],5,FALSE)=0,"",VLOOKUP($A33,TableHandbook[],5,FALSE)),"")</f>
        <v/>
      </c>
      <c r="H33" s="266" t="str">
        <f>IFERROR(VLOOKUP($A33,TableHandbook[],H$2,FALSE),"")</f>
        <v/>
      </c>
      <c r="I33" s="267" t="str">
        <f>IFERROR(VLOOKUP($A33,TableHandbook[],I$2,FALSE),"")</f>
        <v/>
      </c>
      <c r="J33" s="268" t="str">
        <f>IFERROR(VLOOKUP($A33,TableHandbook[],J$2,FALSE),"")</f>
        <v/>
      </c>
      <c r="K33" s="267" t="str">
        <f>IFERROR(VLOOKUP($A33,TableHandbook[],K$2,FALSE),"")</f>
        <v/>
      </c>
      <c r="L33" s="268" t="str">
        <f>IFERROR(VLOOKUP($A33,TableHandbook[],L$2,FALSE),"")</f>
        <v/>
      </c>
      <c r="M33" s="267" t="str">
        <f>IFERROR(VLOOKUP($A33,TableHandbook[],M$2,FALSE),"")</f>
        <v/>
      </c>
      <c r="N33" s="268" t="str">
        <f>IFERROR(VLOOKUP($A33,TableHandbook[],N$2,FALSE),"")</f>
        <v/>
      </c>
      <c r="O33" s="267" t="str">
        <f>IFERROR(VLOOKUP($A33,TableHandbook[],O$2,FALSE),"")</f>
        <v/>
      </c>
      <c r="P33" s="24"/>
      <c r="Q33" s="150">
        <v>19</v>
      </c>
      <c r="AA33" s="10"/>
    </row>
    <row r="34" spans="1:27" ht="15" customHeight="1" x14ac:dyDescent="0.25">
      <c r="A34" s="193"/>
      <c r="B34" s="193"/>
      <c r="C34" s="194"/>
      <c r="D34" s="194"/>
      <c r="E34" s="195"/>
      <c r="F34" s="196"/>
      <c r="G34" s="196"/>
      <c r="H34" s="197"/>
      <c r="I34" s="197"/>
      <c r="J34" s="197"/>
      <c r="K34" s="197"/>
      <c r="L34" s="197"/>
      <c r="M34" s="197"/>
      <c r="N34" s="197"/>
      <c r="O34" s="197"/>
      <c r="P34" s="198"/>
      <c r="Q34" s="150"/>
      <c r="AA34" s="10"/>
    </row>
    <row r="35" spans="1:27" s="10" customFormat="1" ht="18" x14ac:dyDescent="0.25">
      <c r="A35" s="199" t="s">
        <v>34</v>
      </c>
      <c r="B35" s="199"/>
      <c r="C35" s="199"/>
      <c r="D35" s="199"/>
      <c r="E35" s="199"/>
      <c r="F35" s="199"/>
      <c r="G35" s="199"/>
      <c r="H35" s="199"/>
      <c r="I35" s="199"/>
      <c r="J35" s="199"/>
      <c r="K35" s="199"/>
      <c r="L35" s="199"/>
      <c r="M35" s="199"/>
      <c r="N35" s="199"/>
      <c r="O35" s="199"/>
      <c r="P35" s="199"/>
      <c r="Q35" s="88"/>
      <c r="R35" s="8"/>
      <c r="S35" s="8"/>
      <c r="T35" s="8"/>
      <c r="U35" s="8"/>
      <c r="V35" s="8"/>
      <c r="W35" s="8"/>
      <c r="X35" s="8"/>
      <c r="Y35" s="8"/>
      <c r="Z35" s="8"/>
    </row>
    <row r="36" spans="1:27" s="18" customFormat="1" ht="17.25" x14ac:dyDescent="0.2">
      <c r="A36" s="66" t="s">
        <v>35</v>
      </c>
      <c r="B36" s="66"/>
      <c r="C36" s="66"/>
      <c r="D36" s="67"/>
      <c r="E36" s="67"/>
      <c r="F36" s="67"/>
      <c r="G36" s="67"/>
      <c r="H36" s="67"/>
      <c r="I36" s="67"/>
      <c r="J36" s="67"/>
      <c r="K36" s="67"/>
      <c r="L36" s="67"/>
      <c r="M36" s="67"/>
      <c r="N36" s="67"/>
      <c r="O36" s="67"/>
      <c r="P36" s="67"/>
      <c r="Q36" s="163"/>
      <c r="R36" s="163"/>
      <c r="S36" s="163"/>
      <c r="AA36" s="17"/>
    </row>
    <row r="37" spans="1:27" x14ac:dyDescent="0.25">
      <c r="A37" s="164" t="s">
        <v>36</v>
      </c>
      <c r="B37" s="164"/>
      <c r="C37" s="164"/>
      <c r="D37" s="164"/>
      <c r="E37" s="165"/>
      <c r="F37" s="162"/>
      <c r="G37" s="166"/>
      <c r="H37" s="166"/>
      <c r="I37" s="166"/>
      <c r="J37" s="166"/>
      <c r="K37" s="166"/>
      <c r="L37" s="166"/>
      <c r="M37" s="166"/>
      <c r="N37" s="166"/>
      <c r="O37" s="166"/>
      <c r="P37" s="166" t="s">
        <v>37</v>
      </c>
    </row>
  </sheetData>
  <sheetProtection formatCells="0"/>
  <mergeCells count="1">
    <mergeCell ref="A3:D3"/>
  </mergeCells>
  <conditionalFormatting sqref="A10:P20 A24:P33">
    <cfRule type="expression" dxfId="109" priority="2">
      <formula>$A10=""</formula>
    </cfRule>
  </conditionalFormatting>
  <conditionalFormatting sqref="D5:D7">
    <cfRule type="containsText" dxfId="108" priority="7" operator="containsText" text="Choose">
      <formula>NOT(ISERROR(SEARCH("Choose",D5)))</formula>
    </cfRule>
  </conditionalFormatting>
  <conditionalFormatting sqref="H10:O20">
    <cfRule type="expression" dxfId="107"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64"/>
  <sheetViews>
    <sheetView topLeftCell="A16" zoomScale="80" zoomScaleNormal="80" workbookViewId="0">
      <selection activeCell="D6" sqref="D6"/>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46</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47</v>
      </c>
      <c r="B3" s="29" t="s">
        <v>0</v>
      </c>
      <c r="C3" s="26" t="s">
        <v>48</v>
      </c>
      <c r="D3" s="26" t="s">
        <v>49</v>
      </c>
      <c r="E3" s="26" t="s">
        <v>50</v>
      </c>
      <c r="F3" s="26" t="s">
        <v>51</v>
      </c>
      <c r="G3" s="26" t="s">
        <v>52</v>
      </c>
      <c r="H3" s="26" t="s">
        <v>53</v>
      </c>
      <c r="I3" s="250"/>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3" t="s">
        <v>54</v>
      </c>
      <c r="B4" s="254" t="s">
        <v>55</v>
      </c>
      <c r="C4" s="254" t="s">
        <v>56</v>
      </c>
      <c r="D4" s="255">
        <v>44197</v>
      </c>
      <c r="E4" s="251">
        <v>4</v>
      </c>
      <c r="F4" s="252">
        <v>45658</v>
      </c>
      <c r="G4" s="104" t="s">
        <v>57</v>
      </c>
      <c r="H4" s="253" t="s">
        <v>58</v>
      </c>
      <c r="I4" s="49" t="s">
        <v>496</v>
      </c>
      <c r="J4" s="93" t="s">
        <v>59</v>
      </c>
      <c r="K4" s="35">
        <v>1</v>
      </c>
      <c r="L4" s="37"/>
      <c r="M4" s="36" t="s">
        <v>60</v>
      </c>
      <c r="N4" s="37"/>
      <c r="O4" s="36" t="s">
        <v>61</v>
      </c>
      <c r="P4" s="37"/>
      <c r="Q4" s="36" t="s">
        <v>62</v>
      </c>
      <c r="R4" s="37"/>
      <c r="S4" s="36" t="s">
        <v>63</v>
      </c>
      <c r="T4" s="37"/>
      <c r="U4" s="36" t="s">
        <v>64</v>
      </c>
      <c r="V4" s="37"/>
      <c r="W4" s="36" t="s">
        <v>65</v>
      </c>
      <c r="X4" s="37"/>
      <c r="Y4" s="36" t="s">
        <v>66</v>
      </c>
      <c r="Z4" s="37"/>
      <c r="AA4" s="36" t="s">
        <v>67</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03" t="s">
        <v>68</v>
      </c>
      <c r="B5" s="254" t="s">
        <v>69</v>
      </c>
      <c r="C5" s="254" t="s">
        <v>56</v>
      </c>
      <c r="D5" s="255">
        <v>43466</v>
      </c>
      <c r="E5" s="254">
        <v>3</v>
      </c>
      <c r="F5" s="255">
        <v>44197</v>
      </c>
      <c r="G5" s="104" t="s">
        <v>57</v>
      </c>
      <c r="H5" s="254" t="s">
        <v>70</v>
      </c>
      <c r="I5" s="49"/>
      <c r="K5" s="39">
        <v>2</v>
      </c>
      <c r="L5" s="56" t="s">
        <v>71</v>
      </c>
      <c r="M5" s="60" t="s">
        <v>72</v>
      </c>
      <c r="N5" s="56" t="s">
        <v>73</v>
      </c>
      <c r="O5" s="60" t="s">
        <v>74</v>
      </c>
      <c r="P5" s="56" t="s">
        <v>75</v>
      </c>
      <c r="Q5" s="60" t="s">
        <v>72</v>
      </c>
      <c r="R5" s="56" t="s">
        <v>76</v>
      </c>
      <c r="S5" s="60" t="s">
        <v>74</v>
      </c>
      <c r="T5" s="56" t="s">
        <v>71</v>
      </c>
      <c r="U5" s="60" t="s">
        <v>72</v>
      </c>
      <c r="V5" s="56" t="s">
        <v>73</v>
      </c>
      <c r="W5" s="60" t="s">
        <v>74</v>
      </c>
      <c r="X5" s="56" t="s">
        <v>75</v>
      </c>
      <c r="Y5" s="60" t="s">
        <v>77</v>
      </c>
      <c r="Z5" s="56" t="s">
        <v>76</v>
      </c>
      <c r="AA5" s="60" t="s">
        <v>74</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78</v>
      </c>
      <c r="B6" s="254" t="s">
        <v>79</v>
      </c>
      <c r="C6" s="254" t="s">
        <v>80</v>
      </c>
      <c r="D6" s="255">
        <v>42736</v>
      </c>
      <c r="E6" s="254">
        <v>4</v>
      </c>
      <c r="F6" s="255">
        <v>44562</v>
      </c>
      <c r="G6" s="104" t="s">
        <v>57</v>
      </c>
      <c r="H6" s="253" t="s">
        <v>58</v>
      </c>
      <c r="I6" s="49"/>
      <c r="K6" s="39">
        <v>3</v>
      </c>
      <c r="L6" s="57" t="s">
        <v>71</v>
      </c>
      <c r="M6" s="61" t="s">
        <v>77</v>
      </c>
      <c r="N6" s="57" t="s">
        <v>73</v>
      </c>
      <c r="O6" s="61"/>
      <c r="P6" s="57" t="s">
        <v>75</v>
      </c>
      <c r="Q6" s="61" t="s">
        <v>81</v>
      </c>
      <c r="R6" s="57" t="s">
        <v>76</v>
      </c>
      <c r="S6" s="61"/>
      <c r="T6" s="57" t="s">
        <v>71</v>
      </c>
      <c r="U6" s="61" t="s">
        <v>77</v>
      </c>
      <c r="V6" s="57" t="s">
        <v>73</v>
      </c>
      <c r="W6" s="61"/>
      <c r="X6" s="57" t="s">
        <v>75</v>
      </c>
      <c r="Y6" s="61" t="s">
        <v>72</v>
      </c>
      <c r="Z6" s="57" t="s">
        <v>76</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7" t="s">
        <v>82</v>
      </c>
      <c r="B7" s="254" t="s">
        <v>83</v>
      </c>
      <c r="C7" s="254" t="s">
        <v>56</v>
      </c>
      <c r="D7" s="255">
        <v>45292</v>
      </c>
      <c r="E7" s="254">
        <v>1</v>
      </c>
      <c r="F7" s="255">
        <v>45292</v>
      </c>
      <c r="G7" s="118" t="s">
        <v>84</v>
      </c>
      <c r="H7" s="254" t="s">
        <v>85</v>
      </c>
      <c r="I7" s="49"/>
      <c r="K7" s="39">
        <v>4</v>
      </c>
      <c r="L7" s="57" t="s">
        <v>73</v>
      </c>
      <c r="M7" s="61" t="s">
        <v>86</v>
      </c>
      <c r="N7" s="57" t="s">
        <v>75</v>
      </c>
      <c r="O7" s="61"/>
      <c r="P7" s="57" t="s">
        <v>76</v>
      </c>
      <c r="Q7" s="61" t="s">
        <v>86</v>
      </c>
      <c r="R7" s="57" t="s">
        <v>71</v>
      </c>
      <c r="S7" s="61"/>
      <c r="T7" s="57" t="s">
        <v>73</v>
      </c>
      <c r="U7" s="61" t="s">
        <v>86</v>
      </c>
      <c r="V7" s="57" t="s">
        <v>75</v>
      </c>
      <c r="W7" s="61"/>
      <c r="X7" s="57" t="s">
        <v>76</v>
      </c>
      <c r="Y7" s="61" t="s">
        <v>87</v>
      </c>
      <c r="Z7" s="57" t="s">
        <v>71</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7" t="s">
        <v>88</v>
      </c>
      <c r="B8" s="254" t="s">
        <v>83</v>
      </c>
      <c r="C8" s="254" t="s">
        <v>56</v>
      </c>
      <c r="D8" s="255">
        <v>45292</v>
      </c>
      <c r="E8" s="254">
        <v>1</v>
      </c>
      <c r="F8" s="255">
        <v>45292</v>
      </c>
      <c r="G8" s="118" t="s">
        <v>84</v>
      </c>
      <c r="H8" s="254" t="s">
        <v>85</v>
      </c>
      <c r="I8" s="49"/>
      <c r="K8" s="39">
        <v>5</v>
      </c>
      <c r="L8" s="57" t="s">
        <v>73</v>
      </c>
      <c r="M8" s="62" t="s">
        <v>89</v>
      </c>
      <c r="N8" s="57" t="s">
        <v>75</v>
      </c>
      <c r="O8" s="61"/>
      <c r="P8" s="57" t="s">
        <v>76</v>
      </c>
      <c r="Q8" s="61" t="s">
        <v>90</v>
      </c>
      <c r="R8" s="57" t="s">
        <v>71</v>
      </c>
      <c r="S8" s="61"/>
      <c r="T8" s="57" t="s">
        <v>73</v>
      </c>
      <c r="U8" s="61" t="s">
        <v>91</v>
      </c>
      <c r="V8" s="57" t="s">
        <v>75</v>
      </c>
      <c r="W8" s="61"/>
      <c r="X8" s="57" t="s">
        <v>76</v>
      </c>
      <c r="Y8" s="61" t="s">
        <v>86</v>
      </c>
      <c r="Z8" s="57" t="s">
        <v>71</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92</v>
      </c>
      <c r="B9" s="254" t="s">
        <v>93</v>
      </c>
      <c r="C9" s="254" t="s">
        <v>94</v>
      </c>
      <c r="D9" s="255">
        <v>43647</v>
      </c>
      <c r="E9" s="254">
        <v>12</v>
      </c>
      <c r="F9" s="255">
        <v>44927</v>
      </c>
      <c r="G9" s="104" t="s">
        <v>84</v>
      </c>
      <c r="H9" s="253" t="s">
        <v>58</v>
      </c>
      <c r="I9" s="49"/>
      <c r="K9" s="39">
        <v>6</v>
      </c>
      <c r="L9" s="57" t="s">
        <v>75</v>
      </c>
      <c r="M9" s="61" t="s">
        <v>81</v>
      </c>
      <c r="N9" s="57" t="s">
        <v>76</v>
      </c>
      <c r="O9" s="61"/>
      <c r="P9" s="57" t="s">
        <v>71</v>
      </c>
      <c r="Q9" s="61" t="s">
        <v>77</v>
      </c>
      <c r="R9" s="57" t="s">
        <v>73</v>
      </c>
      <c r="S9" s="61"/>
      <c r="T9" s="57" t="s">
        <v>75</v>
      </c>
      <c r="U9" s="61" t="s">
        <v>95</v>
      </c>
      <c r="V9" s="57" t="s">
        <v>76</v>
      </c>
      <c r="W9" s="61"/>
      <c r="X9" s="57" t="s">
        <v>71</v>
      </c>
      <c r="Y9" s="61" t="s">
        <v>96</v>
      </c>
      <c r="Z9" s="57" t="s">
        <v>73</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40</v>
      </c>
      <c r="B10" s="254" t="s">
        <v>97</v>
      </c>
      <c r="C10" s="254" t="s">
        <v>98</v>
      </c>
      <c r="D10" s="255">
        <v>44562</v>
      </c>
      <c r="E10" s="251">
        <v>4</v>
      </c>
      <c r="F10" s="252">
        <v>45474</v>
      </c>
      <c r="G10" s="104" t="s">
        <v>84</v>
      </c>
      <c r="H10" s="253" t="s">
        <v>58</v>
      </c>
      <c r="I10" s="49" t="s">
        <v>495</v>
      </c>
      <c r="K10" s="39">
        <v>7</v>
      </c>
      <c r="L10" s="57" t="s">
        <v>75</v>
      </c>
      <c r="M10" s="62" t="s">
        <v>99</v>
      </c>
      <c r="N10" s="57" t="s">
        <v>76</v>
      </c>
      <c r="O10" s="61"/>
      <c r="P10" s="57" t="s">
        <v>71</v>
      </c>
      <c r="Q10" s="61" t="s">
        <v>100</v>
      </c>
      <c r="R10" s="57" t="s">
        <v>73</v>
      </c>
      <c r="S10" s="61"/>
      <c r="T10" s="57" t="s">
        <v>75</v>
      </c>
      <c r="U10" s="61" t="s">
        <v>101</v>
      </c>
      <c r="V10" s="57" t="s">
        <v>76</v>
      </c>
      <c r="W10" s="61"/>
      <c r="X10" s="57" t="s">
        <v>71</v>
      </c>
      <c r="Y10" s="61" t="s">
        <v>91</v>
      </c>
      <c r="Z10" s="57" t="s">
        <v>73</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54" t="s">
        <v>102</v>
      </c>
      <c r="C11" s="254" t="s">
        <v>80</v>
      </c>
      <c r="D11" s="255">
        <v>44562</v>
      </c>
      <c r="E11" s="251">
        <v>8</v>
      </c>
      <c r="F11" s="252">
        <v>45474</v>
      </c>
      <c r="G11" s="104" t="s">
        <v>103</v>
      </c>
      <c r="H11" s="253" t="s">
        <v>58</v>
      </c>
      <c r="I11" s="49" t="s">
        <v>104</v>
      </c>
      <c r="K11" s="39">
        <v>8</v>
      </c>
      <c r="L11" s="57" t="s">
        <v>76</v>
      </c>
      <c r="M11" s="61" t="s">
        <v>95</v>
      </c>
      <c r="N11" s="57" t="s">
        <v>71</v>
      </c>
      <c r="O11" s="61"/>
      <c r="P11" s="57" t="s">
        <v>73</v>
      </c>
      <c r="Q11" s="61" t="s">
        <v>89</v>
      </c>
      <c r="R11" s="57" t="s">
        <v>75</v>
      </c>
      <c r="S11" s="61"/>
      <c r="T11" s="57" t="s">
        <v>76</v>
      </c>
      <c r="U11" s="61" t="s">
        <v>87</v>
      </c>
      <c r="V11" s="57" t="s">
        <v>71</v>
      </c>
      <c r="W11" s="61"/>
      <c r="X11" s="57" t="s">
        <v>73</v>
      </c>
      <c r="Y11" s="61" t="s">
        <v>105</v>
      </c>
      <c r="Z11" s="57" t="s">
        <v>75</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39</v>
      </c>
      <c r="B12" s="254" t="s">
        <v>106</v>
      </c>
      <c r="C12" s="254" t="s">
        <v>80</v>
      </c>
      <c r="D12" s="255">
        <v>44562</v>
      </c>
      <c r="E12" s="254">
        <v>2</v>
      </c>
      <c r="F12" s="255">
        <v>44562</v>
      </c>
      <c r="G12" s="104" t="s">
        <v>103</v>
      </c>
      <c r="H12" s="253" t="s">
        <v>58</v>
      </c>
      <c r="I12" s="49"/>
      <c r="K12" s="39">
        <v>9</v>
      </c>
      <c r="L12" s="57" t="s">
        <v>76</v>
      </c>
      <c r="M12" s="61" t="s">
        <v>90</v>
      </c>
      <c r="N12" s="59" t="s">
        <v>71</v>
      </c>
      <c r="O12" s="61"/>
      <c r="P12" s="57" t="s">
        <v>73</v>
      </c>
      <c r="Q12" s="61" t="s">
        <v>107</v>
      </c>
      <c r="R12" s="59" t="s">
        <v>75</v>
      </c>
      <c r="S12" s="61"/>
      <c r="T12" s="57" t="s">
        <v>76</v>
      </c>
      <c r="U12" s="61" t="s">
        <v>108</v>
      </c>
      <c r="V12" s="59" t="s">
        <v>71</v>
      </c>
      <c r="W12" s="61"/>
      <c r="X12" s="57" t="s">
        <v>73</v>
      </c>
      <c r="Y12" s="61" t="s">
        <v>101</v>
      </c>
      <c r="Z12" s="59" t="s">
        <v>75</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109</v>
      </c>
      <c r="M13" s="60" t="s">
        <v>100</v>
      </c>
      <c r="N13" s="56" t="s">
        <v>110</v>
      </c>
      <c r="O13" s="60"/>
      <c r="P13" s="56" t="s">
        <v>111</v>
      </c>
      <c r="Q13" s="60" t="s">
        <v>99</v>
      </c>
      <c r="R13" s="56" t="s">
        <v>112</v>
      </c>
      <c r="S13" s="60"/>
      <c r="T13" s="56" t="s">
        <v>109</v>
      </c>
      <c r="U13" s="60" t="s">
        <v>113</v>
      </c>
      <c r="V13" s="56" t="s">
        <v>110</v>
      </c>
      <c r="W13" s="60"/>
      <c r="X13" s="56" t="s">
        <v>111</v>
      </c>
      <c r="Y13" s="60" t="s">
        <v>95</v>
      </c>
      <c r="Z13" s="56" t="s">
        <v>112</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114</v>
      </c>
      <c r="K14" s="39">
        <v>11</v>
      </c>
      <c r="L14" s="57" t="s">
        <v>109</v>
      </c>
      <c r="M14" s="61" t="s">
        <v>115</v>
      </c>
      <c r="N14" s="57" t="s">
        <v>110</v>
      </c>
      <c r="O14" s="61"/>
      <c r="P14" s="57" t="s">
        <v>111</v>
      </c>
      <c r="Q14" s="61" t="s">
        <v>116</v>
      </c>
      <c r="R14" s="57" t="s">
        <v>112</v>
      </c>
      <c r="S14" s="61"/>
      <c r="T14" s="57" t="s">
        <v>109</v>
      </c>
      <c r="U14" s="61" t="s">
        <v>117</v>
      </c>
      <c r="V14" s="57" t="s">
        <v>110</v>
      </c>
      <c r="W14" s="61"/>
      <c r="X14" s="57" t="s">
        <v>111</v>
      </c>
      <c r="Y14" s="61" t="s">
        <v>118</v>
      </c>
      <c r="Z14" s="57" t="s">
        <v>112</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119</v>
      </c>
      <c r="B15" s="29" t="s">
        <v>0</v>
      </c>
      <c r="C15" s="26" t="s">
        <v>48</v>
      </c>
      <c r="D15" s="26" t="s">
        <v>49</v>
      </c>
      <c r="E15" s="26" t="s">
        <v>50</v>
      </c>
      <c r="F15" s="26" t="s">
        <v>51</v>
      </c>
      <c r="G15" s="26" t="s">
        <v>52</v>
      </c>
      <c r="K15" s="39">
        <v>12</v>
      </c>
      <c r="L15" s="57" t="s">
        <v>110</v>
      </c>
      <c r="M15" s="61" t="s">
        <v>107</v>
      </c>
      <c r="N15" s="57" t="s">
        <v>111</v>
      </c>
      <c r="O15" s="61"/>
      <c r="P15" s="57" t="s">
        <v>112</v>
      </c>
      <c r="Q15" s="61" t="s">
        <v>120</v>
      </c>
      <c r="R15" s="57" t="s">
        <v>109</v>
      </c>
      <c r="S15" s="61"/>
      <c r="T15" s="57" t="s">
        <v>110</v>
      </c>
      <c r="U15" s="61" t="s">
        <v>121</v>
      </c>
      <c r="V15" s="57" t="s">
        <v>111</v>
      </c>
      <c r="W15" s="61"/>
      <c r="X15" s="57" t="s">
        <v>112</v>
      </c>
      <c r="Y15" s="61" t="s">
        <v>108</v>
      </c>
      <c r="Z15" s="57" t="s">
        <v>109</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54" t="s">
        <v>122</v>
      </c>
      <c r="C16" s="254" t="s">
        <v>80</v>
      </c>
      <c r="D16" s="255">
        <v>44562</v>
      </c>
      <c r="E16" s="254">
        <v>6</v>
      </c>
      <c r="F16" s="255">
        <v>45017</v>
      </c>
      <c r="G16" s="40" t="s">
        <v>103</v>
      </c>
      <c r="K16" s="39">
        <v>13</v>
      </c>
      <c r="L16" s="57" t="s">
        <v>110</v>
      </c>
      <c r="M16" s="61" t="s">
        <v>123</v>
      </c>
      <c r="N16" s="57" t="s">
        <v>111</v>
      </c>
      <c r="O16" s="61"/>
      <c r="P16" s="57" t="s">
        <v>112</v>
      </c>
      <c r="Q16" s="61" t="s">
        <v>95</v>
      </c>
      <c r="R16" s="57" t="s">
        <v>109</v>
      </c>
      <c r="S16" s="61"/>
      <c r="T16" s="57" t="s">
        <v>110</v>
      </c>
      <c r="U16" s="61" t="s">
        <v>105</v>
      </c>
      <c r="V16" s="57" t="s">
        <v>111</v>
      </c>
      <c r="W16" s="61"/>
      <c r="X16" s="57" t="s">
        <v>112</v>
      </c>
      <c r="Y16" s="61" t="s">
        <v>124</v>
      </c>
      <c r="Z16" s="57" t="s">
        <v>109</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54" t="s">
        <v>125</v>
      </c>
      <c r="C17" s="254" t="s">
        <v>80</v>
      </c>
      <c r="D17" s="255">
        <v>44562</v>
      </c>
      <c r="E17" s="254">
        <v>6</v>
      </c>
      <c r="F17" s="255">
        <v>45017</v>
      </c>
      <c r="G17" s="40" t="s">
        <v>103</v>
      </c>
      <c r="K17" s="39">
        <v>14</v>
      </c>
      <c r="L17" s="57" t="s">
        <v>111</v>
      </c>
      <c r="M17" s="62" t="s">
        <v>117</v>
      </c>
      <c r="N17" s="57" t="s">
        <v>112</v>
      </c>
      <c r="O17" s="61"/>
      <c r="P17" s="57" t="s">
        <v>109</v>
      </c>
      <c r="Q17" s="61" t="s">
        <v>117</v>
      </c>
      <c r="R17" s="57" t="s">
        <v>110</v>
      </c>
      <c r="S17" s="61"/>
      <c r="T17" s="57" t="s">
        <v>111</v>
      </c>
      <c r="U17" s="61" t="s">
        <v>96</v>
      </c>
      <c r="V17" s="57" t="s">
        <v>112</v>
      </c>
      <c r="W17" s="61"/>
      <c r="X17" s="57" t="s">
        <v>109</v>
      </c>
      <c r="Y17" s="61" t="s">
        <v>113</v>
      </c>
      <c r="Z17" s="57" t="s">
        <v>110</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126</v>
      </c>
      <c r="B18" s="254" t="s">
        <v>127</v>
      </c>
      <c r="C18" s="254" t="s">
        <v>80</v>
      </c>
      <c r="D18" s="255">
        <v>44562</v>
      </c>
      <c r="E18" s="254">
        <v>7</v>
      </c>
      <c r="F18" s="255">
        <v>45017</v>
      </c>
      <c r="G18" s="40" t="s">
        <v>103</v>
      </c>
      <c r="K18" s="39">
        <v>15</v>
      </c>
      <c r="L18" s="57" t="s">
        <v>111</v>
      </c>
      <c r="M18" s="61" t="s">
        <v>116</v>
      </c>
      <c r="N18" s="57" t="s">
        <v>112</v>
      </c>
      <c r="O18" s="61"/>
      <c r="P18" s="57" t="s">
        <v>109</v>
      </c>
      <c r="Q18" s="61" t="s">
        <v>115</v>
      </c>
      <c r="R18" s="57" t="s">
        <v>110</v>
      </c>
      <c r="S18" s="61"/>
      <c r="T18" s="57" t="s">
        <v>111</v>
      </c>
      <c r="U18" s="61" t="s">
        <v>118</v>
      </c>
      <c r="V18" s="57" t="s">
        <v>112</v>
      </c>
      <c r="W18" s="61"/>
      <c r="X18" s="57" t="s">
        <v>109</v>
      </c>
      <c r="Y18" s="61" t="s">
        <v>117</v>
      </c>
      <c r="Z18" s="57" t="s">
        <v>110</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112</v>
      </c>
      <c r="M19" s="61" t="s">
        <v>120</v>
      </c>
      <c r="N19" s="57" t="s">
        <v>109</v>
      </c>
      <c r="O19" s="61"/>
      <c r="P19" s="57" t="s">
        <v>110</v>
      </c>
      <c r="Q19" s="61" t="s">
        <v>123</v>
      </c>
      <c r="R19" s="57" t="s">
        <v>111</v>
      </c>
      <c r="S19" s="61"/>
      <c r="T19" s="57" t="s">
        <v>112</v>
      </c>
      <c r="U19" s="61" t="s">
        <v>124</v>
      </c>
      <c r="V19" s="57" t="s">
        <v>109</v>
      </c>
      <c r="W19" s="61"/>
      <c r="X19" s="57" t="s">
        <v>110</v>
      </c>
      <c r="Y19" s="61" t="s">
        <v>121</v>
      </c>
      <c r="Z19" s="57" t="s">
        <v>111</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128</v>
      </c>
      <c r="G20"/>
      <c r="H20"/>
      <c r="K20" s="39">
        <v>17</v>
      </c>
      <c r="L20" s="59" t="s">
        <v>112</v>
      </c>
      <c r="M20" s="65" t="s">
        <v>129</v>
      </c>
      <c r="N20" s="59" t="s">
        <v>109</v>
      </c>
      <c r="O20" s="64"/>
      <c r="P20" s="59" t="s">
        <v>110</v>
      </c>
      <c r="Q20" s="58" t="s">
        <v>129</v>
      </c>
      <c r="R20" s="59" t="s">
        <v>111</v>
      </c>
      <c r="S20" s="58"/>
      <c r="T20" s="59" t="s">
        <v>112</v>
      </c>
      <c r="U20" s="58" t="s">
        <v>129</v>
      </c>
      <c r="V20" s="59" t="s">
        <v>109</v>
      </c>
      <c r="W20" s="58"/>
      <c r="X20" s="59" t="s">
        <v>110</v>
      </c>
      <c r="Y20" s="58" t="s">
        <v>129</v>
      </c>
      <c r="Z20" s="59" t="s">
        <v>111</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42</v>
      </c>
      <c r="B21" s="46" t="s">
        <v>0</v>
      </c>
      <c r="C21" s="26" t="s">
        <v>48</v>
      </c>
      <c r="D21" s="26" t="s">
        <v>49</v>
      </c>
      <c r="E21" s="26" t="s">
        <v>50</v>
      </c>
      <c r="F21" s="26" t="s">
        <v>51</v>
      </c>
      <c r="G21" s="27" t="s">
        <v>52</v>
      </c>
      <c r="H21"/>
      <c r="K21" s="39">
        <v>18</v>
      </c>
      <c r="L21" s="57" t="s">
        <v>130</v>
      </c>
      <c r="M21" s="63" t="s">
        <v>131</v>
      </c>
      <c r="N21" s="57" t="s">
        <v>132</v>
      </c>
      <c r="O21" s="61"/>
      <c r="P21" s="57" t="s">
        <v>133</v>
      </c>
      <c r="Q21" s="63" t="s">
        <v>131</v>
      </c>
      <c r="R21" s="57" t="s">
        <v>134</v>
      </c>
      <c r="S21" s="63"/>
      <c r="T21" s="57" t="s">
        <v>130</v>
      </c>
      <c r="U21" s="61" t="s">
        <v>131</v>
      </c>
      <c r="V21" s="57" t="s">
        <v>132</v>
      </c>
      <c r="W21" s="61"/>
      <c r="X21" s="57" t="s">
        <v>133</v>
      </c>
      <c r="Y21" s="61" t="s">
        <v>131</v>
      </c>
      <c r="Z21" s="57" t="s">
        <v>134</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5" t="s">
        <v>135</v>
      </c>
      <c r="B22" s="40" t="s">
        <v>136</v>
      </c>
      <c r="C22" s="40"/>
      <c r="D22" s="116"/>
      <c r="E22" s="40"/>
      <c r="F22" s="116"/>
      <c r="G22" s="40"/>
      <c r="H22"/>
      <c r="K22" s="39">
        <v>19</v>
      </c>
      <c r="L22" s="59" t="s">
        <v>130</v>
      </c>
      <c r="M22" s="64"/>
      <c r="N22" s="59" t="s">
        <v>132</v>
      </c>
      <c r="O22" s="64"/>
      <c r="P22" s="59" t="s">
        <v>133</v>
      </c>
      <c r="Q22" s="64"/>
      <c r="R22" s="59" t="s">
        <v>134</v>
      </c>
      <c r="S22" s="64"/>
      <c r="T22" s="59" t="s">
        <v>130</v>
      </c>
      <c r="U22" s="58"/>
      <c r="V22" s="59" t="s">
        <v>132</v>
      </c>
      <c r="W22" s="58"/>
      <c r="X22" s="59" t="s">
        <v>133</v>
      </c>
      <c r="Y22" s="58"/>
      <c r="Z22" s="59" t="s">
        <v>134</v>
      </c>
      <c r="AA22" s="58"/>
      <c r="AB22"/>
      <c r="AC22"/>
      <c r="AD22"/>
      <c r="AE22"/>
      <c r="AF22"/>
      <c r="AG22"/>
      <c r="AH22"/>
      <c r="AI22"/>
      <c r="AJ22"/>
      <c r="AK22"/>
      <c r="AL22"/>
      <c r="AM22"/>
      <c r="AN22"/>
      <c r="AO22"/>
      <c r="AP22"/>
      <c r="AQ22"/>
      <c r="AR22"/>
      <c r="AS22"/>
      <c r="AT22"/>
    </row>
    <row r="23" spans="1:51" x14ac:dyDescent="0.25">
      <c r="A23" s="41" t="s">
        <v>137</v>
      </c>
      <c r="B23" s="254" t="s">
        <v>138</v>
      </c>
      <c r="C23" s="254" t="s">
        <v>56</v>
      </c>
      <c r="D23" s="255">
        <v>44562</v>
      </c>
      <c r="E23" s="254">
        <v>1</v>
      </c>
      <c r="F23" s="255">
        <v>44562</v>
      </c>
      <c r="G23" s="40" t="s">
        <v>57</v>
      </c>
      <c r="H23"/>
      <c r="AB23" s="44"/>
      <c r="AC23" s="44"/>
      <c r="AD23" s="44"/>
      <c r="AE23" s="44"/>
      <c r="AF23" s="44"/>
      <c r="AG23"/>
      <c r="AH23"/>
      <c r="AI23"/>
      <c r="AJ23"/>
      <c r="AK23"/>
      <c r="AL23"/>
      <c r="AM23"/>
      <c r="AN23"/>
      <c r="AO23"/>
      <c r="AP23"/>
      <c r="AU23"/>
      <c r="AV23"/>
      <c r="AW23"/>
      <c r="AX23"/>
      <c r="AY23"/>
    </row>
    <row r="24" spans="1:51" x14ac:dyDescent="0.25">
      <c r="A24" s="41" t="s">
        <v>139</v>
      </c>
      <c r="B24" s="254" t="s">
        <v>140</v>
      </c>
      <c r="C24" s="254" t="s">
        <v>56</v>
      </c>
      <c r="D24" s="255">
        <v>44562</v>
      </c>
      <c r="E24" s="254">
        <v>1</v>
      </c>
      <c r="F24" s="255">
        <v>44562</v>
      </c>
      <c r="G24" s="40" t="s">
        <v>57</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141</v>
      </c>
      <c r="B25" s="254" t="s">
        <v>142</v>
      </c>
      <c r="C25" s="254" t="s">
        <v>56</v>
      </c>
      <c r="D25" s="255">
        <v>44562</v>
      </c>
      <c r="E25" s="254">
        <v>1</v>
      </c>
      <c r="F25" s="255">
        <v>44562</v>
      </c>
      <c r="G25" s="40" t="s">
        <v>57</v>
      </c>
      <c r="H25"/>
      <c r="J25" s="93" t="s">
        <v>143</v>
      </c>
      <c r="K25" s="35">
        <v>1</v>
      </c>
      <c r="L25" s="37"/>
      <c r="M25" s="36" t="s">
        <v>144</v>
      </c>
      <c r="N25" s="37"/>
      <c r="O25" s="36" t="s">
        <v>145</v>
      </c>
      <c r="P25" s="37"/>
      <c r="Q25" s="36" t="s">
        <v>146</v>
      </c>
      <c r="R25" s="37"/>
      <c r="S25" s="36" t="s">
        <v>147</v>
      </c>
      <c r="T25" s="37"/>
      <c r="U25" s="36" t="s">
        <v>148</v>
      </c>
      <c r="V25" s="37"/>
      <c r="W25" s="36" t="s">
        <v>149</v>
      </c>
      <c r="X25" s="37"/>
      <c r="Y25" s="36" t="s">
        <v>150</v>
      </c>
      <c r="Z25" s="37"/>
      <c r="AA25" s="36" t="s">
        <v>151</v>
      </c>
      <c r="AB25" s="37"/>
      <c r="AC25" s="36" t="s">
        <v>152</v>
      </c>
      <c r="AD25" s="37"/>
      <c r="AE25" s="36" t="s">
        <v>153</v>
      </c>
      <c r="AF25" s="37"/>
      <c r="AG25" s="36" t="s">
        <v>154</v>
      </c>
      <c r="AH25" s="37"/>
      <c r="AI25" s="36" t="s">
        <v>155</v>
      </c>
      <c r="AJ25"/>
      <c r="AK25"/>
      <c r="AL25"/>
      <c r="AM25"/>
      <c r="AN25"/>
      <c r="AO25"/>
      <c r="AP25"/>
      <c r="AQ25"/>
    </row>
    <row r="26" spans="1:51" x14ac:dyDescent="0.25">
      <c r="A26"/>
      <c r="B26"/>
      <c r="C26"/>
      <c r="D26"/>
      <c r="E26"/>
      <c r="F26"/>
      <c r="G26"/>
      <c r="H26"/>
      <c r="K26" s="39">
        <v>2</v>
      </c>
      <c r="L26" s="56" t="s">
        <v>71</v>
      </c>
      <c r="M26" s="60" t="s">
        <v>156</v>
      </c>
      <c r="N26" s="56" t="s">
        <v>73</v>
      </c>
      <c r="O26" s="60" t="s">
        <v>74</v>
      </c>
      <c r="P26" s="56" t="s">
        <v>75</v>
      </c>
      <c r="Q26" s="60" t="s">
        <v>157</v>
      </c>
      <c r="R26" s="56" t="s">
        <v>76</v>
      </c>
      <c r="S26" s="60" t="s">
        <v>74</v>
      </c>
      <c r="T26" s="56" t="s">
        <v>71</v>
      </c>
      <c r="U26" s="60" t="s">
        <v>158</v>
      </c>
      <c r="V26" s="56" t="s">
        <v>73</v>
      </c>
      <c r="W26" s="60" t="s">
        <v>74</v>
      </c>
      <c r="X26" s="56" t="s">
        <v>75</v>
      </c>
      <c r="Y26" s="60" t="s">
        <v>158</v>
      </c>
      <c r="Z26" s="56" t="s">
        <v>76</v>
      </c>
      <c r="AA26" s="60" t="s">
        <v>74</v>
      </c>
      <c r="AB26" s="56" t="s">
        <v>71</v>
      </c>
      <c r="AC26" s="60" t="s">
        <v>72</v>
      </c>
      <c r="AD26" s="56" t="s">
        <v>73</v>
      </c>
      <c r="AE26" s="60" t="s">
        <v>74</v>
      </c>
      <c r="AF26" s="56" t="s">
        <v>75</v>
      </c>
      <c r="AG26" s="60" t="s">
        <v>72</v>
      </c>
      <c r="AH26" s="56" t="s">
        <v>76</v>
      </c>
      <c r="AI26" s="60" t="s">
        <v>74</v>
      </c>
      <c r="AJ26" s="35"/>
    </row>
    <row r="27" spans="1:51" x14ac:dyDescent="0.25">
      <c r="A27" s="73" t="s">
        <v>159</v>
      </c>
      <c r="I27"/>
      <c r="K27" s="39">
        <v>3</v>
      </c>
      <c r="L27" s="57" t="s">
        <v>71</v>
      </c>
      <c r="M27" s="61" t="s">
        <v>160</v>
      </c>
      <c r="N27" s="57" t="s">
        <v>73</v>
      </c>
      <c r="O27" s="61"/>
      <c r="P27" s="57" t="s">
        <v>75</v>
      </c>
      <c r="Q27" s="61" t="s">
        <v>161</v>
      </c>
      <c r="R27" s="57" t="s">
        <v>76</v>
      </c>
      <c r="S27" s="61"/>
      <c r="T27" s="57" t="s">
        <v>71</v>
      </c>
      <c r="U27" s="61" t="s">
        <v>162</v>
      </c>
      <c r="V27" s="57" t="s">
        <v>73</v>
      </c>
      <c r="W27" s="61"/>
      <c r="X27" s="57" t="s">
        <v>75</v>
      </c>
      <c r="Y27" s="61" t="s">
        <v>163</v>
      </c>
      <c r="Z27" s="57" t="s">
        <v>76</v>
      </c>
      <c r="AA27" s="61"/>
      <c r="AB27" s="57" t="s">
        <v>71</v>
      </c>
      <c r="AC27" s="61" t="s">
        <v>156</v>
      </c>
      <c r="AD27" s="57" t="s">
        <v>73</v>
      </c>
      <c r="AE27" s="61"/>
      <c r="AF27" s="57" t="s">
        <v>75</v>
      </c>
      <c r="AG27" s="61" t="s">
        <v>161</v>
      </c>
      <c r="AH27" s="57" t="s">
        <v>76</v>
      </c>
      <c r="AI27" s="61"/>
      <c r="AJ27" s="35"/>
    </row>
    <row r="28" spans="1:51" x14ac:dyDescent="0.25">
      <c r="A28" s="45" t="s">
        <v>43</v>
      </c>
      <c r="B28" s="46" t="s">
        <v>164</v>
      </c>
      <c r="C28" s="26" t="s">
        <v>165</v>
      </c>
      <c r="D28" s="26" t="s">
        <v>166</v>
      </c>
      <c r="E28" s="26" t="s">
        <v>167</v>
      </c>
      <c r="I28"/>
      <c r="K28" s="39">
        <v>4</v>
      </c>
      <c r="L28" s="57" t="s">
        <v>73</v>
      </c>
      <c r="M28" s="61" t="s">
        <v>168</v>
      </c>
      <c r="N28" s="57" t="s">
        <v>75</v>
      </c>
      <c r="O28" s="61"/>
      <c r="P28" s="57" t="s">
        <v>76</v>
      </c>
      <c r="Q28" s="61" t="s">
        <v>168</v>
      </c>
      <c r="R28" s="57" t="s">
        <v>71</v>
      </c>
      <c r="S28" s="61"/>
      <c r="T28" s="57" t="s">
        <v>73</v>
      </c>
      <c r="U28" s="61" t="s">
        <v>169</v>
      </c>
      <c r="V28" s="57" t="s">
        <v>75</v>
      </c>
      <c r="W28" s="61"/>
      <c r="X28" s="57" t="s">
        <v>76</v>
      </c>
      <c r="Y28" s="61" t="s">
        <v>170</v>
      </c>
      <c r="Z28" s="57" t="s">
        <v>71</v>
      </c>
      <c r="AA28" s="61"/>
      <c r="AB28" s="57" t="s">
        <v>73</v>
      </c>
      <c r="AC28" s="61" t="s">
        <v>168</v>
      </c>
      <c r="AD28" s="57" t="s">
        <v>75</v>
      </c>
      <c r="AE28" s="61"/>
      <c r="AF28" s="57" t="s">
        <v>76</v>
      </c>
      <c r="AG28" s="61" t="s">
        <v>168</v>
      </c>
      <c r="AH28" s="57" t="s">
        <v>71</v>
      </c>
      <c r="AI28" s="61"/>
    </row>
    <row r="29" spans="1:51" x14ac:dyDescent="0.25">
      <c r="A29" s="26" t="s">
        <v>17</v>
      </c>
      <c r="B29" s="104" t="s">
        <v>171</v>
      </c>
      <c r="C29" s="104" t="s">
        <v>172</v>
      </c>
      <c r="D29" s="104" t="s">
        <v>173</v>
      </c>
      <c r="E29" s="104" t="s">
        <v>174</v>
      </c>
      <c r="F29" s="104"/>
      <c r="I29"/>
      <c r="K29" s="39">
        <v>5</v>
      </c>
      <c r="L29" s="59" t="s">
        <v>73</v>
      </c>
      <c r="M29" s="58" t="s">
        <v>175</v>
      </c>
      <c r="N29" s="59" t="s">
        <v>75</v>
      </c>
      <c r="O29" s="58"/>
      <c r="P29" s="59" t="s">
        <v>76</v>
      </c>
      <c r="Q29" s="58" t="s">
        <v>176</v>
      </c>
      <c r="R29" s="59" t="s">
        <v>71</v>
      </c>
      <c r="S29" s="58"/>
      <c r="T29" s="57" t="s">
        <v>73</v>
      </c>
      <c r="U29" s="61" t="s">
        <v>177</v>
      </c>
      <c r="V29" s="57" t="s">
        <v>75</v>
      </c>
      <c r="W29" s="61"/>
      <c r="X29" s="57" t="s">
        <v>76</v>
      </c>
      <c r="Y29" s="61" t="s">
        <v>177</v>
      </c>
      <c r="Z29" s="57" t="s">
        <v>71</v>
      </c>
      <c r="AA29" s="61"/>
      <c r="AB29" s="57" t="s">
        <v>73</v>
      </c>
      <c r="AC29" s="61" t="s">
        <v>95</v>
      </c>
      <c r="AD29" s="57" t="s">
        <v>75</v>
      </c>
      <c r="AE29" s="61"/>
      <c r="AF29" s="57" t="s">
        <v>76</v>
      </c>
      <c r="AG29" s="61" t="s">
        <v>178</v>
      </c>
      <c r="AH29" s="57" t="s">
        <v>71</v>
      </c>
      <c r="AI29" s="61"/>
    </row>
    <row r="30" spans="1:51" x14ac:dyDescent="0.25">
      <c r="A30" s="26" t="s">
        <v>179</v>
      </c>
      <c r="B30" s="104" t="s">
        <v>172</v>
      </c>
      <c r="C30" s="104" t="s">
        <v>173</v>
      </c>
      <c r="D30" s="104" t="s">
        <v>174</v>
      </c>
      <c r="E30" s="104" t="s">
        <v>171</v>
      </c>
      <c r="F30" s="104"/>
      <c r="I30"/>
      <c r="K30" s="39">
        <v>6</v>
      </c>
      <c r="L30" s="57"/>
      <c r="M30" s="61"/>
      <c r="N30" s="57"/>
      <c r="O30" s="61"/>
      <c r="P30" s="57"/>
      <c r="Q30" s="61"/>
      <c r="R30" s="57"/>
      <c r="S30" s="61"/>
      <c r="T30" s="57" t="s">
        <v>75</v>
      </c>
      <c r="U30" s="61" t="s">
        <v>180</v>
      </c>
      <c r="V30" s="57" t="s">
        <v>76</v>
      </c>
      <c r="W30" s="61"/>
      <c r="X30" s="57" t="s">
        <v>71</v>
      </c>
      <c r="Y30" s="61" t="s">
        <v>180</v>
      </c>
      <c r="Z30" s="57" t="s">
        <v>73</v>
      </c>
      <c r="AA30" s="61"/>
      <c r="AB30" s="57" t="s">
        <v>75</v>
      </c>
      <c r="AC30" s="61" t="s">
        <v>181</v>
      </c>
      <c r="AD30" s="57" t="s">
        <v>76</v>
      </c>
      <c r="AE30" s="61"/>
      <c r="AF30" s="57" t="s">
        <v>71</v>
      </c>
      <c r="AG30" s="61" t="s">
        <v>156</v>
      </c>
      <c r="AH30" s="57" t="s">
        <v>73</v>
      </c>
      <c r="AI30" s="61"/>
    </row>
    <row r="31" spans="1:51" x14ac:dyDescent="0.25">
      <c r="A31" s="26" t="s">
        <v>182</v>
      </c>
      <c r="B31" s="104" t="s">
        <v>173</v>
      </c>
      <c r="C31" s="104" t="s">
        <v>174</v>
      </c>
      <c r="D31" s="104" t="s">
        <v>171</v>
      </c>
      <c r="E31" s="104" t="s">
        <v>172</v>
      </c>
      <c r="F31" s="104"/>
      <c r="I31"/>
      <c r="K31" s="39">
        <v>7</v>
      </c>
      <c r="L31" s="57"/>
      <c r="M31" s="61"/>
      <c r="N31" s="57"/>
      <c r="O31" s="61"/>
      <c r="P31" s="57"/>
      <c r="Q31" s="61"/>
      <c r="R31" s="57"/>
      <c r="S31" s="61"/>
      <c r="T31" s="57" t="s">
        <v>75</v>
      </c>
      <c r="U31" s="61" t="s">
        <v>163</v>
      </c>
      <c r="V31" s="57" t="s">
        <v>76</v>
      </c>
      <c r="W31" s="63"/>
      <c r="X31" s="57" t="s">
        <v>71</v>
      </c>
      <c r="Y31" s="61" t="s">
        <v>162</v>
      </c>
      <c r="Z31" s="57" t="s">
        <v>73</v>
      </c>
      <c r="AA31" s="63"/>
      <c r="AB31" s="57" t="s">
        <v>75</v>
      </c>
      <c r="AC31" s="61" t="s">
        <v>161</v>
      </c>
      <c r="AD31" s="57" t="s">
        <v>76</v>
      </c>
      <c r="AE31" s="61"/>
      <c r="AF31" s="57" t="s">
        <v>71</v>
      </c>
      <c r="AG31" s="61" t="s">
        <v>181</v>
      </c>
      <c r="AH31" s="57" t="s">
        <v>73</v>
      </c>
      <c r="AI31" s="61"/>
    </row>
    <row r="32" spans="1:51" x14ac:dyDescent="0.25">
      <c r="A32" s="26" t="s">
        <v>183</v>
      </c>
      <c r="B32" s="104" t="s">
        <v>174</v>
      </c>
      <c r="C32" s="104" t="s">
        <v>171</v>
      </c>
      <c r="D32" s="104" t="s">
        <v>172</v>
      </c>
      <c r="E32" s="104" t="s">
        <v>173</v>
      </c>
      <c r="F32" s="104"/>
      <c r="I32"/>
      <c r="K32" s="39">
        <v>8</v>
      </c>
      <c r="L32" s="57"/>
      <c r="M32" s="61"/>
      <c r="N32" s="57"/>
      <c r="O32" s="61"/>
      <c r="P32" s="57"/>
      <c r="Q32" s="61"/>
      <c r="R32" s="57"/>
      <c r="S32" s="61"/>
      <c r="T32" s="57" t="s">
        <v>76</v>
      </c>
      <c r="U32" s="61" t="s">
        <v>184</v>
      </c>
      <c r="V32" s="57" t="s">
        <v>71</v>
      </c>
      <c r="W32" s="61"/>
      <c r="X32" s="57" t="s">
        <v>73</v>
      </c>
      <c r="Y32" s="61" t="s">
        <v>184</v>
      </c>
      <c r="Z32" s="57" t="s">
        <v>75</v>
      </c>
      <c r="AA32" s="61"/>
      <c r="AB32" s="57" t="s">
        <v>76</v>
      </c>
      <c r="AC32" s="61" t="s">
        <v>178</v>
      </c>
      <c r="AD32" s="57" t="s">
        <v>71</v>
      </c>
      <c r="AE32" s="61"/>
      <c r="AF32" s="57" t="s">
        <v>73</v>
      </c>
      <c r="AG32" s="61" t="s">
        <v>95</v>
      </c>
      <c r="AH32" s="57" t="s">
        <v>75</v>
      </c>
      <c r="AI32" s="61"/>
    </row>
    <row r="33" spans="1:43" x14ac:dyDescent="0.25">
      <c r="E33" s="47"/>
      <c r="F33" s="47"/>
      <c r="I33"/>
      <c r="K33" s="39">
        <v>9</v>
      </c>
      <c r="L33" s="57"/>
      <c r="M33" s="61"/>
      <c r="N33" s="59"/>
      <c r="O33" s="61"/>
      <c r="P33" s="57"/>
      <c r="Q33" s="61"/>
      <c r="R33" s="59"/>
      <c r="S33" s="61"/>
      <c r="T33" s="57" t="s">
        <v>76</v>
      </c>
      <c r="U33" s="63" t="s">
        <v>185</v>
      </c>
      <c r="V33" s="59" t="s">
        <v>71</v>
      </c>
      <c r="W33" s="61"/>
      <c r="X33" s="57" t="s">
        <v>73</v>
      </c>
      <c r="Y33" s="63" t="s">
        <v>185</v>
      </c>
      <c r="Z33" s="59" t="s">
        <v>75</v>
      </c>
      <c r="AA33" s="61"/>
      <c r="AB33" s="57" t="s">
        <v>76</v>
      </c>
      <c r="AC33" s="61" t="s">
        <v>176</v>
      </c>
      <c r="AD33" s="59" t="s">
        <v>71</v>
      </c>
      <c r="AE33" s="61"/>
      <c r="AF33" s="57" t="s">
        <v>73</v>
      </c>
      <c r="AG33" s="61" t="s">
        <v>175</v>
      </c>
      <c r="AH33" s="59" t="s">
        <v>75</v>
      </c>
      <c r="AI33" s="61"/>
    </row>
    <row r="34" spans="1:43" x14ac:dyDescent="0.25">
      <c r="A34" s="73" t="s">
        <v>186</v>
      </c>
      <c r="F34" s="47"/>
      <c r="I34"/>
      <c r="K34" s="39">
        <v>10</v>
      </c>
      <c r="L34" s="56"/>
      <c r="M34" s="60"/>
      <c r="N34" s="56"/>
      <c r="O34" s="60"/>
      <c r="P34" s="56"/>
      <c r="Q34" s="60"/>
      <c r="R34" s="56"/>
      <c r="S34" s="60"/>
      <c r="T34" s="56"/>
      <c r="U34" s="60"/>
      <c r="V34" s="56"/>
      <c r="W34" s="60"/>
      <c r="X34" s="56"/>
      <c r="Y34" s="60"/>
      <c r="Z34" s="56"/>
      <c r="AA34" s="60"/>
      <c r="AB34" s="56" t="s">
        <v>109</v>
      </c>
      <c r="AC34" s="60" t="s">
        <v>158</v>
      </c>
      <c r="AD34" s="56" t="s">
        <v>110</v>
      </c>
      <c r="AE34" s="60"/>
      <c r="AF34" s="56" t="s">
        <v>111</v>
      </c>
      <c r="AG34" s="60" t="s">
        <v>158</v>
      </c>
      <c r="AH34" s="56" t="s">
        <v>112</v>
      </c>
      <c r="AI34" s="60"/>
    </row>
    <row r="35" spans="1:43" x14ac:dyDescent="0.25">
      <c r="A35" s="45" t="s">
        <v>43</v>
      </c>
      <c r="B35" s="46" t="s">
        <v>164</v>
      </c>
      <c r="C35" s="26" t="s">
        <v>165</v>
      </c>
      <c r="D35" s="26" t="s">
        <v>166</v>
      </c>
      <c r="E35" s="26" t="s">
        <v>167</v>
      </c>
      <c r="F35" s="47"/>
      <c r="I35"/>
      <c r="K35" s="39">
        <v>11</v>
      </c>
      <c r="L35" s="57"/>
      <c r="M35" s="61"/>
      <c r="N35" s="57"/>
      <c r="O35" s="61"/>
      <c r="P35" s="57"/>
      <c r="Q35" s="61"/>
      <c r="R35" s="57"/>
      <c r="S35" s="61"/>
      <c r="T35" s="57"/>
      <c r="U35" s="61"/>
      <c r="V35" s="57"/>
      <c r="W35" s="61"/>
      <c r="X35" s="57"/>
      <c r="Y35" s="61"/>
      <c r="Z35" s="57"/>
      <c r="AA35" s="61"/>
      <c r="AB35" s="57" t="s">
        <v>109</v>
      </c>
      <c r="AC35" s="61" t="s">
        <v>162</v>
      </c>
      <c r="AD35" s="57" t="s">
        <v>110</v>
      </c>
      <c r="AE35" s="61"/>
      <c r="AF35" s="57" t="s">
        <v>111</v>
      </c>
      <c r="AG35" s="61" t="s">
        <v>163</v>
      </c>
      <c r="AH35" s="57" t="s">
        <v>112</v>
      </c>
      <c r="AI35" s="61"/>
    </row>
    <row r="36" spans="1:43" ht="15.75" customHeight="1" x14ac:dyDescent="0.25">
      <c r="A36" s="26" t="s">
        <v>17</v>
      </c>
      <c r="B36" s="104" t="s">
        <v>171</v>
      </c>
      <c r="C36" s="104" t="s">
        <v>172</v>
      </c>
      <c r="D36" s="104" t="s">
        <v>173</v>
      </c>
      <c r="E36" s="104" t="s">
        <v>174</v>
      </c>
      <c r="F36" s="47"/>
      <c r="K36" s="39">
        <v>12</v>
      </c>
      <c r="L36" s="57"/>
      <c r="M36" s="61"/>
      <c r="N36" s="57"/>
      <c r="O36" s="61"/>
      <c r="P36" s="57"/>
      <c r="Q36" s="61"/>
      <c r="R36" s="57"/>
      <c r="S36" s="61"/>
      <c r="T36" s="57"/>
      <c r="U36" s="61"/>
      <c r="V36" s="57"/>
      <c r="W36" s="61"/>
      <c r="X36" s="57"/>
      <c r="Y36" s="61"/>
      <c r="Z36" s="57"/>
      <c r="AA36" s="61"/>
      <c r="AB36" s="57" t="s">
        <v>110</v>
      </c>
      <c r="AC36" s="61" t="s">
        <v>169</v>
      </c>
      <c r="AD36" s="57" t="s">
        <v>111</v>
      </c>
      <c r="AE36" s="61"/>
      <c r="AF36" s="57" t="s">
        <v>112</v>
      </c>
      <c r="AG36" s="61" t="s">
        <v>170</v>
      </c>
      <c r="AH36" s="57" t="s">
        <v>109</v>
      </c>
      <c r="AI36" s="61"/>
    </row>
    <row r="37" spans="1:43" x14ac:dyDescent="0.25">
      <c r="A37" s="26" t="s">
        <v>182</v>
      </c>
      <c r="B37" s="104" t="s">
        <v>173</v>
      </c>
      <c r="C37" s="104" t="s">
        <v>174</v>
      </c>
      <c r="D37" s="104" t="s">
        <v>171</v>
      </c>
      <c r="E37" s="104" t="s">
        <v>172</v>
      </c>
      <c r="F37" s="47"/>
      <c r="K37" s="39">
        <v>13</v>
      </c>
      <c r="L37" s="57"/>
      <c r="M37" s="61"/>
      <c r="N37" s="57"/>
      <c r="O37" s="61"/>
      <c r="P37" s="57"/>
      <c r="Q37" s="61"/>
      <c r="R37" s="57"/>
      <c r="S37" s="61"/>
      <c r="T37" s="57"/>
      <c r="U37" s="61"/>
      <c r="V37" s="57"/>
      <c r="W37" s="61"/>
      <c r="X37" s="57"/>
      <c r="Y37" s="61"/>
      <c r="Z37" s="57"/>
      <c r="AA37" s="61"/>
      <c r="AB37" s="57" t="s">
        <v>110</v>
      </c>
      <c r="AC37" s="61" t="s">
        <v>177</v>
      </c>
      <c r="AD37" s="57" t="s">
        <v>111</v>
      </c>
      <c r="AE37" s="61"/>
      <c r="AF37" s="57" t="s">
        <v>112</v>
      </c>
      <c r="AG37" s="61" t="s">
        <v>177</v>
      </c>
      <c r="AH37" s="57" t="s">
        <v>109</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111</v>
      </c>
      <c r="AC38" s="61" t="s">
        <v>180</v>
      </c>
      <c r="AD38" s="57" t="s">
        <v>112</v>
      </c>
      <c r="AE38" s="61"/>
      <c r="AF38" s="57" t="s">
        <v>109</v>
      </c>
      <c r="AG38" s="61" t="s">
        <v>180</v>
      </c>
      <c r="AH38" s="57" t="s">
        <v>110</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111</v>
      </c>
      <c r="AC39" s="61" t="s">
        <v>163</v>
      </c>
      <c r="AD39" s="57" t="s">
        <v>112</v>
      </c>
      <c r="AE39" s="63"/>
      <c r="AF39" s="57" t="s">
        <v>109</v>
      </c>
      <c r="AG39" s="61" t="s">
        <v>162</v>
      </c>
      <c r="AH39" s="57" t="s">
        <v>110</v>
      </c>
      <c r="AI39" s="63"/>
    </row>
    <row r="40" spans="1:43" x14ac:dyDescent="0.25">
      <c r="A40" s="73" t="s">
        <v>187</v>
      </c>
      <c r="B40"/>
      <c r="C40"/>
      <c r="D40"/>
      <c r="E40"/>
      <c r="F40" s="47"/>
      <c r="K40" s="39">
        <v>16</v>
      </c>
      <c r="L40" s="57"/>
      <c r="M40" s="61"/>
      <c r="N40" s="57"/>
      <c r="O40" s="61"/>
      <c r="P40" s="57"/>
      <c r="Q40" s="61"/>
      <c r="R40" s="57"/>
      <c r="S40" s="61"/>
      <c r="T40" s="57"/>
      <c r="U40" s="61"/>
      <c r="V40" s="57"/>
      <c r="W40" s="61"/>
      <c r="X40" s="57"/>
      <c r="Y40" s="61"/>
      <c r="Z40" s="57"/>
      <c r="AA40" s="61"/>
      <c r="AB40" s="57" t="s">
        <v>112</v>
      </c>
      <c r="AC40" s="61" t="s">
        <v>184</v>
      </c>
      <c r="AD40" s="57" t="s">
        <v>109</v>
      </c>
      <c r="AE40" s="61"/>
      <c r="AF40" s="57" t="s">
        <v>110</v>
      </c>
      <c r="AG40" s="61" t="s">
        <v>184</v>
      </c>
      <c r="AH40" s="57" t="s">
        <v>111</v>
      </c>
      <c r="AI40" s="61"/>
    </row>
    <row r="41" spans="1:43" x14ac:dyDescent="0.25">
      <c r="A41" s="98" t="s">
        <v>188</v>
      </c>
      <c r="B41"/>
      <c r="C41"/>
      <c r="D41"/>
      <c r="E41"/>
      <c r="F41" s="47"/>
      <c r="K41" s="39">
        <v>17</v>
      </c>
      <c r="L41" s="59"/>
      <c r="M41" s="58"/>
      <c r="N41" s="59"/>
      <c r="O41" s="58"/>
      <c r="P41" s="59"/>
      <c r="Q41" s="58"/>
      <c r="R41" s="59"/>
      <c r="S41" s="58"/>
      <c r="T41" s="59"/>
      <c r="U41" s="58"/>
      <c r="V41" s="59"/>
      <c r="W41" s="58"/>
      <c r="X41" s="59"/>
      <c r="Y41" s="58"/>
      <c r="Z41" s="59"/>
      <c r="AA41" s="58"/>
      <c r="AB41" s="59" t="s">
        <v>112</v>
      </c>
      <c r="AC41" s="64" t="s">
        <v>185</v>
      </c>
      <c r="AD41" s="59" t="s">
        <v>109</v>
      </c>
      <c r="AE41" s="58"/>
      <c r="AF41" s="59" t="s">
        <v>110</v>
      </c>
      <c r="AG41" s="64" t="s">
        <v>185</v>
      </c>
      <c r="AH41" s="59" t="s">
        <v>111</v>
      </c>
      <c r="AI41" s="58"/>
    </row>
    <row r="42" spans="1:43" x14ac:dyDescent="0.25">
      <c r="A42" s="96" t="s">
        <v>78</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92</v>
      </c>
      <c r="C43"/>
      <c r="F43"/>
      <c r="G43"/>
      <c r="K43"/>
      <c r="L43"/>
      <c r="M43"/>
      <c r="N43"/>
      <c r="O43"/>
      <c r="P43"/>
      <c r="Q43"/>
      <c r="R43"/>
      <c r="S43"/>
      <c r="T43"/>
      <c r="U43"/>
      <c r="V43"/>
      <c r="W43"/>
      <c r="X43"/>
      <c r="Y43"/>
      <c r="Z43"/>
      <c r="AA43"/>
      <c r="AB43"/>
      <c r="AC43"/>
      <c r="AD43"/>
      <c r="AE43"/>
      <c r="AF43"/>
      <c r="AG43"/>
      <c r="AH43"/>
      <c r="AI43"/>
    </row>
    <row r="44" spans="1:43" x14ac:dyDescent="0.25">
      <c r="A44" s="97" t="s">
        <v>39</v>
      </c>
      <c r="F44"/>
      <c r="J44" s="93" t="s">
        <v>189</v>
      </c>
      <c r="K44" s="35">
        <v>1</v>
      </c>
      <c r="L44" s="99"/>
      <c r="M44" s="100" t="s">
        <v>190</v>
      </c>
      <c r="N44" s="99"/>
      <c r="O44" s="100" t="s">
        <v>191</v>
      </c>
      <c r="P44" s="99"/>
      <c r="Q44" s="100" t="s">
        <v>192</v>
      </c>
      <c r="R44" s="99"/>
      <c r="S44" s="100" t="s">
        <v>193</v>
      </c>
      <c r="T44" s="99"/>
      <c r="U44" s="100" t="s">
        <v>194</v>
      </c>
      <c r="V44" s="99"/>
      <c r="W44" s="100" t="s">
        <v>195</v>
      </c>
      <c r="X44" s="99"/>
      <c r="Y44" s="100" t="s">
        <v>196</v>
      </c>
      <c r="Z44" s="99"/>
      <c r="AA44" s="100" t="s">
        <v>197</v>
      </c>
      <c r="AB44" s="37"/>
      <c r="AC44" s="36" t="s">
        <v>198</v>
      </c>
      <c r="AD44" s="37"/>
      <c r="AE44" s="36" t="s">
        <v>199</v>
      </c>
      <c r="AF44" s="37"/>
      <c r="AG44" s="36" t="s">
        <v>200</v>
      </c>
      <c r="AH44" s="37"/>
      <c r="AI44" s="36" t="s">
        <v>201</v>
      </c>
      <c r="AJ44" s="37"/>
      <c r="AK44" s="36" t="s">
        <v>202</v>
      </c>
      <c r="AL44" s="37"/>
      <c r="AM44" s="36" t="s">
        <v>203</v>
      </c>
      <c r="AN44" s="37"/>
      <c r="AO44" s="36" t="s">
        <v>204</v>
      </c>
      <c r="AP44" s="37"/>
      <c r="AQ44" s="36" t="s">
        <v>205</v>
      </c>
    </row>
    <row r="45" spans="1:43" x14ac:dyDescent="0.25">
      <c r="A45"/>
      <c r="K45" s="39">
        <v>2</v>
      </c>
      <c r="L45" s="56" t="s">
        <v>71</v>
      </c>
      <c r="M45" s="60" t="s">
        <v>206</v>
      </c>
      <c r="N45" s="56" t="s">
        <v>73</v>
      </c>
      <c r="O45" s="60" t="s">
        <v>74</v>
      </c>
      <c r="P45" s="56" t="s">
        <v>75</v>
      </c>
      <c r="Q45" s="60" t="s">
        <v>206</v>
      </c>
      <c r="R45" s="56" t="s">
        <v>76</v>
      </c>
      <c r="S45" s="60" t="s">
        <v>74</v>
      </c>
      <c r="T45" s="56" t="s">
        <v>71</v>
      </c>
      <c r="U45" s="60" t="s">
        <v>206</v>
      </c>
      <c r="V45" s="56" t="s">
        <v>73</v>
      </c>
      <c r="W45" s="60" t="s">
        <v>74</v>
      </c>
      <c r="X45" s="56" t="s">
        <v>75</v>
      </c>
      <c r="Y45" s="60" t="s">
        <v>206</v>
      </c>
      <c r="Z45" s="56" t="s">
        <v>76</v>
      </c>
      <c r="AA45" s="60" t="s">
        <v>74</v>
      </c>
      <c r="AB45" s="56" t="s">
        <v>71</v>
      </c>
      <c r="AC45" s="60" t="s">
        <v>206</v>
      </c>
      <c r="AD45" s="56" t="s">
        <v>73</v>
      </c>
      <c r="AE45" s="60" t="s">
        <v>74</v>
      </c>
      <c r="AF45" s="56" t="s">
        <v>75</v>
      </c>
      <c r="AG45" s="60" t="s">
        <v>206</v>
      </c>
      <c r="AH45" s="56" t="s">
        <v>76</v>
      </c>
      <c r="AI45" s="60" t="s">
        <v>74</v>
      </c>
      <c r="AJ45" s="56" t="s">
        <v>71</v>
      </c>
      <c r="AK45" s="60" t="s">
        <v>206</v>
      </c>
      <c r="AL45" s="56" t="s">
        <v>73</v>
      </c>
      <c r="AM45" s="60" t="s">
        <v>74</v>
      </c>
      <c r="AN45" s="56" t="s">
        <v>75</v>
      </c>
      <c r="AO45" s="60" t="s">
        <v>206</v>
      </c>
      <c r="AP45" s="56" t="s">
        <v>76</v>
      </c>
      <c r="AQ45" s="60" t="s">
        <v>74</v>
      </c>
    </row>
    <row r="46" spans="1:43" x14ac:dyDescent="0.25">
      <c r="A46"/>
      <c r="K46" s="39">
        <v>3</v>
      </c>
      <c r="L46" s="57" t="s">
        <v>71</v>
      </c>
      <c r="M46" s="61" t="s">
        <v>207</v>
      </c>
      <c r="N46" s="57" t="s">
        <v>73</v>
      </c>
      <c r="O46" s="61"/>
      <c r="P46" s="57" t="s">
        <v>75</v>
      </c>
      <c r="Q46" s="61" t="s">
        <v>207</v>
      </c>
      <c r="R46" s="57" t="s">
        <v>76</v>
      </c>
      <c r="S46" s="61"/>
      <c r="T46" s="57" t="s">
        <v>71</v>
      </c>
      <c r="U46" s="61" t="s">
        <v>208</v>
      </c>
      <c r="V46" s="57" t="s">
        <v>73</v>
      </c>
      <c r="W46" s="61"/>
      <c r="X46" s="57" t="s">
        <v>75</v>
      </c>
      <c r="Y46" s="61" t="s">
        <v>163</v>
      </c>
      <c r="Z46" s="57" t="s">
        <v>76</v>
      </c>
      <c r="AA46" s="61"/>
      <c r="AB46" s="57" t="s">
        <v>71</v>
      </c>
      <c r="AC46" s="61" t="s">
        <v>209</v>
      </c>
      <c r="AD46" s="57" t="s">
        <v>73</v>
      </c>
      <c r="AE46" s="61"/>
      <c r="AF46" s="57" t="s">
        <v>75</v>
      </c>
      <c r="AG46" s="61" t="s">
        <v>210</v>
      </c>
      <c r="AH46" s="57" t="s">
        <v>76</v>
      </c>
      <c r="AI46" s="61"/>
      <c r="AJ46" s="57" t="s">
        <v>71</v>
      </c>
      <c r="AK46" s="61" t="s">
        <v>211</v>
      </c>
      <c r="AL46" s="57" t="s">
        <v>73</v>
      </c>
      <c r="AM46" s="61"/>
      <c r="AN46" s="57" t="s">
        <v>75</v>
      </c>
      <c r="AO46" s="61" t="s">
        <v>212</v>
      </c>
      <c r="AP46" s="57" t="s">
        <v>76</v>
      </c>
      <c r="AQ46" s="61"/>
    </row>
    <row r="47" spans="1:43" x14ac:dyDescent="0.25">
      <c r="A47" s="102" t="s">
        <v>213</v>
      </c>
      <c r="B47" s="26" t="s">
        <v>54</v>
      </c>
      <c r="K47" s="39">
        <v>4</v>
      </c>
      <c r="L47" s="57" t="s">
        <v>73</v>
      </c>
      <c r="M47" s="61" t="s">
        <v>214</v>
      </c>
      <c r="N47" s="57" t="s">
        <v>75</v>
      </c>
      <c r="O47" s="61"/>
      <c r="P47" s="57" t="s">
        <v>76</v>
      </c>
      <c r="Q47" s="61" t="s">
        <v>214</v>
      </c>
      <c r="R47" s="57" t="s">
        <v>71</v>
      </c>
      <c r="S47" s="61"/>
      <c r="T47" s="57" t="s">
        <v>73</v>
      </c>
      <c r="U47" s="61" t="s">
        <v>214</v>
      </c>
      <c r="V47" s="57" t="s">
        <v>75</v>
      </c>
      <c r="W47" s="61"/>
      <c r="X47" s="57" t="s">
        <v>76</v>
      </c>
      <c r="Y47" s="61" t="s">
        <v>214</v>
      </c>
      <c r="Z47" s="57" t="s">
        <v>71</v>
      </c>
      <c r="AA47" s="61"/>
      <c r="AB47" s="57" t="s">
        <v>73</v>
      </c>
      <c r="AC47" s="61" t="s">
        <v>214</v>
      </c>
      <c r="AD47" s="57" t="s">
        <v>75</v>
      </c>
      <c r="AE47" s="61"/>
      <c r="AF47" s="57" t="s">
        <v>76</v>
      </c>
      <c r="AG47" s="61" t="s">
        <v>214</v>
      </c>
      <c r="AH47" s="57" t="s">
        <v>71</v>
      </c>
      <c r="AI47" s="61"/>
      <c r="AJ47" s="57" t="s">
        <v>73</v>
      </c>
      <c r="AK47" s="61" t="s">
        <v>214</v>
      </c>
      <c r="AL47" s="57" t="s">
        <v>75</v>
      </c>
      <c r="AM47" s="61"/>
      <c r="AN47" s="57" t="s">
        <v>76</v>
      </c>
      <c r="AO47" s="61" t="s">
        <v>214</v>
      </c>
      <c r="AP47" s="57" t="s">
        <v>71</v>
      </c>
      <c r="AQ47" s="61"/>
    </row>
    <row r="48" spans="1:43" x14ac:dyDescent="0.25">
      <c r="A48"/>
      <c r="B48"/>
      <c r="K48" s="39">
        <v>5</v>
      </c>
      <c r="L48" s="57" t="s">
        <v>73</v>
      </c>
      <c r="M48" s="61" t="s">
        <v>207</v>
      </c>
      <c r="N48" s="57" t="s">
        <v>75</v>
      </c>
      <c r="O48" s="61"/>
      <c r="P48" s="57" t="s">
        <v>76</v>
      </c>
      <c r="Q48" s="61" t="s">
        <v>207</v>
      </c>
      <c r="R48" s="57" t="s">
        <v>71</v>
      </c>
      <c r="S48" s="61"/>
      <c r="T48" s="57" t="s">
        <v>73</v>
      </c>
      <c r="U48" s="61" t="s">
        <v>215</v>
      </c>
      <c r="V48" s="57" t="s">
        <v>75</v>
      </c>
      <c r="W48" s="61"/>
      <c r="X48" s="57" t="s">
        <v>76</v>
      </c>
      <c r="Y48" s="61" t="s">
        <v>215</v>
      </c>
      <c r="Z48" s="57" t="s">
        <v>71</v>
      </c>
      <c r="AA48" s="61"/>
      <c r="AB48" s="57" t="s">
        <v>73</v>
      </c>
      <c r="AC48" s="61" t="s">
        <v>215</v>
      </c>
      <c r="AD48" s="57" t="s">
        <v>75</v>
      </c>
      <c r="AE48" s="61"/>
      <c r="AF48" s="57" t="s">
        <v>76</v>
      </c>
      <c r="AG48" s="61" t="s">
        <v>215</v>
      </c>
      <c r="AH48" s="57" t="s">
        <v>71</v>
      </c>
      <c r="AI48" s="61"/>
      <c r="AJ48" s="57" t="s">
        <v>73</v>
      </c>
      <c r="AK48" s="61" t="s">
        <v>215</v>
      </c>
      <c r="AL48" s="57" t="s">
        <v>75</v>
      </c>
      <c r="AM48" s="61"/>
      <c r="AN48" s="57" t="s">
        <v>76</v>
      </c>
      <c r="AO48" s="61" t="s">
        <v>215</v>
      </c>
      <c r="AP48" s="57" t="s">
        <v>71</v>
      </c>
      <c r="AQ48" s="61"/>
    </row>
    <row r="49" spans="1:43" x14ac:dyDescent="0.25">
      <c r="A49"/>
      <c r="K49" s="39">
        <v>6</v>
      </c>
      <c r="L49" s="57" t="s">
        <v>75</v>
      </c>
      <c r="M49" s="61" t="s">
        <v>207</v>
      </c>
      <c r="N49" s="57" t="s">
        <v>76</v>
      </c>
      <c r="O49" s="61"/>
      <c r="P49" s="57" t="s">
        <v>71</v>
      </c>
      <c r="Q49" s="61" t="s">
        <v>207</v>
      </c>
      <c r="R49" s="57" t="s">
        <v>73</v>
      </c>
      <c r="S49" s="61"/>
      <c r="T49" s="57" t="s">
        <v>75</v>
      </c>
      <c r="U49" s="61" t="s">
        <v>180</v>
      </c>
      <c r="V49" s="57" t="s">
        <v>76</v>
      </c>
      <c r="W49" s="61"/>
      <c r="X49" s="57" t="s">
        <v>71</v>
      </c>
      <c r="Y49" s="61" t="s">
        <v>180</v>
      </c>
      <c r="Z49" s="57" t="s">
        <v>73</v>
      </c>
      <c r="AA49" s="61"/>
      <c r="AB49" s="57" t="s">
        <v>75</v>
      </c>
      <c r="AC49" s="61" t="s">
        <v>216</v>
      </c>
      <c r="AD49" s="57" t="s">
        <v>76</v>
      </c>
      <c r="AE49" s="61"/>
      <c r="AF49" s="57" t="s">
        <v>71</v>
      </c>
      <c r="AG49" s="61" t="s">
        <v>216</v>
      </c>
      <c r="AH49" s="57" t="s">
        <v>73</v>
      </c>
      <c r="AI49" s="61"/>
      <c r="AJ49" s="57" t="s">
        <v>75</v>
      </c>
      <c r="AK49" s="61" t="s">
        <v>216</v>
      </c>
      <c r="AL49" s="57" t="s">
        <v>76</v>
      </c>
      <c r="AM49" s="61"/>
      <c r="AN49" s="57" t="s">
        <v>71</v>
      </c>
      <c r="AO49" s="61" t="s">
        <v>216</v>
      </c>
      <c r="AP49" s="57" t="s">
        <v>73</v>
      </c>
      <c r="AQ49" s="61"/>
    </row>
    <row r="50" spans="1:43" x14ac:dyDescent="0.25">
      <c r="K50" s="39">
        <v>7</v>
      </c>
      <c r="L50" s="57" t="s">
        <v>75</v>
      </c>
      <c r="M50" s="61" t="s">
        <v>207</v>
      </c>
      <c r="N50" s="57" t="s">
        <v>76</v>
      </c>
      <c r="O50" s="63"/>
      <c r="P50" s="57" t="s">
        <v>71</v>
      </c>
      <c r="Q50" s="61" t="s">
        <v>207</v>
      </c>
      <c r="R50" s="57" t="s">
        <v>73</v>
      </c>
      <c r="S50" s="63"/>
      <c r="T50" s="57" t="s">
        <v>75</v>
      </c>
      <c r="U50" s="61" t="s">
        <v>163</v>
      </c>
      <c r="V50" s="57" t="s">
        <v>76</v>
      </c>
      <c r="W50" s="63"/>
      <c r="X50" s="57" t="s">
        <v>71</v>
      </c>
      <c r="Y50" s="61" t="s">
        <v>208</v>
      </c>
      <c r="Z50" s="57" t="s">
        <v>73</v>
      </c>
      <c r="AA50" s="63"/>
      <c r="AB50" s="57" t="s">
        <v>75</v>
      </c>
      <c r="AC50" s="61" t="s">
        <v>210</v>
      </c>
      <c r="AD50" s="57" t="s">
        <v>76</v>
      </c>
      <c r="AE50" s="63"/>
      <c r="AF50" s="57" t="s">
        <v>71</v>
      </c>
      <c r="AG50" s="61" t="s">
        <v>209</v>
      </c>
      <c r="AH50" s="57" t="s">
        <v>73</v>
      </c>
      <c r="AI50" s="63"/>
      <c r="AJ50" s="57" t="s">
        <v>75</v>
      </c>
      <c r="AK50" s="61" t="s">
        <v>212</v>
      </c>
      <c r="AL50" s="57" t="s">
        <v>76</v>
      </c>
      <c r="AM50" s="63"/>
      <c r="AN50" s="57" t="s">
        <v>71</v>
      </c>
      <c r="AO50" s="61" t="s">
        <v>211</v>
      </c>
      <c r="AP50" s="57" t="s">
        <v>73</v>
      </c>
      <c r="AQ50" s="63"/>
    </row>
    <row r="51" spans="1:43" x14ac:dyDescent="0.25">
      <c r="K51" s="39">
        <v>8</v>
      </c>
      <c r="L51" s="57" t="s">
        <v>76</v>
      </c>
      <c r="M51" s="61" t="s">
        <v>184</v>
      </c>
      <c r="N51" s="57" t="s">
        <v>71</v>
      </c>
      <c r="O51" s="61"/>
      <c r="P51" s="57" t="s">
        <v>73</v>
      </c>
      <c r="Q51" s="61" t="s">
        <v>184</v>
      </c>
      <c r="R51" s="57" t="s">
        <v>75</v>
      </c>
      <c r="S51" s="61"/>
      <c r="T51" s="57" t="s">
        <v>76</v>
      </c>
      <c r="U51" s="61" t="s">
        <v>184</v>
      </c>
      <c r="V51" s="57" t="s">
        <v>71</v>
      </c>
      <c r="W51" s="61"/>
      <c r="X51" s="57" t="s">
        <v>73</v>
      </c>
      <c r="Y51" s="61" t="s">
        <v>184</v>
      </c>
      <c r="Z51" s="57" t="s">
        <v>75</v>
      </c>
      <c r="AA51" s="61"/>
      <c r="AB51" s="57" t="s">
        <v>76</v>
      </c>
      <c r="AC51" s="61" t="s">
        <v>184</v>
      </c>
      <c r="AD51" s="57" t="s">
        <v>71</v>
      </c>
      <c r="AE51" s="61"/>
      <c r="AF51" s="57" t="s">
        <v>73</v>
      </c>
      <c r="AG51" s="61" t="s">
        <v>184</v>
      </c>
      <c r="AH51" s="57" t="s">
        <v>75</v>
      </c>
      <c r="AI51" s="61"/>
      <c r="AJ51" s="57" t="s">
        <v>76</v>
      </c>
      <c r="AK51" s="61" t="s">
        <v>184</v>
      </c>
      <c r="AL51" s="57" t="s">
        <v>71</v>
      </c>
      <c r="AM51" s="61"/>
      <c r="AN51" s="57" t="s">
        <v>73</v>
      </c>
      <c r="AO51" s="61" t="s">
        <v>184</v>
      </c>
      <c r="AP51" s="57" t="s">
        <v>75</v>
      </c>
      <c r="AQ51" s="61"/>
    </row>
    <row r="52" spans="1:43" x14ac:dyDescent="0.25">
      <c r="A52" s="29" t="s">
        <v>217</v>
      </c>
      <c r="B52" s="42">
        <v>45548</v>
      </c>
      <c r="K52" s="39">
        <v>9</v>
      </c>
      <c r="L52" s="59" t="s">
        <v>76</v>
      </c>
      <c r="M52" s="64" t="s">
        <v>185</v>
      </c>
      <c r="N52" s="59" t="s">
        <v>71</v>
      </c>
      <c r="O52" s="58"/>
      <c r="P52" s="59" t="s">
        <v>73</v>
      </c>
      <c r="Q52" s="64" t="s">
        <v>185</v>
      </c>
      <c r="R52" s="59" t="s">
        <v>75</v>
      </c>
      <c r="S52" s="58"/>
      <c r="T52" s="59" t="s">
        <v>76</v>
      </c>
      <c r="U52" s="64" t="s">
        <v>185</v>
      </c>
      <c r="V52" s="59" t="s">
        <v>71</v>
      </c>
      <c r="W52" s="58"/>
      <c r="X52" s="59" t="s">
        <v>73</v>
      </c>
      <c r="Y52" s="64" t="s">
        <v>185</v>
      </c>
      <c r="Z52" s="59" t="s">
        <v>75</v>
      </c>
      <c r="AA52" s="58"/>
      <c r="AB52" s="59" t="s">
        <v>76</v>
      </c>
      <c r="AC52" s="64" t="s">
        <v>185</v>
      </c>
      <c r="AD52" s="59" t="s">
        <v>71</v>
      </c>
      <c r="AE52" s="58"/>
      <c r="AF52" s="59" t="s">
        <v>73</v>
      </c>
      <c r="AG52" s="64" t="s">
        <v>185</v>
      </c>
      <c r="AH52" s="59" t="s">
        <v>75</v>
      </c>
      <c r="AI52" s="58"/>
      <c r="AJ52" s="59" t="s">
        <v>76</v>
      </c>
      <c r="AK52" s="64" t="s">
        <v>185</v>
      </c>
      <c r="AL52" s="59" t="s">
        <v>71</v>
      </c>
      <c r="AM52" s="58"/>
      <c r="AN52" s="59" t="s">
        <v>73</v>
      </c>
      <c r="AO52" s="64" t="s">
        <v>185</v>
      </c>
      <c r="AP52" s="59" t="s">
        <v>75</v>
      </c>
      <c r="AQ52" s="58"/>
    </row>
    <row r="53" spans="1:43" x14ac:dyDescent="0.25">
      <c r="A53" s="29" t="s">
        <v>218</v>
      </c>
      <c r="B53" s="42">
        <v>45548</v>
      </c>
      <c r="K53" s="39">
        <v>10</v>
      </c>
      <c r="L53" s="56" t="s">
        <v>219</v>
      </c>
      <c r="M53" s="60" t="s">
        <v>163</v>
      </c>
      <c r="N53" s="56"/>
      <c r="O53" s="60"/>
      <c r="P53" s="56" t="s">
        <v>219</v>
      </c>
      <c r="Q53" s="60" t="s">
        <v>163</v>
      </c>
      <c r="R53" s="56" t="s">
        <v>219</v>
      </c>
      <c r="S53" s="60"/>
      <c r="T53" s="56"/>
      <c r="U53" s="101" t="s">
        <v>131</v>
      </c>
      <c r="V53" s="56"/>
      <c r="W53" s="101"/>
      <c r="X53" s="56"/>
      <c r="Y53" s="101" t="s">
        <v>131</v>
      </c>
      <c r="Z53" s="56"/>
      <c r="AA53" s="101"/>
      <c r="AB53" s="56"/>
      <c r="AC53" s="101" t="s">
        <v>131</v>
      </c>
      <c r="AD53" s="56"/>
      <c r="AE53" s="101"/>
      <c r="AF53" s="56"/>
      <c r="AG53" s="101" t="s">
        <v>131</v>
      </c>
      <c r="AH53" s="56"/>
      <c r="AI53" s="101"/>
      <c r="AJ53" s="56"/>
      <c r="AK53" s="101" t="s">
        <v>131</v>
      </c>
      <c r="AL53" s="56"/>
      <c r="AM53" s="101"/>
      <c r="AN53" s="56"/>
      <c r="AO53" s="101" t="s">
        <v>131</v>
      </c>
      <c r="AP53" s="56"/>
      <c r="AQ53" s="101"/>
    </row>
    <row r="54" spans="1:43" x14ac:dyDescent="0.25">
      <c r="A54" s="29" t="s">
        <v>220</v>
      </c>
      <c r="B54" s="42">
        <v>45548</v>
      </c>
      <c r="K54" s="39">
        <v>11</v>
      </c>
      <c r="L54" s="57" t="s">
        <v>221</v>
      </c>
      <c r="M54" s="61" t="s">
        <v>212</v>
      </c>
      <c r="N54" s="57"/>
      <c r="O54" s="61"/>
      <c r="P54" s="57" t="s">
        <v>221</v>
      </c>
      <c r="Q54" s="61" t="s">
        <v>212</v>
      </c>
      <c r="R54" s="57" t="s">
        <v>221</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222</v>
      </c>
      <c r="B55" s="42">
        <v>45548</v>
      </c>
      <c r="K55" s="39">
        <v>12</v>
      </c>
      <c r="L55" s="57" t="s">
        <v>223</v>
      </c>
      <c r="M55" s="61" t="s">
        <v>216</v>
      </c>
      <c r="N55" s="57"/>
      <c r="O55" s="61"/>
      <c r="P55" s="57" t="s">
        <v>223</v>
      </c>
      <c r="Q55" s="61" t="s">
        <v>216</v>
      </c>
      <c r="R55" s="57" t="s">
        <v>223</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224</v>
      </c>
      <c r="B56" s="42">
        <v>45603</v>
      </c>
      <c r="K56" s="39">
        <v>13</v>
      </c>
      <c r="L56" s="57" t="s">
        <v>225</v>
      </c>
      <c r="M56" s="61" t="s">
        <v>215</v>
      </c>
      <c r="N56" s="57"/>
      <c r="O56" s="61"/>
      <c r="P56" s="57" t="s">
        <v>225</v>
      </c>
      <c r="Q56" s="61" t="s">
        <v>215</v>
      </c>
      <c r="R56" s="57" t="s">
        <v>225</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226</v>
      </c>
      <c r="B57" s="42">
        <v>45604</v>
      </c>
      <c r="K57" s="39">
        <v>14</v>
      </c>
      <c r="L57" s="57" t="s">
        <v>227</v>
      </c>
      <c r="M57" s="61" t="s">
        <v>209</v>
      </c>
      <c r="N57" s="57"/>
      <c r="O57" s="61"/>
      <c r="P57" s="57" t="s">
        <v>227</v>
      </c>
      <c r="Q57" s="61" t="s">
        <v>209</v>
      </c>
      <c r="R57" s="57" t="s">
        <v>227</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228</v>
      </c>
      <c r="B58" s="42">
        <v>45604</v>
      </c>
      <c r="C58" s="26" t="s">
        <v>229</v>
      </c>
      <c r="K58" s="39">
        <v>15</v>
      </c>
      <c r="L58" s="57" t="s">
        <v>230</v>
      </c>
      <c r="M58" s="61" t="s">
        <v>208</v>
      </c>
      <c r="N58" s="57"/>
      <c r="O58" s="61"/>
      <c r="P58" s="57" t="s">
        <v>230</v>
      </c>
      <c r="Q58" s="61" t="s">
        <v>208</v>
      </c>
      <c r="R58" s="57" t="s">
        <v>230</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231</v>
      </c>
      <c r="B59" s="42">
        <v>45604</v>
      </c>
      <c r="K59" s="39">
        <v>16</v>
      </c>
      <c r="L59" s="57" t="s">
        <v>232</v>
      </c>
      <c r="M59" s="61" t="s">
        <v>210</v>
      </c>
      <c r="N59" s="57"/>
      <c r="O59" s="61"/>
      <c r="P59" s="57" t="s">
        <v>232</v>
      </c>
      <c r="Q59" s="61" t="s">
        <v>210</v>
      </c>
      <c r="R59" s="57" t="s">
        <v>232</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233</v>
      </c>
      <c r="B60" s="42">
        <v>45604</v>
      </c>
      <c r="K60" s="39">
        <v>17</v>
      </c>
      <c r="L60" s="57" t="s">
        <v>234</v>
      </c>
      <c r="M60" s="61" t="s">
        <v>211</v>
      </c>
      <c r="N60" s="57"/>
      <c r="O60" s="61"/>
      <c r="P60" s="57"/>
      <c r="Q60" s="61" t="s">
        <v>211</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502</v>
      </c>
      <c r="B61" s="42">
        <v>45611</v>
      </c>
      <c r="K61" s="39">
        <v>18</v>
      </c>
      <c r="L61" s="57" t="s">
        <v>235</v>
      </c>
      <c r="M61" s="61" t="s">
        <v>236</v>
      </c>
      <c r="N61" s="57"/>
      <c r="O61" s="61"/>
      <c r="P61" s="57" t="s">
        <v>234</v>
      </c>
      <c r="Q61" s="61" t="s">
        <v>236</v>
      </c>
      <c r="R61" s="57" t="s">
        <v>234</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K62" s="39">
        <v>19</v>
      </c>
      <c r="L62" s="59" t="s">
        <v>237</v>
      </c>
      <c r="M62" s="64" t="s">
        <v>180</v>
      </c>
      <c r="N62" s="59"/>
      <c r="O62" s="64"/>
      <c r="P62" s="59" t="s">
        <v>235</v>
      </c>
      <c r="Q62" s="64" t="s">
        <v>180</v>
      </c>
      <c r="R62" s="59" t="s">
        <v>235</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4" spans="1:43" x14ac:dyDescent="0.25">
      <c r="M64"/>
      <c r="N64"/>
      <c r="O64"/>
      <c r="P64"/>
      <c r="Q64"/>
      <c r="R64"/>
      <c r="S6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A24"/>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IFERROR(IF(HLOOKUP($P$6,RangeUnitsetsGDEDUC,Q10,FALSE)=0,"",HLOOKUP($P$6,RangeUnitsetsGDEDUC,Q10,FALSE)),"")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IFERROR(IF(HLOOKUP($P$6,RangeUnitsetsGDEDUC,Q11,FALSE)=0,"",HLOOKUP($P$6,RangeUnitsetsGDEDUC,Q11,FALSE)),"")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row>
    <row r="13" spans="1:20" s="14" customFormat="1" ht="21" customHeight="1" x14ac:dyDescent="0.15">
      <c r="A13" s="144" t="str">
        <f>IFERROR(IF(HLOOKUP($P$6,RangeUnitsetsGDEDUC,Q13,FALSE)=0,"",HLOOKUP($P$6,RangeUnitsetsGDEDUC,Q13,FALSE)),"")</f>
        <v>EDPR5005</v>
      </c>
      <c r="B13" s="145">
        <f>IFERROR(IF(VLOOKUP($A13,TableHandbook[],2,FALSE)=0,"",VLOOKUP($A13,TableHandbook[],2,FALSE)),"")</f>
        <v>1</v>
      </c>
      <c r="C13" s="145" t="str">
        <f>IFERROR(IF(VLOOKUP($A13,TableHandbook[],3,FALSE)=0,"",VLOOKUP($A13,TableHandbook[],3,FALSE)),"")</f>
        <v/>
      </c>
      <c r="D13" s="146" t="str">
        <f>IFERROR(IF(VLOOKUP($A13,TableHandbook[],4,FALSE)=0,"",VLOOKUP($A13,TableHandbook[],4,FALSE)),"")</f>
        <v>Teaching Science in the Primary Years</v>
      </c>
      <c r="E13" s="145" t="str">
        <f>IF(OR(A13="",A13="--"),"",VLOOKUP($D$7,TableStudyPeriods[],3,FALSE))</f>
        <v>SSP2</v>
      </c>
      <c r="F13" s="147" t="str">
        <f>IFERROR(IF(VLOOKUP($A13,TableHandbook[],6,FALSE)=0,"",VLOOKUP($A13,TableHandbook[],6,FALSE)),"")</f>
        <v>Nil</v>
      </c>
      <c r="G13" s="145">
        <f>IFERROR(IF(VLOOKUP($A13,TableHandbook[],5,FALSE)=0,"",VLOOKUP($A13,TableHandbook[],5,FALSE)),"")</f>
        <v>25</v>
      </c>
      <c r="H13" s="148" t="str">
        <f>IFERROR(VLOOKUP($A13,TableHandbook[],H$2,FALSE),"")</f>
        <v/>
      </c>
      <c r="I13" s="149" t="str">
        <f>IFERROR(VLOOKUP($A13,TableHandbook[],I$2,FALSE),"")</f>
        <v/>
      </c>
      <c r="J13" s="148" t="str">
        <f>IFERROR(VLOOKUP($A13,TableHandbook[],J$2,FALSE),"")</f>
        <v>Y</v>
      </c>
      <c r="K13" s="149" t="str">
        <f>IFERROR(VLOOKUP($A13,TableHandbook[],K$2,FALSE),"")</f>
        <v>Y</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row>
    <row r="14" spans="1:20" s="14" customFormat="1" ht="21" customHeight="1" x14ac:dyDescent="0.15">
      <c r="A14" s="144" t="str">
        <f>IFERROR(IF(HLOOKUP($P$6,RangeUnitsetsGDEDUC,Q14,FALSE)=0,"",HLOOKUP($P$6,RangeUnitsetsGDEDUC,Q14,FALSE)),"")</f>
        <v>EDPR5001</v>
      </c>
      <c r="B14" s="145">
        <f>IFERROR(IF(VLOOKUP($A14,TableHandbook[],2,FALSE)=0,"",VLOOKUP($A14,TableHandbook[],2,FALSE)),"")</f>
        <v>1</v>
      </c>
      <c r="C14" s="145" t="str">
        <f>IFERROR(IF(VLOOKUP($A14,TableHandbook[],3,FALSE)=0,"",VLOOKUP($A14,TableHandbook[],3,FALSE)),"")</f>
        <v/>
      </c>
      <c r="D14" s="146" t="str">
        <f>IFERROR(IF(VLOOKUP($A14,TableHandbook[],4,FALSE)=0,"",VLOOKUP($A14,TableHandbook[],4,FALSE)),"")</f>
        <v>Primary Professional Experience 2: Assessment and Reporting</v>
      </c>
      <c r="E14" s="145" t="str">
        <f>IF(A14="","",E13)</f>
        <v>SSP2</v>
      </c>
      <c r="F14" s="147" t="str">
        <f>IFERROR(IF(VLOOKUP($A14,TableHandbook[],6,FALSE)=0,"",VLOOKUP($A14,TableHandbook[],6,FALSE)),"")</f>
        <v>EDPR5000</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3"/>
      <c r="Q14" s="150">
        <v>5</v>
      </c>
      <c r="R14" s="151"/>
      <c r="S14" s="151"/>
    </row>
    <row r="15" spans="1:20"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row>
    <row r="16" spans="1:20" s="14" customFormat="1" ht="21" customHeight="1" x14ac:dyDescent="0.15">
      <c r="A16" s="144" t="str">
        <f>IFERROR(IF(HLOOKUP($P$6,RangeUnitsetsGDEDUC,Q16,FALSE)=0,"",HLOOKUP($P$6,RangeUnitsetsGDEDUC,Q16,FALSE)),"")</f>
        <v>EDUC6062</v>
      </c>
      <c r="B16" s="152">
        <f>IFERROR(IF(VLOOKUP($A16,TableHandbook[],2,FALSE)=0,"",VLOOKUP($A16,TableHandbook[],2,FALSE)),"")</f>
        <v>1</v>
      </c>
      <c r="C16" s="152" t="str">
        <f>IFERROR(IF(VLOOKUP($A16,TableHandbook[],3,FALSE)=0,"",VLOOKUP($A16,TableHandbook[],3,FALSE)),"")</f>
        <v/>
      </c>
      <c r="D16" s="146" t="str">
        <f>IFERROR(IF(VLOOKUP($A16,TableHandbook[],4,FALSE)=0,"",VLOOKUP($A16,TableHandbook[],4,FALSE)),"")</f>
        <v>Professional Experience 3: Using Data to Inform Teaching and Learning</v>
      </c>
      <c r="E16" s="145" t="str">
        <f>IF(OR(A16="",A16="--"),"",VLOOKUP($D$7,TableStudyPeriods[],4,FALSE))</f>
        <v>SSP3</v>
      </c>
      <c r="F16" s="147" t="str">
        <f>IFERROR(IF(VLOOKUP($A16,TableHandbook[],6,FALSE)=0,"",VLOOKUP($A16,TableHandbook[],6,FALSE)),"")</f>
        <v>EDEC5001 or EDPR5001 or EDSC5029</v>
      </c>
      <c r="G16" s="152">
        <f>IFERROR(IF(VLOOKUP($A16,TableHandbook[],5,FALSE)=0,"",VLOOKUP($A16,TableHandbook[],5,FALSE)),"")</f>
        <v>25</v>
      </c>
      <c r="H16" s="153" t="str">
        <f>IFERROR(VLOOKUP($A16,TableHandbook[],H$2,FALSE),"")</f>
        <v>Y</v>
      </c>
      <c r="I16" s="154" t="str">
        <f>IFERROR(VLOOKUP($A16,TableHandbook[],I$2,FALSE),"")</f>
        <v>Y</v>
      </c>
      <c r="J16" s="153" t="str">
        <f>IFERROR(VLOOKUP($A16,TableHandbook[],J$2,FALSE),"")</f>
        <v/>
      </c>
      <c r="K16" s="154" t="str">
        <f>IFERROR(VLOOKUP($A16,TableHandbook[],K$2,FALSE),"")</f>
        <v/>
      </c>
      <c r="L16" s="153" t="str">
        <f>IFERROR(VLOOKUP($A16,TableHandbook[],L$2,FALSE),"")</f>
        <v>Y</v>
      </c>
      <c r="M16" s="154" t="str">
        <f>IFERROR(VLOOKUP($A16,TableHandbook[],M$2,FALSE),"")</f>
        <v>Y</v>
      </c>
      <c r="N16" s="153" t="str">
        <f>IFERROR(VLOOKUP($A16,TableHandbook[],N$2,FALSE),"")</f>
        <v/>
      </c>
      <c r="O16" s="154" t="str">
        <f>IFERROR(VLOOKUP($A16,TableHandbook[],O$2,FALSE),"")</f>
        <v/>
      </c>
      <c r="P16" s="24"/>
      <c r="Q16" s="150">
        <v>6</v>
      </c>
      <c r="R16" s="151"/>
      <c r="S16" s="151"/>
    </row>
    <row r="17" spans="1:27" s="16" customFormat="1" ht="21" customHeight="1" x14ac:dyDescent="0.15">
      <c r="A17" s="144" t="str">
        <f>IFERROR(IF(HLOOKUP($P$6,RangeUnitsetsGDEDUC,Q17,FALSE)=0,"",HLOOKUP($P$6,RangeUnitsetsGDEDUC,Q17,FALSE)),"")</f>
        <v>EDUC5031</v>
      </c>
      <c r="B17" s="152">
        <f>IFERROR(IF(VLOOKUP($A17,TableHandbook[],2,FALSE)=0,"",VLOOKUP($A17,TableHandbook[],2,FALSE)),"")</f>
        <v>1</v>
      </c>
      <c r="C17" s="152" t="str">
        <f>IFERROR(IF(VLOOKUP($A17,TableHandbook[],3,FALSE)=0,"",VLOOKUP($A17,TableHandbook[],3,FALSE)),"")</f>
        <v/>
      </c>
      <c r="D17" s="146" t="str">
        <f>IFERROR(IF(VLOOKUP($A17,TableHandbook[],4,FALSE)=0,"",VLOOKUP($A17,TableHandbook[],4,FALSE)),"")</f>
        <v>Introduction to English: Reading</v>
      </c>
      <c r="E17" s="145" t="str">
        <f>IF(A17="","",E16)</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IFERROR(IF(HLOOKUP($P$6,RangeUnitsetsGDEDUC,Q19,FALSE)=0,"",HLOOKUP($P$6,RangeUnitsetsGDEDUC,Q19,FALSE)),"")</f>
        <v>EDPR5003</v>
      </c>
      <c r="B19" s="152">
        <f>IFERROR(IF(VLOOKUP($A19,TableHandbook[],2,FALSE)=0,"",VLOOKUP($A19,TableHandbook[],2,FALSE)),"")</f>
        <v>1</v>
      </c>
      <c r="C19" s="152" t="str">
        <f>IFERROR(IF(VLOOKUP($A19,TableHandbook[],3,FALSE)=0,"",VLOOKUP($A19,TableHandbook[],3,FALSE)),"")</f>
        <v/>
      </c>
      <c r="D19" s="146" t="str">
        <f>IFERROR(IF(VLOOKUP($A19,TableHandbook[],4,FALSE)=0,"",VLOOKUP($A19,TableHandbook[],4,FALSE)),"")</f>
        <v>Teaching Number, Algebra and Probability in the Primary Years</v>
      </c>
      <c r="E19" s="145" t="str">
        <f>IF(OR(A19="",A19="--"),"",VLOOKUP($D$7,TableStudyPeriods[],5,FALSE))</f>
        <v>SSP4</v>
      </c>
      <c r="F19" s="147" t="str">
        <f>IFERROR(IF(VLOOKUP($A19,TableHandbook[],6,FALSE)=0,"",VLOOKUP($A19,TableHandbook[],6,FALSE)),"")</f>
        <v>Nil</v>
      </c>
      <c r="G19" s="152">
        <f>IFERROR(IF(VLOOKUP($A19,TableHandbook[],5,FALSE)=0,"",VLOOKUP($A19,TableHandbook[],5,FALSE)),"")</f>
        <v>25</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Y</v>
      </c>
      <c r="O19" s="154" t="str">
        <f>IFERROR(VLOOKUP($A19,TableHandbook[],O$2,FALSE),"")</f>
        <v>Y</v>
      </c>
      <c r="P19" s="24"/>
      <c r="Q19" s="150">
        <v>8</v>
      </c>
      <c r="R19" s="155"/>
      <c r="S19" s="155"/>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78" t="str">
        <f>IFERROR(IF(VLOOKUP($A20,TableHandbook[],4,FALSE)=0,"",VLOOKUP($A20,TableHandbook[],4,FALSE)),"")</f>
        <v>Creative Technologies</v>
      </c>
      <c r="E20" s="152" t="str">
        <f>IF(A20="","",E19)</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10" customFormat="1" ht="18" x14ac:dyDescent="0.25">
      <c r="A22" s="199" t="s">
        <v>34</v>
      </c>
      <c r="B22" s="199"/>
      <c r="C22" s="199"/>
      <c r="D22" s="199"/>
      <c r="E22" s="199"/>
      <c r="F22" s="199"/>
      <c r="G22" s="199"/>
      <c r="H22" s="199"/>
      <c r="I22" s="199"/>
      <c r="J22" s="199"/>
      <c r="K22" s="199"/>
      <c r="L22" s="199"/>
      <c r="M22" s="199"/>
      <c r="N22" s="199"/>
      <c r="O22" s="199"/>
      <c r="P22" s="199"/>
      <c r="Q22" s="88"/>
      <c r="R22" s="8"/>
      <c r="S22" s="8"/>
      <c r="T22" s="8"/>
      <c r="U22" s="8"/>
      <c r="V22" s="8"/>
      <c r="W22" s="8"/>
      <c r="X22" s="8"/>
      <c r="Y22" s="8"/>
      <c r="Z22" s="8"/>
      <c r="AA22" s="8"/>
    </row>
    <row r="23" spans="1:27" s="18" customFormat="1" ht="17.25" x14ac:dyDescent="0.2">
      <c r="A23" s="66" t="s">
        <v>35</v>
      </c>
      <c r="B23" s="66"/>
      <c r="C23" s="66"/>
      <c r="D23" s="67"/>
      <c r="E23" s="67"/>
      <c r="F23" s="67"/>
      <c r="G23" s="67"/>
      <c r="H23" s="67"/>
      <c r="I23" s="67"/>
      <c r="J23" s="67"/>
      <c r="K23" s="67"/>
      <c r="L23" s="67"/>
      <c r="M23" s="67"/>
      <c r="N23" s="67"/>
      <c r="O23" s="67"/>
      <c r="P23" s="67"/>
      <c r="Q23" s="163"/>
      <c r="R23" s="163"/>
      <c r="S23" s="163"/>
    </row>
    <row r="24" spans="1:27" x14ac:dyDescent="0.25">
      <c r="A24" s="164" t="s">
        <v>36</v>
      </c>
      <c r="B24" s="164"/>
      <c r="C24" s="164"/>
      <c r="D24" s="164"/>
      <c r="E24" s="165"/>
      <c r="F24" s="162"/>
      <c r="G24" s="166"/>
      <c r="H24" s="166"/>
      <c r="I24" s="166"/>
      <c r="J24" s="166"/>
      <c r="K24" s="166"/>
      <c r="L24" s="166"/>
      <c r="M24" s="166"/>
      <c r="N24" s="166"/>
      <c r="O24" s="166"/>
      <c r="P24" s="166" t="s">
        <v>37</v>
      </c>
    </row>
  </sheetData>
  <sheetProtection formatCells="0"/>
  <mergeCells count="1">
    <mergeCell ref="A3:D3"/>
  </mergeCells>
  <conditionalFormatting sqref="D5:D7">
    <cfRule type="containsText" dxfId="106" priority="3" operator="containsText" text="Choose">
      <formula>NOT(ISERROR(SEARCH("Choose",D5)))</formula>
    </cfRule>
  </conditionalFormatting>
  <conditionalFormatting sqref="H10:O20">
    <cfRule type="expression" dxfId="105"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T31"/>
  <sheetViews>
    <sheetView showGridLines="0" tabSelected="1" topLeftCell="A3" workbookViewId="0">
      <selection activeCell="D7" sqref="D7"/>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242</v>
      </c>
      <c r="E7" s="123"/>
      <c r="F7" s="121" t="s">
        <v>243</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IFERROR(IF(HLOOKUP($P$6,RangeUnitsetsGDEDUC,Q11,FALSE)=0,"",HLOOKUP($P$6,RangeUnitsetsGDEDUC,Q11,FALSE)),"")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IFERROR(IF(HLOOKUP($P$6,RangeUnitsetsGDEDUC,Q12,FALSE)=0,"",HLOOKUP($P$6,RangeUnitsetsGDEDUC,Q12,FALSE)),"")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IFERROR(IF(HLOOKUP($P$6,RangeUnitsetsGDEDUC,Q14,FALSE)=0,"",HLOOKUP($P$6,RangeUnitsetsGDEDUC,Q14,FALSE)),"")</f>
        <v>EDSC5029</v>
      </c>
      <c r="B14" s="145">
        <f>IFERROR(IF(VLOOKUP($A14,TableHandbook[],2,FALSE)=0,"",VLOOKUP($A14,TableHandbook[],2,FALSE)),"")</f>
        <v>1</v>
      </c>
      <c r="C14" s="145" t="str">
        <f>IFERROR(IF(VLOOKUP($A14,TableHandbook[],3,FALSE)=0,"",VLOOKUP($A14,TableHandbook[],3,FALSE)),"")</f>
        <v/>
      </c>
      <c r="D14" s="146" t="str">
        <f>IFERROR(IF(VLOOKUP($A14,TableHandbook[],4,FALSE)=0,"",VLOOKUP($A14,TableHandbook[],4,FALSE)),"")</f>
        <v>Secondary Professional Experience 2: Assessment and Reporting</v>
      </c>
      <c r="E14" s="145" t="str">
        <f>IF(OR(A14="",A14="--"),"",VLOOKUP($D$8,TableStudyPeriods[],3,FALSE))</f>
        <v>SSP2</v>
      </c>
      <c r="F14" s="147" t="str">
        <f>IFERROR(IF(VLOOKUP($A14,TableHandbook[],6,FALSE)=0,"",VLOOKUP($A14,TableHandbook[],6,FALSE)),"")</f>
        <v>EDSC5028</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4"/>
      <c r="Q14" s="150">
        <v>4</v>
      </c>
      <c r="R14" s="151"/>
      <c r="S14" s="151"/>
    </row>
    <row r="15" spans="1:20" s="14" customFormat="1" ht="21" customHeight="1" x14ac:dyDescent="0.15">
      <c r="A15" s="144" t="str">
        <f>IFERROR(IF(HLOOKUP($P$6,RangeUnitsetsGDEDUC,Q15,FALSE)=0,"",HLOOKUP($P$6,RangeUnitsetsGDEDUC,Q15,FALSE)),"")</f>
        <v>GDTAL</v>
      </c>
      <c r="B15" s="145" t="str">
        <f>IFERROR(IF(VLOOKUP($A15,TableHandbook[],2,FALSE)=0,"",VLOOKUP($A15,TableHandbook[],2,FALSE)),"")</f>
        <v/>
      </c>
      <c r="C15" s="145" t="str">
        <f>IFERROR(IF(VLOOKUP($A15,TableHandbook[],3,FALSE)=0,"",VLOOKUP($A15,TableHandbook[],3,FALSE)),"")</f>
        <v/>
      </c>
      <c r="D15" s="146" t="str">
        <f>IFERROR(IF(VLOOKUP($A15,TableHandbook[],4,FALSE)=0,"",VLOOKUP($A15,TableHandbook[],4,FALSE)),"")</f>
        <v>Teaching Area LOWER subject (see below)</v>
      </c>
      <c r="E15" s="145" t="str">
        <f>IF(A15="","",E14)</f>
        <v>SSP2</v>
      </c>
      <c r="F15" s="147" t="str">
        <f>IFERROR(IF(VLOOKUP($A15,TableHandbook[],6,FALSE)=0,"",VLOOKUP($A15,TableHandbook[],6,FALSE)),"")</f>
        <v>See below</v>
      </c>
      <c r="G15" s="145">
        <f>IFERROR(IF(VLOOKUP($A15,TableHandbook[],5,FALSE)=0,"",VLOOKUP($A15,TableHandbook[],5,FALSE)),"")</f>
        <v>25</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3"/>
      <c r="Q15" s="150">
        <v>5</v>
      </c>
      <c r="R15" s="151"/>
      <c r="S15" s="151"/>
    </row>
    <row r="16" spans="1:20" s="14" customFormat="1" ht="6" customHeight="1" x14ac:dyDescent="0.15">
      <c r="A16" s="172"/>
      <c r="B16" s="173"/>
      <c r="C16" s="173"/>
      <c r="D16" s="174"/>
      <c r="E16" s="173"/>
      <c r="F16" s="175"/>
      <c r="G16" s="173"/>
      <c r="H16" s="176"/>
      <c r="I16" s="177"/>
      <c r="J16" s="176"/>
      <c r="K16" s="177"/>
      <c r="L16" s="176"/>
      <c r="M16" s="177"/>
      <c r="N16" s="176"/>
      <c r="O16" s="177"/>
      <c r="P16" s="107"/>
      <c r="Q16" s="150"/>
      <c r="R16" s="151"/>
      <c r="S16" s="151"/>
      <c r="T16" s="151"/>
    </row>
    <row r="17" spans="1:20" s="14" customFormat="1" ht="21" customHeight="1" x14ac:dyDescent="0.15">
      <c r="A17" s="144" t="str">
        <f>IFERROR(IF(HLOOKUP($P$6,RangeUnitsetsGDEDUC,Q17,FALSE)=0,"",HLOOKUP($P$6,RangeUnitsetsGDEDUC,Q17,FALSE)),"")</f>
        <v>EDUC5009</v>
      </c>
      <c r="B17" s="152">
        <f>IFERROR(IF(VLOOKUP($A17,TableHandbook[],2,FALSE)=0,"",VLOOKUP($A17,TableHandbook[],2,FALSE)),"")</f>
        <v>1</v>
      </c>
      <c r="C17" s="152" t="str">
        <f>IFERROR(IF(VLOOKUP($A17,TableHandbook[],3,FALSE)=0,"",VLOOKUP($A17,TableHandbook[],3,FALSE)),"")</f>
        <v/>
      </c>
      <c r="D17" s="146" t="str">
        <f>IFERROR(IF(VLOOKUP($A17,TableHandbook[],4,FALSE)=0,"",VLOOKUP($A17,TableHandbook[],4,FALSE)),"")</f>
        <v>Pedagogies for Diversity</v>
      </c>
      <c r="E17" s="145" t="str">
        <f>IF(OR(A17="",A17="--"),"",VLOOKUP($D$8,TableStudyPeriods[],4,FALSE))</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6</v>
      </c>
      <c r="R17" s="151"/>
      <c r="S17" s="151"/>
    </row>
    <row r="18" spans="1:20" s="16" customFormat="1" ht="21" customHeight="1" x14ac:dyDescent="0.15">
      <c r="A18" s="144" t="str">
        <f>IFERROR(IF(HLOOKUP($P$6,RangeUnitsetsGDEDUC,Q18,FALSE)=0,"",HLOOKUP($P$6,RangeUnitsetsGDEDUC,Q18,FALSE)),"")</f>
        <v>EDUC6062</v>
      </c>
      <c r="B18" s="152">
        <f>IFERROR(IF(VLOOKUP($A18,TableHandbook[],2,FALSE)=0,"",VLOOKUP($A18,TableHandbook[],2,FALSE)),"")</f>
        <v>1</v>
      </c>
      <c r="C18" s="152" t="str">
        <f>IFERROR(IF(VLOOKUP($A18,TableHandbook[],3,FALSE)=0,"",VLOOKUP($A18,TableHandbook[],3,FALSE)),"")</f>
        <v/>
      </c>
      <c r="D18" s="146" t="str">
        <f>IFERROR(IF(VLOOKUP($A18,TableHandbook[],4,FALSE)=0,"",VLOOKUP($A18,TableHandbook[],4,FALSE)),"")</f>
        <v>Professional Experience 3: Using Data to Inform Teaching and Learning</v>
      </c>
      <c r="E18" s="145" t="str">
        <f>IF(A18="","",E17)</f>
        <v>SSP3</v>
      </c>
      <c r="F18" s="147" t="str">
        <f>IFERROR(IF(VLOOKUP($A18,TableHandbook[],6,FALSE)=0,"",VLOOKUP($A18,TableHandbook[],6,FALSE)),"")</f>
        <v>EDEC5001 or EDPR5001 or EDSC5029</v>
      </c>
      <c r="G18" s="152">
        <f>IFERROR(IF(VLOOKUP($A18,TableHandbook[],5,FALSE)=0,"",VLOOKUP($A18,TableHandbook[],5,FALSE)),"")</f>
        <v>25</v>
      </c>
      <c r="H18" s="153" t="str">
        <f>IFERROR(VLOOKUP($A18,TableHandbook[],H$2,FALSE),"")</f>
        <v>Y</v>
      </c>
      <c r="I18" s="154" t="str">
        <f>IFERROR(VLOOKUP($A18,TableHandbook[],I$2,FALSE),"")</f>
        <v>Y</v>
      </c>
      <c r="J18" s="153" t="str">
        <f>IFERROR(VLOOKUP($A18,TableHandbook[],J$2,FALSE),"")</f>
        <v/>
      </c>
      <c r="K18" s="154" t="str">
        <f>IFERROR(VLOOKUP($A18,TableHandbook[],K$2,FALSE),"")</f>
        <v/>
      </c>
      <c r="L18" s="153" t="str">
        <f>IFERROR(VLOOKUP($A18,TableHandbook[],L$2,FALSE),"")</f>
        <v>Y</v>
      </c>
      <c r="M18" s="154" t="str">
        <f>IFERROR(VLOOKUP($A18,TableHandbook[],M$2,FALSE),"")</f>
        <v>Y</v>
      </c>
      <c r="N18" s="153" t="str">
        <f>IFERROR(VLOOKUP($A18,TableHandbook[],N$2,FALSE),"")</f>
        <v/>
      </c>
      <c r="O18" s="154" t="str">
        <f>IFERROR(VLOOKUP($A18,TableHandbook[],O$2,FALSE),"")</f>
        <v/>
      </c>
      <c r="P18" s="24"/>
      <c r="Q18" s="150">
        <v>7</v>
      </c>
      <c r="R18" s="155"/>
      <c r="S18" s="155"/>
    </row>
    <row r="19" spans="1:20" s="14" customFormat="1" ht="6" customHeight="1" x14ac:dyDescent="0.15">
      <c r="A19" s="172"/>
      <c r="B19" s="173"/>
      <c r="C19" s="173"/>
      <c r="D19" s="174"/>
      <c r="E19" s="173"/>
      <c r="F19" s="175"/>
      <c r="G19" s="173"/>
      <c r="H19" s="176"/>
      <c r="I19" s="177"/>
      <c r="J19" s="176"/>
      <c r="K19" s="177"/>
      <c r="L19" s="176"/>
      <c r="M19" s="177"/>
      <c r="N19" s="176"/>
      <c r="O19" s="177"/>
      <c r="P19" s="107"/>
      <c r="Q19" s="150"/>
      <c r="R19" s="151"/>
      <c r="S19" s="151"/>
      <c r="T19" s="151"/>
    </row>
    <row r="20" spans="1:20"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46" t="str">
        <f>IFERROR(IF(VLOOKUP($A20,TableHandbook[],4,FALSE)=0,"",VLOOKUP($A20,TableHandbook[],4,FALSE)),"")</f>
        <v>Creative Technologies</v>
      </c>
      <c r="E20" s="145" t="str">
        <f>IF(OR(A20="",A20="--"),"",VLOOKUP($D$8,TableStudyPeriods[],5,FALSE))</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8</v>
      </c>
      <c r="R20" s="155"/>
      <c r="S20" s="155"/>
    </row>
    <row r="21" spans="1:20" s="16" customFormat="1" ht="21" customHeight="1" x14ac:dyDescent="0.15">
      <c r="A21" s="144" t="str">
        <f>IFERROR(IF(HLOOKUP($P$6,RangeUnitsetsGDEDUC,Q21,FALSE)=0,"",HLOOKUP($P$6,RangeUnitsetsGDEDUC,Q21,FALSE)),"")</f>
        <v>GDTAS</v>
      </c>
      <c r="B21" s="152" t="str">
        <f>IFERROR(IF(VLOOKUP($A21,TableHandbook[],2,FALSE)=0,"",VLOOKUP($A21,TableHandbook[],2,FALSE)),"")</f>
        <v/>
      </c>
      <c r="C21" s="152" t="str">
        <f>IFERROR(IF(VLOOKUP($A21,TableHandbook[],3,FALSE)=0,"",VLOOKUP($A21,TableHandbook[],3,FALSE)),"")</f>
        <v/>
      </c>
      <c r="D21" s="178" t="str">
        <f>IFERROR(IF(VLOOKUP($A21,TableHandbook[],4,FALSE)=0,"",VLOOKUP($A21,TableHandbook[],4,FALSE)),"")</f>
        <v>Teaching Area SENIOR subject (see below)</v>
      </c>
      <c r="E21" s="152" t="str">
        <f>IF(A21="","",E20)</f>
        <v>SSP4</v>
      </c>
      <c r="F21" s="147" t="str">
        <f>IFERROR(IF(VLOOKUP($A21,TableHandbook[],6,FALSE)=0,"",VLOOKUP($A21,TableHandbook[],6,FALSE)),"")</f>
        <v>See below</v>
      </c>
      <c r="G21" s="152">
        <f>IFERROR(IF(VLOOKUP($A21,TableHandbook[],5,FALSE)=0,"",VLOOKUP($A21,TableHandbook[],5,FALSE)),"")</f>
        <v>25</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9</v>
      </c>
      <c r="R21" s="155"/>
      <c r="S21" s="155"/>
    </row>
    <row r="22" spans="1:20" ht="16.5" customHeight="1" x14ac:dyDescent="0.25">
      <c r="A22" s="160"/>
      <c r="B22" s="160"/>
      <c r="C22" s="160"/>
      <c r="D22" s="161"/>
      <c r="E22" s="161"/>
      <c r="F22" s="162"/>
      <c r="G22" s="162"/>
      <c r="H22" s="162"/>
      <c r="I22" s="162"/>
      <c r="J22" s="162"/>
      <c r="K22" s="162"/>
      <c r="L22" s="162"/>
      <c r="M22" s="162"/>
      <c r="N22" s="162"/>
      <c r="O22" s="162"/>
      <c r="P22" s="162"/>
      <c r="Q22" s="88"/>
    </row>
    <row r="23" spans="1:20" s="20" customFormat="1" ht="20.25" x14ac:dyDescent="0.25">
      <c r="A23" s="249" t="s">
        <v>244</v>
      </c>
      <c r="B23" s="180"/>
      <c r="C23" s="180"/>
      <c r="D23" s="181"/>
      <c r="E23" s="182"/>
      <c r="F23" s="182"/>
      <c r="G23" s="182"/>
      <c r="H23" s="183" t="str">
        <f>H9</f>
        <v>2025 Availabilities</v>
      </c>
      <c r="I23" s="184"/>
      <c r="J23" s="184"/>
      <c r="K23" s="184"/>
      <c r="L23" s="184"/>
      <c r="M23" s="184"/>
      <c r="N23" s="185"/>
      <c r="O23" s="186"/>
      <c r="P23" s="187"/>
      <c r="Q23" s="88"/>
    </row>
    <row r="24" spans="1:20" ht="31.5" x14ac:dyDescent="0.25">
      <c r="A24" s="134"/>
      <c r="B24" s="134"/>
      <c r="C24" s="134"/>
      <c r="D24" s="135" t="s">
        <v>3</v>
      </c>
      <c r="E24" s="141" t="s">
        <v>21</v>
      </c>
      <c r="F24" s="134" t="s">
        <v>44</v>
      </c>
      <c r="G24" s="134" t="s">
        <v>23</v>
      </c>
      <c r="H24" s="142" t="str">
        <f>H10</f>
        <v>SSP1 BEN</v>
      </c>
      <c r="I24" s="143" t="str">
        <f t="shared" ref="I24:P24" si="0">I10</f>
        <v>SSP1 FO</v>
      </c>
      <c r="J24" s="142" t="str">
        <f t="shared" si="0"/>
        <v>SSP2 BEN</v>
      </c>
      <c r="K24" s="143" t="str">
        <f t="shared" si="0"/>
        <v>SSP2 FO</v>
      </c>
      <c r="L24" s="142" t="str">
        <f t="shared" si="0"/>
        <v>SSP3 BEN</v>
      </c>
      <c r="M24" s="143" t="str">
        <f t="shared" si="0"/>
        <v>SSP3 FO</v>
      </c>
      <c r="N24" s="142" t="str">
        <f t="shared" si="0"/>
        <v>SSP4 BEN</v>
      </c>
      <c r="O24" s="143" t="str">
        <f t="shared" si="0"/>
        <v>SSP4 FO</v>
      </c>
      <c r="P24" s="134" t="str">
        <f t="shared" si="0"/>
        <v>Notes / Progress</v>
      </c>
      <c r="Q24" s="150"/>
    </row>
    <row r="25" spans="1:20" x14ac:dyDescent="0.25">
      <c r="A25" s="188" t="str">
        <f>IFERROR(IF(HLOOKUP($P$6,RangeUnitsetsGDEDUC,Q25,FALSE)=0,"",HLOOKUP($P$6,RangeUnitsetsGDEDUC,Q25,FALSE)),"")</f>
        <v>GDTA</v>
      </c>
      <c r="B25" s="189" t="str">
        <f>IFERROR(IF(VLOOKUP($A25,TableHandbook[],2,FALSE)=0,"",VLOOKUP($A25,TableHandbook[],2,FALSE)),"")</f>
        <v/>
      </c>
      <c r="C25" s="190" t="str">
        <f>IFERROR(IF(VLOOKUP($A25,TableHandbook[],3,FALSE)=0,"",VLOOKUP($A25,TableHandbook[],3,FALSE)),"")</f>
        <v/>
      </c>
      <c r="D25" s="190" t="str">
        <f>IFERROR(IF(VLOOKUP($A25,TableHandbook[],4,FALSE)=0,"",VLOOKUP($A25,TableHandbook[],4,FALSE)),"")</f>
        <v>Teaching Area (study Lower before Senior)</v>
      </c>
      <c r="E25" s="191"/>
      <c r="F25" s="192" t="str">
        <f>IFERROR(IF(VLOOKUP($A25,TableHandbook[],6,FALSE)=0,"",VLOOKUP($A25,TableHandbook[],6,FALSE)),"")</f>
        <v/>
      </c>
      <c r="G25" s="192" t="str">
        <f>IFERROR(IF(VLOOKUP($A25,TableHandbook[],5,FALSE)=0,"",VLOOKUP($A25,TableHandbook[],5,FALSE)),"")</f>
        <v/>
      </c>
      <c r="H25" s="153" t="str">
        <f>IFERROR(VLOOKUP($A25,TableHandbook[],H$2,FALSE),"")</f>
        <v/>
      </c>
      <c r="I25" s="154" t="str">
        <f>IFERROR(VLOOKUP($A25,TableHandbook[],I$2,FALSE),"")</f>
        <v/>
      </c>
      <c r="J25" s="152" t="str">
        <f>IFERROR(VLOOKUP($A25,TableHandbook[],J$2,FALSE),"")</f>
        <v/>
      </c>
      <c r="K25" s="154" t="str">
        <f>IFERROR(VLOOKUP($A25,TableHandbook[],K$2,FALSE),"")</f>
        <v/>
      </c>
      <c r="L25" s="152" t="str">
        <f>IFERROR(VLOOKUP($A25,TableHandbook[],L$2,FALSE),"")</f>
        <v/>
      </c>
      <c r="M25" s="154" t="str">
        <f>IFERROR(VLOOKUP($A25,TableHandbook[],M$2,FALSE),"")</f>
        <v/>
      </c>
      <c r="N25" s="152" t="str">
        <f>IFERROR(VLOOKUP($A25,TableHandbook[],N$2,FALSE),"")</f>
        <v/>
      </c>
      <c r="O25" s="154" t="str">
        <f>IFERROR(VLOOKUP($A25,TableHandbook[],O$2,FALSE),"")</f>
        <v/>
      </c>
      <c r="P25" s="24"/>
      <c r="Q25" s="150">
        <v>10</v>
      </c>
    </row>
    <row r="26" spans="1:20" x14ac:dyDescent="0.25">
      <c r="A26" s="188" t="str">
        <f>IFERROR(IF(HLOOKUP($P$7,RangeTeachingAreas,Q26,FALSE)=0,"",HLOOKUP($P$7,RangeTeachingAreas,Q26,FALSE)),"")</f>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148" t="str">
        <f>IFERROR(VLOOKUP($A26,TableHandbook[],H$2,FALSE),"")</f>
        <v/>
      </c>
      <c r="I26" s="149" t="str">
        <f>IFERROR(VLOOKUP($A26,TableHandbook[],I$2,FALSE),"")</f>
        <v/>
      </c>
      <c r="J26" s="145" t="str">
        <f>IFERROR(VLOOKUP($A26,TableHandbook[],J$2,FALSE),"")</f>
        <v/>
      </c>
      <c r="K26" s="149" t="str">
        <f>IFERROR(VLOOKUP($A26,TableHandbook[],K$2,FALSE),"")</f>
        <v/>
      </c>
      <c r="L26" s="145" t="str">
        <f>IFERROR(VLOOKUP($A26,TableHandbook[],L$2,FALSE),"")</f>
        <v/>
      </c>
      <c r="M26" s="149" t="str">
        <f>IFERROR(VLOOKUP($A26,TableHandbook[],M$2,FALSE),"")</f>
        <v/>
      </c>
      <c r="N26" s="145" t="str">
        <f>IFERROR(VLOOKUP($A26,TableHandbook[],N$2,FALSE),"")</f>
        <v/>
      </c>
      <c r="O26" s="149" t="str">
        <f>IFERROR(VLOOKUP($A26,TableHandbook[],O$2,FALSE),"")</f>
        <v/>
      </c>
      <c r="P26" s="24"/>
      <c r="Q26" s="150">
        <v>3</v>
      </c>
    </row>
    <row r="27" spans="1:20" x14ac:dyDescent="0.25">
      <c r="A27" s="188" t="str">
        <f>IFERROR(IF(HLOOKUP($P$7,RangeTeachingAreas,Q27,FALSE)=0,"",HLOOKUP($P$7,RangeTeachingAreas,Q27,FALSE)),"")</f>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148" t="str">
        <f>IFERROR(VLOOKUP($A27,TableHandbook[],H$2,FALSE),"")</f>
        <v/>
      </c>
      <c r="I27" s="149" t="str">
        <f>IFERROR(VLOOKUP($A27,TableHandbook[],I$2,FALSE),"")</f>
        <v/>
      </c>
      <c r="J27" s="145" t="str">
        <f>IFERROR(VLOOKUP($A27,TableHandbook[],J$2,FALSE),"")</f>
        <v/>
      </c>
      <c r="K27" s="149" t="str">
        <f>IFERROR(VLOOKUP($A27,TableHandbook[],K$2,FALSE),"")</f>
        <v/>
      </c>
      <c r="L27" s="145" t="str">
        <f>IFERROR(VLOOKUP($A27,TableHandbook[],L$2,FALSE),"")</f>
        <v/>
      </c>
      <c r="M27" s="149" t="str">
        <f>IFERROR(VLOOKUP($A27,TableHandbook[],M$2,FALSE),"")</f>
        <v/>
      </c>
      <c r="N27" s="145" t="str">
        <f>IFERROR(VLOOKUP($A27,TableHandbook[],N$2,FALSE),"")</f>
        <v/>
      </c>
      <c r="O27" s="149" t="str">
        <f>IFERROR(VLOOKUP($A27,TableHandbook[],O$2,FALSE),"")</f>
        <v/>
      </c>
      <c r="P27" s="24"/>
      <c r="Q27" s="150">
        <v>4</v>
      </c>
    </row>
    <row r="28" spans="1:20" ht="15" customHeight="1" x14ac:dyDescent="0.25">
      <c r="A28" s="193"/>
      <c r="B28" s="193"/>
      <c r="C28" s="194"/>
      <c r="D28" s="194"/>
      <c r="E28" s="195"/>
      <c r="F28" s="196"/>
      <c r="G28" s="196"/>
      <c r="H28" s="197"/>
      <c r="I28" s="197"/>
      <c r="J28" s="197"/>
      <c r="K28" s="197"/>
      <c r="L28" s="197"/>
      <c r="M28" s="197"/>
      <c r="N28" s="197"/>
      <c r="O28" s="197"/>
      <c r="P28" s="198"/>
      <c r="Q28" s="150"/>
    </row>
    <row r="29" spans="1:20" ht="18" x14ac:dyDescent="0.25">
      <c r="A29" s="199" t="s">
        <v>34</v>
      </c>
      <c r="B29" s="199"/>
      <c r="C29" s="199"/>
      <c r="D29" s="199"/>
      <c r="E29" s="199"/>
      <c r="F29" s="199"/>
      <c r="G29" s="199"/>
      <c r="H29" s="199"/>
      <c r="I29" s="199"/>
      <c r="J29" s="199"/>
      <c r="K29" s="199"/>
      <c r="L29" s="199"/>
      <c r="M29" s="199"/>
      <c r="N29" s="199"/>
      <c r="O29" s="199"/>
      <c r="P29" s="199"/>
      <c r="Q29" s="88"/>
    </row>
    <row r="30" spans="1:20" s="18" customFormat="1" ht="17.25" x14ac:dyDescent="0.2">
      <c r="A30" s="66" t="s">
        <v>35</v>
      </c>
      <c r="B30" s="66"/>
      <c r="C30" s="66"/>
      <c r="D30" s="67"/>
      <c r="E30" s="67"/>
      <c r="F30" s="67"/>
      <c r="G30" s="67"/>
      <c r="H30" s="67"/>
      <c r="I30" s="67"/>
      <c r="J30" s="67"/>
      <c r="K30" s="67"/>
      <c r="L30" s="67"/>
      <c r="M30" s="67"/>
      <c r="N30" s="67"/>
      <c r="O30" s="67"/>
      <c r="P30" s="67"/>
      <c r="Q30" s="163"/>
      <c r="R30" s="163"/>
      <c r="S30" s="163"/>
    </row>
    <row r="31" spans="1:20" x14ac:dyDescent="0.25">
      <c r="A31" s="164" t="s">
        <v>36</v>
      </c>
      <c r="B31" s="164"/>
      <c r="C31" s="164"/>
      <c r="D31" s="164"/>
      <c r="E31" s="165"/>
      <c r="F31" s="162"/>
      <c r="G31" s="166"/>
      <c r="H31" s="166"/>
      <c r="I31" s="166"/>
      <c r="J31" s="166"/>
      <c r="K31" s="166"/>
      <c r="L31" s="166"/>
      <c r="M31" s="166"/>
      <c r="N31" s="166"/>
      <c r="O31" s="166"/>
      <c r="P31" s="166" t="s">
        <v>37</v>
      </c>
    </row>
  </sheetData>
  <sheetProtection algorithmName="SHA-512" hashValue="3GUAFEzSweK2C79/zhZtPv8F82dd9Eu05M+UWLeD4+atUV8czJdDQebSoA8bOXRJdKL4FFnSRkT5XSNP9cBY2Q==" saltValue="sEhKByTJaFAXfwtpsf/24g==" spinCount="100000" sheet="1" objects="1" scenarios="1" formatCells="0" formatColumns="0" formatRows="0"/>
  <mergeCells count="1">
    <mergeCell ref="A3:D3"/>
  </mergeCells>
  <conditionalFormatting sqref="A11:Q21 A25:Q27">
    <cfRule type="expression" dxfId="104" priority="5">
      <formula>LEFT($A11,4)="GDTA"</formula>
    </cfRule>
  </conditionalFormatting>
  <conditionalFormatting sqref="D5:D8">
    <cfRule type="containsText" dxfId="103" priority="6" operator="containsText" text="Choose">
      <formula>NOT(ISERROR(SEARCH("Choose",D5)))</formula>
    </cfRule>
  </conditionalFormatting>
  <conditionalFormatting sqref="H11:O21">
    <cfRule type="expression" dxfId="102"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A48"/>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5.875" style="9" customWidth="1"/>
    <col min="4" max="4" width="56.375" style="8" bestFit="1" customWidth="1"/>
    <col min="5" max="5" width="7.25" style="8" customWidth="1"/>
    <col min="6" max="6" width="18.125" style="8" customWidth="1"/>
    <col min="7" max="7" width="5.625" style="8" customWidth="1"/>
    <col min="8" max="15" width="3.875" style="8" customWidth="1"/>
    <col min="16" max="16" width="15.6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74" t="s">
        <v>8</v>
      </c>
      <c r="B3" s="274"/>
      <c r="C3" s="274"/>
      <c r="D3" s="274"/>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11</v>
      </c>
      <c r="E5" s="123"/>
      <c r="F5" s="121" t="s">
        <v>12</v>
      </c>
      <c r="G5" s="128" t="str">
        <f>IFERROR(CONCATENATE(VLOOKUP(D5,TableCourses[],2,FALSE)," ",VLOOKUP(D5,TableCourses[],3,FALSE)),"")</f>
        <v>MC-TEACH v.2</v>
      </c>
      <c r="H5" s="168"/>
      <c r="I5" s="123"/>
      <c r="J5" s="123"/>
      <c r="K5" s="123"/>
      <c r="L5" s="123"/>
      <c r="M5" s="123"/>
      <c r="N5" s="123"/>
      <c r="O5" s="123"/>
      <c r="P5" s="201"/>
      <c r="Q5" s="88"/>
    </row>
    <row r="6" spans="1:27" ht="20.100000000000001" customHeight="1" x14ac:dyDescent="0.25">
      <c r="B6" s="120"/>
      <c r="C6" s="121" t="s">
        <v>13</v>
      </c>
      <c r="D6" s="126" t="s">
        <v>126</v>
      </c>
      <c r="E6" s="123"/>
      <c r="F6" s="121" t="s">
        <v>15</v>
      </c>
      <c r="G6" s="128" t="str">
        <f>IFERROR(CONCATENATE(VLOOKUP(D6,TableMajors[],2,FALSE)," ",VLOOKUP(D6,TableMajors[],3,FALSE)),"")</f>
        <v>MJRP-TCHSC v.2</v>
      </c>
      <c r="H6" s="168"/>
      <c r="I6" s="123"/>
      <c r="J6" s="123"/>
      <c r="K6" s="123"/>
      <c r="L6" s="123"/>
      <c r="M6" s="123"/>
      <c r="N6" s="123"/>
      <c r="O6" s="123"/>
      <c r="P6" s="170" t="e">
        <f>CONCATENATE(VLOOKUP(D6,TableMajors[],2,FALSE),VLOOKUP(D9,TableStudyPeriods[],2,FALSE))</f>
        <v>#N/A</v>
      </c>
      <c r="Q6" s="88"/>
    </row>
    <row r="7" spans="1:27" ht="20.100000000000001" customHeight="1" x14ac:dyDescent="0.25">
      <c r="B7" s="120"/>
      <c r="C7" s="121" t="s">
        <v>246</v>
      </c>
      <c r="D7" s="202" t="s">
        <v>263</v>
      </c>
      <c r="E7" s="123"/>
      <c r="F7" s="121" t="s">
        <v>248</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7" ht="20.100000000000001" customHeight="1" x14ac:dyDescent="0.25">
      <c r="B8" s="120"/>
      <c r="C8" s="121" t="s">
        <v>249</v>
      </c>
      <c r="D8" s="221" t="s">
        <v>262</v>
      </c>
      <c r="E8" s="123"/>
      <c r="F8" s="121" t="s">
        <v>251</v>
      </c>
      <c r="G8" s="128" t="str">
        <f>IFERROR(CONCATENATE(VLOOKUP(D8,TableTeachingArea2[],2,FALSE)," ",VLOOKUP(D8,TableTeachingArea2[],3,FALSE)),"")</f>
        <v/>
      </c>
      <c r="H8" s="168"/>
      <c r="I8" s="123"/>
      <c r="J8" s="123"/>
      <c r="K8" s="123"/>
      <c r="L8" s="123"/>
      <c r="M8" s="123"/>
      <c r="N8" s="123"/>
      <c r="O8" s="123"/>
      <c r="P8" s="170" t="e">
        <f>VLOOKUP(D8,TableTeachingArea2[],2,FALSE)</f>
        <v>#N/A</v>
      </c>
      <c r="Q8" s="88"/>
    </row>
    <row r="9" spans="1:27" ht="20.100000000000001" customHeight="1" x14ac:dyDescent="0.25">
      <c r="A9" s="128"/>
      <c r="B9" s="129"/>
      <c r="C9" s="121" t="s">
        <v>16</v>
      </c>
      <c r="D9" s="167" t="s">
        <v>43</v>
      </c>
      <c r="E9" s="131"/>
      <c r="F9" s="121" t="s">
        <v>18</v>
      </c>
      <c r="G9" s="123" t="str">
        <f>IFERROR(VLOOKUP($D$5,TableCourses[],7,FALSE),"")</f>
        <v>400 credit points required</v>
      </c>
      <c r="H9" s="132"/>
      <c r="I9" s="132"/>
      <c r="J9" s="132"/>
      <c r="K9" s="132"/>
      <c r="L9" s="132"/>
      <c r="M9" s="132"/>
      <c r="N9" s="132"/>
      <c r="O9" s="132"/>
      <c r="P9" s="170" t="str">
        <f>IFERROR(CONCATENATE("DD",MID(G7,6,5)),"")</f>
        <v>DD</v>
      </c>
      <c r="Q9" s="88"/>
      <c r="AA9" s="10"/>
    </row>
    <row r="10" spans="1:27" s="12" customFormat="1" ht="14.1" customHeight="1" x14ac:dyDescent="0.25">
      <c r="A10" s="134"/>
      <c r="B10" s="134"/>
      <c r="C10" s="134"/>
      <c r="D10" s="135"/>
      <c r="E10" s="136"/>
      <c r="F10" s="134"/>
      <c r="G10" s="134"/>
      <c r="H10" s="137" t="s">
        <v>19</v>
      </c>
      <c r="I10" s="138"/>
      <c r="J10" s="138"/>
      <c r="K10" s="138"/>
      <c r="L10" s="138"/>
      <c r="M10" s="138"/>
      <c r="N10" s="138"/>
      <c r="O10" s="139"/>
      <c r="P10" s="136"/>
      <c r="Q10" s="158"/>
      <c r="R10" s="140"/>
      <c r="S10" s="140"/>
      <c r="AA10" s="11"/>
    </row>
    <row r="11" spans="1:27" s="12" customFormat="1" ht="31.5" x14ac:dyDescent="0.25">
      <c r="A11" s="134" t="s">
        <v>20</v>
      </c>
      <c r="B11" s="134"/>
      <c r="C11" s="134"/>
      <c r="D11" s="135" t="s">
        <v>3</v>
      </c>
      <c r="E11" s="141" t="s">
        <v>21</v>
      </c>
      <c r="F11" s="134" t="s">
        <v>22</v>
      </c>
      <c r="G11" s="134" t="s">
        <v>23</v>
      </c>
      <c r="H11" s="142" t="s">
        <v>24</v>
      </c>
      <c r="I11" s="143" t="s">
        <v>25</v>
      </c>
      <c r="J11" s="142" t="s">
        <v>26</v>
      </c>
      <c r="K11" s="143" t="s">
        <v>27</v>
      </c>
      <c r="L11" s="142" t="s">
        <v>28</v>
      </c>
      <c r="M11" s="143" t="s">
        <v>29</v>
      </c>
      <c r="N11" s="142" t="s">
        <v>30</v>
      </c>
      <c r="O11" s="143" t="s">
        <v>31</v>
      </c>
      <c r="P11" s="134" t="s">
        <v>32</v>
      </c>
      <c r="Q11" s="158"/>
      <c r="R11" s="140"/>
      <c r="S11" s="140"/>
      <c r="AA11" s="11"/>
    </row>
    <row r="12" spans="1:27" s="14" customFormat="1" ht="21" customHeight="1" x14ac:dyDescent="0.15">
      <c r="A12" s="144" t="str">
        <f>IFERROR(IF(HLOOKUP($P$6,RangeUnitsetsSec,Q12,FALSE)=0,"",HLOOKUP($P$6,RangeUnitsetsSec,Q12,FALSE)),"")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IF(OR(A12="",A12="--"),"",VLOOKUP($D$9,TableStudyPeriods[],2,FALSE))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3"/>
      <c r="Q12" s="150">
        <v>2</v>
      </c>
      <c r="R12" s="151"/>
      <c r="S12" s="151"/>
      <c r="AA12" s="13"/>
    </row>
    <row r="13" spans="1:27" s="14" customFormat="1" ht="21" customHeight="1" x14ac:dyDescent="0.15">
      <c r="A13" s="171" t="str">
        <f>IFERROR(IF(HLOOKUP($P$6,RangeUnitsetsSec,Q13,FALSE)=0,"",HLOOKUP($P$6,RangeUnitsetsSec,Q13,FALSE)),"")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3</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IFERROR(IF(HLOOKUP($P$6,RangeUnitsetsSec,Q15,FALSE)=0,"",HLOOKUP($P$6,RangeUnitsetsSec,Q15,FALSE)),"")</f>
        <v/>
      </c>
      <c r="B15" s="145" t="str">
        <f>IFERROR(IF(VLOOKUP($A15,TableHandbook[],2,FALSE)=0,"",VLOOKUP($A15,TableHandbook[],2,FALSE)),"")</f>
        <v/>
      </c>
      <c r="C15" s="145" t="str">
        <f>IFERROR(IF(VLOOKUP($A15,TableHandbook[],3,FALSE)=0,"",VLOOKUP($A15,TableHandbook[],3,FALSE)),"")</f>
        <v/>
      </c>
      <c r="D15" s="146" t="str">
        <f>IFERROR(IF(VLOOKUP($A15,TableHandbook[],4,FALSE)=0,"",VLOOKUP($A15,TableHandbook[],4,FALSE)),"")</f>
        <v/>
      </c>
      <c r="E15" s="145" t="str">
        <f>IF(OR(A15="",A15="--"),"",VLOOKUP($D$9,TableStudyPeriods[],3,FALSE))</f>
        <v/>
      </c>
      <c r="F15" s="147" t="str">
        <f>IFERROR(IF(VLOOKUP($A15,TableHandbook[],6,FALSE)=0,"",VLOOKUP($A15,TableHandbook[],6,FALSE)),"")</f>
        <v/>
      </c>
      <c r="G15" s="145" t="str">
        <f>IFERROR(IF(VLOOKUP($A15,TableHandbook[],5,FALSE)=0,"",VLOOKUP($A15,TableHandbook[],5,FALSE)),"")</f>
        <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4"/>
      <c r="Q15" s="150">
        <v>4</v>
      </c>
      <c r="R15" s="151"/>
      <c r="S15" s="151"/>
      <c r="AA15" s="13"/>
    </row>
    <row r="16" spans="1:27" s="14" customFormat="1" ht="21" customHeight="1" x14ac:dyDescent="0.15">
      <c r="A16" s="144" t="str">
        <f>IFERROR(IF(HLOOKUP($P$6,RangeUnitsetsSec,Q16,FALSE)=0,"",HLOOKUP($P$6,RangeUnitsetsSec,Q16,FALSE)),"")</f>
        <v/>
      </c>
      <c r="B16" s="145" t="str">
        <f>IFERROR(IF(VLOOKUP($A16,TableHandbook[],2,FALSE)=0,"",VLOOKUP($A16,TableHandbook[],2,FALSE)),"")</f>
        <v/>
      </c>
      <c r="C16" s="145" t="str">
        <f>IFERROR(IF(VLOOKUP($A16,TableHandbook[],3,FALSE)=0,"",VLOOKUP($A16,TableHandbook[],3,FALSE)),"")</f>
        <v/>
      </c>
      <c r="D16" s="146" t="str">
        <f>IFERROR(IF(VLOOKUP($A16,TableHandbook[],4,FALSE)=0,"",VLOOKUP($A16,TableHandbook[],4,FALSE)),"")</f>
        <v/>
      </c>
      <c r="E16" s="145" t="str">
        <f>IF(A16="","",E15)</f>
        <v/>
      </c>
      <c r="F16" s="147" t="str">
        <f>IFERROR(IF(VLOOKUP($A16,TableHandbook[],6,FALSE)=0,"",VLOOKUP($A16,TableHandbook[],6,FALSE)),"")</f>
        <v/>
      </c>
      <c r="G16" s="145" t="str">
        <f>IFERROR(IF(VLOOKUP($A16,TableHandbook[],5,FALSE)=0,"",VLOOKUP($A16,TableHandbook[],5,FALSE)),"")</f>
        <v/>
      </c>
      <c r="H16" s="148" t="str">
        <f>IFERROR(VLOOKUP($A16,TableHandbook[],H$2,FALSE),"")</f>
        <v/>
      </c>
      <c r="I16" s="149" t="str">
        <f>IFERROR(VLOOKUP($A16,TableHandbook[],I$2,FALSE),"")</f>
        <v/>
      </c>
      <c r="J16" s="148" t="str">
        <f>IFERROR(VLOOKUP($A16,TableHandbook[],J$2,FALSE),"")</f>
        <v/>
      </c>
      <c r="K16" s="149" t="str">
        <f>IFERROR(VLOOKUP($A16,TableHandbook[],K$2,FALSE),"")</f>
        <v/>
      </c>
      <c r="L16" s="148" t="str">
        <f>IFERROR(VLOOKUP($A16,TableHandbook[],L$2,FALSE),"")</f>
        <v/>
      </c>
      <c r="M16" s="149" t="str">
        <f>IFERROR(VLOOKUP($A16,TableHandbook[],M$2,FALSE),"")</f>
        <v/>
      </c>
      <c r="N16" s="148" t="str">
        <f>IFERROR(VLOOKUP($A16,TableHandbook[],N$2,FALSE),"")</f>
        <v/>
      </c>
      <c r="O16" s="149" t="str">
        <f>IFERROR(VLOOKUP($A16,TableHandbook[],O$2,FALSE),"")</f>
        <v/>
      </c>
      <c r="P16" s="23"/>
      <c r="Q16" s="150">
        <v>5</v>
      </c>
      <c r="R16" s="151"/>
      <c r="S16" s="151"/>
      <c r="AA16" s="13"/>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4" customFormat="1" ht="21" customHeight="1" x14ac:dyDescent="0.15">
      <c r="A18" s="144" t="str">
        <f>IFERROR(IF(HLOOKUP($P$6,RangeUnitsetsSec,Q18,FALSE)=0,"",HLOOKUP($P$6,RangeUnitsetsSec,Q18,FALSE)),"")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IF(OR(A18="",A18="--"),"",VLOOKUP($D$9,TableStudyPeriods[],4,FALSE))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6</v>
      </c>
      <c r="R18" s="151"/>
      <c r="S18" s="151"/>
      <c r="AA18" s="13"/>
    </row>
    <row r="19" spans="1:27" s="16" customFormat="1" ht="21" customHeight="1" x14ac:dyDescent="0.15">
      <c r="A19" s="144" t="str">
        <f>IFERROR(IF(HLOOKUP($P$6,RangeUnitsetsSec,Q19,FALSE)=0,"",HLOOKUP($P$6,RangeUnitsetsSec,Q19,FALSE)),"")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7</v>
      </c>
      <c r="R19" s="155"/>
      <c r="S19" s="155"/>
      <c r="AA19" s="15"/>
    </row>
    <row r="20" spans="1:27" s="14" customFormat="1" ht="6" customHeight="1" x14ac:dyDescent="0.15">
      <c r="A20" s="172"/>
      <c r="B20" s="173"/>
      <c r="C20" s="173"/>
      <c r="D20" s="174"/>
      <c r="E20" s="173"/>
      <c r="F20" s="175"/>
      <c r="G20" s="173"/>
      <c r="H20" s="176"/>
      <c r="I20" s="177"/>
      <c r="J20" s="176"/>
      <c r="K20" s="177"/>
      <c r="L20" s="176"/>
      <c r="M20" s="177"/>
      <c r="N20" s="176"/>
      <c r="O20" s="177"/>
      <c r="P20" s="107"/>
      <c r="Q20" s="150"/>
      <c r="R20" s="151"/>
      <c r="S20" s="151"/>
      <c r="T20" s="151"/>
      <c r="AA20" s="13"/>
    </row>
    <row r="21" spans="1:27" s="16" customFormat="1" ht="21" customHeight="1" x14ac:dyDescent="0.15">
      <c r="A21" s="144" t="str">
        <f>IFERROR(IF(HLOOKUP($P$6,RangeUnitsetsSec,Q21,FALSE)=0,"",HLOOKUP($P$6,RangeUnitsetsSec,Q21,FALSE)),"")</f>
        <v/>
      </c>
      <c r="B21" s="152" t="str">
        <f>IFERROR(IF(VLOOKUP($A21,TableHandbook[],2,FALSE)=0,"",VLOOKUP($A21,TableHandbook[],2,FALSE)),"")</f>
        <v/>
      </c>
      <c r="C21" s="152" t="str">
        <f>IFERROR(IF(VLOOKUP($A21,TableHandbook[],3,FALSE)=0,"",VLOOKUP($A21,TableHandbook[],3,FALSE)),"")</f>
        <v/>
      </c>
      <c r="D21" s="146" t="str">
        <f>IFERROR(IF(VLOOKUP($A21,TableHandbook[],4,FALSE)=0,"",VLOOKUP($A21,TableHandbook[],4,FALSE)),"")</f>
        <v/>
      </c>
      <c r="E21" s="145" t="str">
        <f>IF(OR(A21="",A21="--"),"",VLOOKUP($D$9,TableStudyPeriods[],5,FALSE))</f>
        <v/>
      </c>
      <c r="F21" s="147" t="str">
        <f>IFERROR(IF(VLOOKUP($A21,TableHandbook[],6,FALSE)=0,"",VLOOKUP($A21,TableHandbook[],6,FALSE)),"")</f>
        <v/>
      </c>
      <c r="G21" s="152" t="str">
        <f>IFERROR(IF(VLOOKUP($A21,TableHandbook[],5,FALSE)=0,"",VLOOKUP($A21,TableHandbook[],5,FALSE)),"")</f>
        <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8</v>
      </c>
      <c r="R21" s="155"/>
      <c r="S21" s="155"/>
      <c r="AA21" s="15"/>
    </row>
    <row r="22" spans="1:27" s="16" customFormat="1" ht="21" customHeight="1" x14ac:dyDescent="0.15">
      <c r="A22" s="144" t="str">
        <f>IFERROR(IF(HLOOKUP($P$6,RangeUnitsetsSec,Q22,FALSE)=0,"",HLOOKUP($P$6,RangeUnitsetsSec,Q22,FALSE)),"")</f>
        <v/>
      </c>
      <c r="B22" s="152" t="str">
        <f>IFERROR(IF(VLOOKUP($A22,TableHandbook[],2,FALSE)=0,"",VLOOKUP($A22,TableHandbook[],2,FALSE)),"")</f>
        <v/>
      </c>
      <c r="C22" s="152" t="str">
        <f>IFERROR(IF(VLOOKUP($A22,TableHandbook[],3,FALSE)=0,"",VLOOKUP($A22,TableHandbook[],3,FALSE)),"")</f>
        <v/>
      </c>
      <c r="D22" s="178" t="str">
        <f>IFERROR(IF(VLOOKUP($A22,TableHandbook[],4,FALSE)=0,"",VLOOKUP($A22,TableHandbook[],4,FALSE)),"")</f>
        <v/>
      </c>
      <c r="E22" s="152" t="str">
        <f>IF(A22="","",E21)</f>
        <v/>
      </c>
      <c r="F22" s="147" t="str">
        <f>IFERROR(IF(VLOOKUP($A22,TableHandbook[],6,FALSE)=0,"",VLOOKUP($A22,TableHandbook[],6,FALSE)),"")</f>
        <v/>
      </c>
      <c r="G22" s="152" t="str">
        <f>IFERROR(IF(VLOOKUP($A22,TableHandbook[],5,FALSE)=0,"",VLOOKUP($A22,TableHandbook[],5,FALSE)),"")</f>
        <v/>
      </c>
      <c r="H22" s="153" t="str">
        <f>IFERROR(VLOOKUP($A22,TableHandbook[],H$2,FALSE),"")</f>
        <v/>
      </c>
      <c r="I22" s="154" t="str">
        <f>IFERROR(VLOOKUP($A22,TableHandbook[],I$2,FALSE),"")</f>
        <v/>
      </c>
      <c r="J22" s="153" t="str">
        <f>IFERROR(VLOOKUP($A22,TableHandbook[],J$2,FALSE),"")</f>
        <v/>
      </c>
      <c r="K22" s="154" t="str">
        <f>IFERROR(VLOOKUP($A22,TableHandbook[],K$2,FALSE),"")</f>
        <v/>
      </c>
      <c r="L22" s="153" t="str">
        <f>IFERROR(VLOOKUP($A22,TableHandbook[],L$2,FALSE),"")</f>
        <v/>
      </c>
      <c r="M22" s="154" t="str">
        <f>IFERROR(VLOOKUP($A22,TableHandbook[],M$2,FALSE),"")</f>
        <v/>
      </c>
      <c r="N22" s="153" t="str">
        <f>IFERROR(VLOOKUP($A22,TableHandbook[],N$2,FALSE),"")</f>
        <v/>
      </c>
      <c r="O22" s="154" t="str">
        <f>IFERROR(VLOOKUP($A22,TableHandbook[],O$2,FALSE),"")</f>
        <v/>
      </c>
      <c r="P22" s="24"/>
      <c r="Q22" s="150">
        <v>9</v>
      </c>
      <c r="R22" s="155"/>
      <c r="S22" s="155"/>
      <c r="AA22" s="15"/>
    </row>
    <row r="23" spans="1:27" s="12" customFormat="1" ht="31.5" x14ac:dyDescent="0.25">
      <c r="A23" s="134" t="s">
        <v>33</v>
      </c>
      <c r="B23" s="134"/>
      <c r="C23" s="134"/>
      <c r="D23" s="135" t="s">
        <v>3</v>
      </c>
      <c r="E23" s="141" t="s">
        <v>21</v>
      </c>
      <c r="F23" s="134" t="s">
        <v>22</v>
      </c>
      <c r="G23" s="134" t="s">
        <v>23</v>
      </c>
      <c r="H23" s="142" t="str">
        <f>H$11</f>
        <v>SSP1 BEN</v>
      </c>
      <c r="I23" s="143" t="str">
        <f t="shared" ref="I23:P23" si="0">I$11</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8"/>
      <c r="R23" s="140"/>
      <c r="S23" s="140"/>
      <c r="AA23" s="11"/>
    </row>
    <row r="24" spans="1:27" s="14" customFormat="1" ht="21" customHeight="1" x14ac:dyDescent="0.15">
      <c r="A24" s="144" t="str">
        <f>IFERROR(IF(HLOOKUP($P$6,RangeUnitsetsSec,Q24,FALSE)=0,"",HLOOKUP($P$6,RangeUnitsetsSec,Q24,FALSE)),"")</f>
        <v/>
      </c>
      <c r="B24" s="152" t="str">
        <f>IFERROR(IF(VLOOKUP($A24,TableHandbook[],2,FALSE)=0,"",VLOOKUP($A24,TableHandbook[],2,FALSE)),"")</f>
        <v/>
      </c>
      <c r="C24" s="152" t="str">
        <f>IFERROR(IF(VLOOKUP($A24,TableHandbook[],3,FALSE)=0,"",VLOOKUP($A24,TableHandbook[],3,FALSE)),"")</f>
        <v/>
      </c>
      <c r="D24" s="159" t="str">
        <f>IFERROR(IF(VLOOKUP($A24,TableHandbook[],4,FALSE)=0,"",VLOOKUP($A24,TableHandbook[],4,FALSE)),"")</f>
        <v/>
      </c>
      <c r="E24" s="152" t="str">
        <f>IF(OR(A24="",A24="--"),"",VLOOKUP($D$9,TableStudyPeriods[],2,FALSE))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10</v>
      </c>
      <c r="R24" s="151"/>
      <c r="S24" s="151"/>
      <c r="AA24" s="13"/>
    </row>
    <row r="25" spans="1:27" s="14" customFormat="1" ht="21" customHeight="1" x14ac:dyDescent="0.15">
      <c r="A25" s="144" t="str">
        <f>IFERROR(IF(HLOOKUP($P$6,RangeUnitsetsSec,Q25,FALSE)=0,"",HLOOKUP($P$6,RangeUnitsetsSec,Q25,FALSE)),"")</f>
        <v/>
      </c>
      <c r="B25" s="152" t="str">
        <f>IFERROR(IF(VLOOKUP($A25,TableHandbook[],2,FALSE)=0,"",VLOOKUP($A25,TableHandbook[],2,FALSE)),"")</f>
        <v/>
      </c>
      <c r="C25" s="152" t="str">
        <f>IFERROR(IF(VLOOKUP($A25,TableHandbook[],3,FALSE)=0,"",VLOOKUP($A25,TableHandbook[],3,FALSE)),"")</f>
        <v/>
      </c>
      <c r="D25" s="178" t="str">
        <f>IFERROR(IF(VLOOKUP($A25,TableHandbook[],4,FALSE)=0,"",VLOOKUP($A25,TableHandbook[],4,FALSE)),"")</f>
        <v/>
      </c>
      <c r="E25" s="152" t="str">
        <f>IF(A25="","",E24)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11</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IFERROR(IF(HLOOKUP($P$6,RangeUnitsetsSec,Q27,FALSE)=0,"",HLOOKUP($P$6,RangeUnitsetsSec,Q27,FALSE)),"")</f>
        <v/>
      </c>
      <c r="B27" s="152" t="str">
        <f>IFERROR(IF(VLOOKUP($A27,TableHandbook[],2,FALSE)=0,"",VLOOKUP($A27,TableHandbook[],2,FALSE)),"")</f>
        <v/>
      </c>
      <c r="C27" s="152" t="str">
        <f>IFERROR(IF(VLOOKUP($A27,TableHandbook[],3,FALSE)=0,"",VLOOKUP($A27,TableHandbook[],3,FALSE)),"")</f>
        <v/>
      </c>
      <c r="D27" s="178" t="str">
        <f>IFERROR(IF(VLOOKUP($A27,TableHandbook[],4,FALSE)=0,"",VLOOKUP($A27,TableHandbook[],4,FALSE)),"")</f>
        <v/>
      </c>
      <c r="E27" s="152" t="str">
        <f>IF(OR(A27="",A27="--"),"",VLOOKUP($D$9,TableStudyPeriods[],3,FALSE))</f>
        <v/>
      </c>
      <c r="F27" s="147" t="str">
        <f>IFERROR(IF(VLOOKUP($A27,TableHandbook[],6,FALSE)=0,"",VLOOKUP($A27,TableHandbook[],6,FALSE)),"")</f>
        <v/>
      </c>
      <c r="G27" s="145" t="str">
        <f>IFERROR(IF(VLOOKUP($A27,TableHandbook[],5,FALSE)=0,"",VLOOKUP($A27,TableHandbook[],5,FALSE)),"")</f>
        <v/>
      </c>
      <c r="H27" s="148" t="str">
        <f>IFERROR(VLOOKUP($A27,TableHandbook[],H$2,FALSE),"")</f>
        <v/>
      </c>
      <c r="I27" s="149" t="str">
        <f>IFERROR(VLOOKUP($A27,TableHandbook[],I$2,FALSE),"")</f>
        <v/>
      </c>
      <c r="J27" s="148" t="str">
        <f>IFERROR(VLOOKUP($A27,TableHandbook[],J$2,FALSE),"")</f>
        <v/>
      </c>
      <c r="K27" s="149" t="str">
        <f>IFERROR(VLOOKUP($A27,TableHandbook[],K$2,FALSE),"")</f>
        <v/>
      </c>
      <c r="L27" s="148" t="str">
        <f>IFERROR(VLOOKUP($A27,TableHandbook[],L$2,FALSE),"")</f>
        <v/>
      </c>
      <c r="M27" s="149" t="str">
        <f>IFERROR(VLOOKUP($A27,TableHandbook[],M$2,FALSE),"")</f>
        <v/>
      </c>
      <c r="N27" s="148" t="str">
        <f>IFERROR(VLOOKUP($A27,TableHandbook[],N$2,FALSE),"")</f>
        <v/>
      </c>
      <c r="O27" s="149" t="str">
        <f>IFERROR(VLOOKUP($A27,TableHandbook[],O$2,FALSE),"")</f>
        <v/>
      </c>
      <c r="P27" s="22"/>
      <c r="Q27" s="150">
        <v>12</v>
      </c>
      <c r="R27" s="151"/>
      <c r="S27" s="151"/>
      <c r="AA27" s="13"/>
    </row>
    <row r="28" spans="1:27" s="14" customFormat="1" ht="21" customHeight="1" x14ac:dyDescent="0.15">
      <c r="A28" s="144" t="str">
        <f>IFERROR(IF(HLOOKUP($P$6,RangeUnitsetsSec,Q28,FALSE)=0,"",HLOOKUP($P$6,RangeUnitsetsSec,Q28,FALSE)),"")</f>
        <v/>
      </c>
      <c r="B28" s="152" t="str">
        <f>IFERROR(IF(VLOOKUP($A28,TableHandbook[],2,FALSE)=0,"",VLOOKUP($A28,TableHandbook[],2,FALSE)),"")</f>
        <v/>
      </c>
      <c r="C28" s="152" t="str">
        <f>IFERROR(IF(VLOOKUP($A28,TableHandbook[],3,FALSE)=0,"",VLOOKUP($A28,TableHandbook[],3,FALSE)),"")</f>
        <v/>
      </c>
      <c r="D28" s="178" t="str">
        <f>IFERROR(IF(VLOOKUP($A28,TableHandbook[],4,FALSE)=0,"",VLOOKUP($A28,TableHandbook[],4,FALSE)),"")</f>
        <v/>
      </c>
      <c r="E28" s="152" t="str">
        <f>IF(A28="","",E27)</f>
        <v/>
      </c>
      <c r="F28" s="147" t="str">
        <f>IFERROR(IF(VLOOKUP($A28,TableHandbook[],6,FALSE)=0,"",VLOOKUP($A28,TableHandbook[],6,FALSE)),"")</f>
        <v/>
      </c>
      <c r="G28" s="145" t="str">
        <f>IFERROR(IF(VLOOKUP($A28,TableHandbook[],5,FALSE)=0,"",VLOOKUP($A28,TableHandbook[],5,FALSE)),"")</f>
        <v/>
      </c>
      <c r="H28" s="148" t="str">
        <f>IFERROR(VLOOKUP($A28,TableHandbook[],H$2,FALSE),"")</f>
        <v/>
      </c>
      <c r="I28" s="149" t="str">
        <f>IFERROR(VLOOKUP($A28,TableHandbook[],I$2,FALSE),"")</f>
        <v/>
      </c>
      <c r="J28" s="148" t="str">
        <f>IFERROR(VLOOKUP($A28,TableHandbook[],J$2,FALSE),"")</f>
        <v/>
      </c>
      <c r="K28" s="149" t="str">
        <f>IFERROR(VLOOKUP($A28,TableHandbook[],K$2,FALSE),"")</f>
        <v/>
      </c>
      <c r="L28" s="148" t="str">
        <f>IFERROR(VLOOKUP($A28,TableHandbook[],L$2,FALSE),"")</f>
        <v/>
      </c>
      <c r="M28" s="149" t="str">
        <f>IFERROR(VLOOKUP($A28,TableHandbook[],M$2,FALSE),"")</f>
        <v/>
      </c>
      <c r="N28" s="148" t="str">
        <f>IFERROR(VLOOKUP($A28,TableHandbook[],N$2,FALSE),"")</f>
        <v/>
      </c>
      <c r="O28" s="149" t="str">
        <f>IFERROR(VLOOKUP($A28,TableHandbook[],O$2,FALSE),"")</f>
        <v/>
      </c>
      <c r="P28" s="22"/>
      <c r="Q28" s="150">
        <v>13</v>
      </c>
      <c r="R28" s="151"/>
      <c r="S28" s="151"/>
      <c r="AA28" s="13"/>
    </row>
    <row r="29" spans="1:27" s="14" customFormat="1" ht="6" customHeight="1" x14ac:dyDescent="0.15">
      <c r="A29" s="172"/>
      <c r="B29" s="173"/>
      <c r="C29" s="173"/>
      <c r="D29" s="174"/>
      <c r="E29" s="173"/>
      <c r="F29" s="175"/>
      <c r="G29" s="173"/>
      <c r="H29" s="176"/>
      <c r="I29" s="177"/>
      <c r="J29" s="176"/>
      <c r="K29" s="177"/>
      <c r="L29" s="176"/>
      <c r="M29" s="177"/>
      <c r="N29" s="176"/>
      <c r="O29" s="177"/>
      <c r="P29" s="107"/>
      <c r="Q29" s="150"/>
      <c r="R29" s="151"/>
      <c r="S29" s="151"/>
      <c r="T29" s="151"/>
      <c r="AA29" s="13"/>
    </row>
    <row r="30" spans="1:27" s="14" customFormat="1" ht="21" customHeight="1" x14ac:dyDescent="0.15">
      <c r="A30" s="144" t="str">
        <f>IFERROR(IF(HLOOKUP($P$6,RangeUnitsetsSec,Q30,FALSE)=0,"",HLOOKUP($P$6,RangeUnitsetsSec,Q30,FALSE)),"")</f>
        <v/>
      </c>
      <c r="B30" s="152" t="str">
        <f>IFERROR(IF(VLOOKUP($A30,TableHandbook[],2,FALSE)=0,"",VLOOKUP($A30,TableHandbook[],2,FALSE)),"")</f>
        <v/>
      </c>
      <c r="C30" s="152" t="str">
        <f>IFERROR(IF(VLOOKUP($A30,TableHandbook[],3,FALSE)=0,"",VLOOKUP($A30,TableHandbook[],3,FALSE)),"")</f>
        <v/>
      </c>
      <c r="D30" s="178" t="str">
        <f>IFERROR(IF(VLOOKUP($A30,TableHandbook[],4,FALSE)=0,"",VLOOKUP($A30,TableHandbook[],4,FALSE)),"")</f>
        <v/>
      </c>
      <c r="E30" s="152" t="str">
        <f>IF(OR(A30="",A30="--"),"",VLOOKUP($D$9,TableStudyPeriods[],4,FALSE))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14</v>
      </c>
      <c r="R30" s="151"/>
      <c r="S30" s="151"/>
      <c r="AA30" s="13"/>
    </row>
    <row r="31" spans="1:27" s="14" customFormat="1" ht="21" customHeight="1" x14ac:dyDescent="0.15">
      <c r="A31" s="144" t="str">
        <f>IFERROR(IF(HLOOKUP($P$6,RangeUnitsetsSec,Q31,FALSE)=0,"",HLOOKUP($P$6,RangeUnitsetsSec,Q31,FALSE)),"")</f>
        <v/>
      </c>
      <c r="B31" s="152" t="str">
        <f>IFERROR(IF(VLOOKUP($A31,TableHandbook[],2,FALSE)=0,"",VLOOKUP($A31,TableHandbook[],2,FALSE)),"")</f>
        <v/>
      </c>
      <c r="C31" s="152" t="str">
        <f>IFERROR(IF(VLOOKUP($A31,TableHandbook[],3,FALSE)=0,"",VLOOKUP($A31,TableHandbook[],3,FALSE)),"")</f>
        <v/>
      </c>
      <c r="D31" s="178" t="str">
        <f>IFERROR(IF(VLOOKUP($A31,TableHandbook[],4,FALSE)=0,"",VLOOKUP($A31,TableHandbook[],4,FALSE)),"")</f>
        <v/>
      </c>
      <c r="E31" s="152" t="str">
        <f>IF(A31="","",E30)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15</v>
      </c>
      <c r="R31" s="151"/>
      <c r="S31" s="151"/>
      <c r="AA31" s="13"/>
    </row>
    <row r="32" spans="1:27" s="16" customFormat="1" ht="6" customHeight="1" x14ac:dyDescent="0.15">
      <c r="A32" s="172"/>
      <c r="B32" s="173"/>
      <c r="C32" s="173"/>
      <c r="D32" s="174"/>
      <c r="E32" s="173"/>
      <c r="F32" s="175"/>
      <c r="G32" s="173"/>
      <c r="H32" s="176"/>
      <c r="I32" s="177"/>
      <c r="J32" s="176"/>
      <c r="K32" s="177"/>
      <c r="L32" s="176"/>
      <c r="M32" s="177"/>
      <c r="N32" s="176"/>
      <c r="O32" s="177"/>
      <c r="P32" s="107"/>
      <c r="Q32" s="150"/>
      <c r="R32" s="155"/>
      <c r="S32" s="155"/>
      <c r="AA32" s="15"/>
    </row>
    <row r="33" spans="1:27" s="16" customFormat="1" ht="21" customHeight="1" x14ac:dyDescent="0.15">
      <c r="A33" s="144" t="str">
        <f>IFERROR(IF(HLOOKUP($P$6,RangeUnitsetsSec,Q33,FALSE)=0,"",HLOOKUP($P$6,RangeUnitsetsSec,Q33,FALSE)),"")</f>
        <v/>
      </c>
      <c r="B33" s="152" t="str">
        <f>IFERROR(IF(VLOOKUP($A33,TableHandbook[],2,FALSE)=0,"",VLOOKUP($A33,TableHandbook[],2,FALSE)),"")</f>
        <v/>
      </c>
      <c r="C33" s="152" t="str">
        <f>IFERROR(IF(VLOOKUP($A33,TableHandbook[],3,FALSE)=0,"",VLOOKUP($A33,TableHandbook[],3,FALSE)),"")</f>
        <v/>
      </c>
      <c r="D33" s="178" t="str">
        <f>IFERROR(IF(VLOOKUP($A33,TableHandbook[],4,FALSE)=0,"",VLOOKUP($A33,TableHandbook[],4,FALSE)),"")</f>
        <v/>
      </c>
      <c r="E33" s="152" t="str">
        <f>IF(OR(A33="",A33="--"),"",VLOOKUP($D$9,TableStudyPeriods[],5,FALSE))</f>
        <v/>
      </c>
      <c r="F33" s="147" t="str">
        <f>IFERROR(IF(VLOOKUP($A33,TableHandbook[],6,FALSE)=0,"",VLOOKUP($A33,TableHandbook[],6,FALSE)),"")</f>
        <v/>
      </c>
      <c r="G33" s="145" t="str">
        <f>IFERROR(IF(VLOOKUP($A33,TableHandbook[],5,FALSE)=0,"",VLOOKUP($A33,TableHandbook[],5,FALSE)),"")</f>
        <v/>
      </c>
      <c r="H33" s="153" t="str">
        <f>IFERROR(VLOOKUP($A33,TableHandbook[],H$2,FALSE),"")</f>
        <v/>
      </c>
      <c r="I33" s="154" t="str">
        <f>IFERROR(VLOOKUP($A33,TableHandbook[],I$2,FALSE),"")</f>
        <v/>
      </c>
      <c r="J33" s="153" t="str">
        <f>IFERROR(VLOOKUP($A33,TableHandbook[],J$2,FALSE),"")</f>
        <v/>
      </c>
      <c r="K33" s="154" t="str">
        <f>IFERROR(VLOOKUP($A33,TableHandbook[],K$2,FALSE),"")</f>
        <v/>
      </c>
      <c r="L33" s="153" t="str">
        <f>IFERROR(VLOOKUP($A33,TableHandbook[],L$2,FALSE),"")</f>
        <v/>
      </c>
      <c r="M33" s="154" t="str">
        <f>IFERROR(VLOOKUP($A33,TableHandbook[],M$2,FALSE),"")</f>
        <v/>
      </c>
      <c r="N33" s="153" t="str">
        <f>IFERROR(VLOOKUP($A33,TableHandbook[],N$2,FALSE),"")</f>
        <v/>
      </c>
      <c r="O33" s="154" t="str">
        <f>IFERROR(VLOOKUP($A33,TableHandbook[],O$2,FALSE),"")</f>
        <v/>
      </c>
      <c r="P33" s="22"/>
      <c r="Q33" s="150">
        <v>16</v>
      </c>
      <c r="R33" s="155"/>
      <c r="S33" s="155"/>
      <c r="AA33" s="15"/>
    </row>
    <row r="34" spans="1:27" s="16" customFormat="1" ht="21" customHeight="1" x14ac:dyDescent="0.15">
      <c r="A34" s="144" t="str">
        <f>IFERROR(IF(HLOOKUP($P$6,RangeUnitsetsSec,Q34,FALSE)=0,"",HLOOKUP($P$6,RangeUnitsetsSec,Q34,FALSE)),"")</f>
        <v/>
      </c>
      <c r="B34" s="152" t="str">
        <f>IFERROR(IF(VLOOKUP($A34,TableHandbook[],2,FALSE)=0,"",VLOOKUP($A34,TableHandbook[],2,FALSE)),"")</f>
        <v/>
      </c>
      <c r="C34" s="152" t="str">
        <f>IFERROR(IF(VLOOKUP($A34,TableHandbook[],3,FALSE)=0,"",VLOOKUP($A34,TableHandbook[],3,FALSE)),"")</f>
        <v/>
      </c>
      <c r="D34" s="178" t="str">
        <f>IFERROR(IF(VLOOKUP($A34,TableHandbook[],4,FALSE)=0,"",VLOOKUP($A34,TableHandbook[],4,FALSE)),"")</f>
        <v/>
      </c>
      <c r="E34" s="145" t="str">
        <f>IF(A34="","",E33)</f>
        <v/>
      </c>
      <c r="F34" s="147" t="str">
        <f>IFERROR(IF(VLOOKUP($A34,TableHandbook[],6,FALSE)=0,"",VLOOKUP($A34,TableHandbook[],6,FALSE)),"")</f>
        <v/>
      </c>
      <c r="G34" s="145" t="str">
        <f>IFERROR(IF(VLOOKUP($A34,TableHandbook[],5,FALSE)=0,"",VLOOKUP($A34,TableHandbook[],5,FALSE)),"")</f>
        <v/>
      </c>
      <c r="H34" s="153" t="str">
        <f>IFERROR(VLOOKUP($A34,TableHandbook[],H$2,FALSE),"")</f>
        <v/>
      </c>
      <c r="I34" s="154" t="str">
        <f>IFERROR(VLOOKUP($A34,TableHandbook[],I$2,FALSE),"")</f>
        <v/>
      </c>
      <c r="J34" s="153" t="str">
        <f>IFERROR(VLOOKUP($A34,TableHandbook[],J$2,FALSE),"")</f>
        <v/>
      </c>
      <c r="K34" s="154" t="str">
        <f>IFERROR(VLOOKUP($A34,TableHandbook[],K$2,FALSE),"")</f>
        <v/>
      </c>
      <c r="L34" s="153" t="str">
        <f>IFERROR(VLOOKUP($A34,TableHandbook[],L$2,FALSE),"")</f>
        <v/>
      </c>
      <c r="M34" s="154" t="str">
        <f>IFERROR(VLOOKUP($A34,TableHandbook[],M$2,FALSE),"")</f>
        <v/>
      </c>
      <c r="N34" s="153" t="str">
        <f>IFERROR(VLOOKUP($A34,TableHandbook[],N$2,FALSE),"")</f>
        <v/>
      </c>
      <c r="O34" s="154" t="str">
        <f>IFERROR(VLOOKUP($A34,TableHandbook[],O$2,FALSE),"")</f>
        <v/>
      </c>
      <c r="P34" s="22"/>
      <c r="Q34" s="150">
        <v>17</v>
      </c>
      <c r="R34" s="155"/>
      <c r="S34" s="155"/>
      <c r="AA34" s="15"/>
    </row>
    <row r="35" spans="1:27" ht="16.5" customHeight="1" x14ac:dyDescent="0.25">
      <c r="A35" s="160"/>
      <c r="B35" s="160"/>
      <c r="C35" s="160"/>
      <c r="D35" s="161"/>
      <c r="E35" s="161"/>
      <c r="F35" s="162"/>
      <c r="G35" s="162"/>
      <c r="H35" s="162"/>
      <c r="I35" s="162"/>
      <c r="J35" s="162"/>
      <c r="K35" s="162"/>
      <c r="L35" s="162"/>
      <c r="M35" s="162"/>
      <c r="N35" s="162"/>
      <c r="O35" s="162"/>
      <c r="P35" s="162"/>
      <c r="Q35" s="88"/>
      <c r="AA35" s="10"/>
    </row>
    <row r="36" spans="1:27" s="20" customFormat="1" ht="20.25" x14ac:dyDescent="0.25">
      <c r="A36" s="249" t="s">
        <v>244</v>
      </c>
      <c r="B36" s="180"/>
      <c r="C36" s="180"/>
      <c r="D36" s="181"/>
      <c r="E36" s="182"/>
      <c r="F36" s="182"/>
      <c r="G36" s="182"/>
      <c r="H36" s="183" t="str">
        <f>H10</f>
        <v>2025 Availabilities</v>
      </c>
      <c r="I36" s="184"/>
      <c r="J36" s="184"/>
      <c r="K36" s="184"/>
      <c r="L36" s="184"/>
      <c r="M36" s="184"/>
      <c r="N36" s="185"/>
      <c r="O36" s="186"/>
      <c r="P36" s="187"/>
      <c r="Q36" s="88"/>
      <c r="AA36" s="19"/>
    </row>
    <row r="37" spans="1:27" ht="31.5" x14ac:dyDescent="0.25">
      <c r="A37" s="134"/>
      <c r="B37" s="134"/>
      <c r="C37" s="134"/>
      <c r="D37" s="135" t="s">
        <v>3</v>
      </c>
      <c r="E37" s="141"/>
      <c r="F37" s="134" t="s">
        <v>22</v>
      </c>
      <c r="G37" s="134" t="s">
        <v>23</v>
      </c>
      <c r="H37" s="142" t="str">
        <f>H$11</f>
        <v>SSP1 BEN</v>
      </c>
      <c r="I37" s="143" t="str">
        <f t="shared" ref="I37:P37" si="1">I$11</f>
        <v>SSP1 FO</v>
      </c>
      <c r="J37" s="142" t="str">
        <f t="shared" si="1"/>
        <v>SSP2 BEN</v>
      </c>
      <c r="K37" s="143" t="str">
        <f t="shared" si="1"/>
        <v>SSP2 FO</v>
      </c>
      <c r="L37" s="142" t="str">
        <f t="shared" si="1"/>
        <v>SSP3 BEN</v>
      </c>
      <c r="M37" s="143" t="str">
        <f t="shared" si="1"/>
        <v>SSP3 FO</v>
      </c>
      <c r="N37" s="142" t="str">
        <f t="shared" si="1"/>
        <v>SSP4 BEN</v>
      </c>
      <c r="O37" s="143" t="str">
        <f t="shared" si="1"/>
        <v>SSP4 FO</v>
      </c>
      <c r="P37" s="134" t="str">
        <f t="shared" si="1"/>
        <v>Notes / Progress</v>
      </c>
      <c r="Q37" s="150"/>
      <c r="AA37" s="10"/>
    </row>
    <row r="38" spans="1:27" x14ac:dyDescent="0.25">
      <c r="A38" s="203" t="str">
        <f>IFERROR(IF(HLOOKUP($P$7,RangeTeachingAreas,Q38,FALSE)=0,"",HLOOKUP($P$7,RangeTeachingAreas,Q38,FALSE)),"")</f>
        <v/>
      </c>
      <c r="B38" s="204" t="str">
        <f>IFERROR(IF(VLOOKUP($A38,TableHandbook[],2,FALSE)=0,"",VLOOKUP($A38,TableHandbook[],2,FALSE)),"")</f>
        <v/>
      </c>
      <c r="C38" s="205" t="str">
        <f>IFERROR(IF(VLOOKUP($A38,TableHandbook[],3,FALSE)=0,"",VLOOKUP($A38,TableHandbook[],3,FALSE)),"")</f>
        <v/>
      </c>
      <c r="D38" s="205" t="str">
        <f>IFERROR(IF(VLOOKUP($A38,TableHandbook[],4,FALSE)=0,"",VLOOKUP($A38,TableHandbook[],4,FALSE)),"")</f>
        <v/>
      </c>
      <c r="E38" s="206"/>
      <c r="F38" s="207" t="str">
        <f>IFERROR(IF(VLOOKUP($A38,TableHandbook[],6,FALSE)=0,"",VLOOKUP($A38,TableHandbook[],6,FALSE)),"")</f>
        <v/>
      </c>
      <c r="G38" s="207" t="str">
        <f>IFERROR(IF(VLOOKUP($A38,TableHandbook[],5,FALSE)=0,"",VLOOKUP($A38,TableHandbook[],5,FALSE)),"")</f>
        <v/>
      </c>
      <c r="H38" s="208" t="str">
        <f>IFERROR(VLOOKUP($A38,TableHandbook[],H$2,FALSE),"")</f>
        <v/>
      </c>
      <c r="I38" s="209" t="str">
        <f>IFERROR(VLOOKUP($A38,TableHandbook[],I$2,FALSE),"")</f>
        <v/>
      </c>
      <c r="J38" s="210" t="str">
        <f>IFERROR(VLOOKUP($A38,TableHandbook[],J$2,FALSE),"")</f>
        <v/>
      </c>
      <c r="K38" s="209" t="str">
        <f>IFERROR(VLOOKUP($A38,TableHandbook[],K$2,FALSE),"")</f>
        <v/>
      </c>
      <c r="L38" s="210" t="str">
        <f>IFERROR(VLOOKUP($A38,TableHandbook[],L$2,FALSE),"")</f>
        <v/>
      </c>
      <c r="M38" s="209" t="str">
        <f>IFERROR(VLOOKUP($A38,TableHandbook[],M$2,FALSE),"")</f>
        <v/>
      </c>
      <c r="N38" s="210" t="str">
        <f>IFERROR(VLOOKUP($A38,TableHandbook[],N$2,FALSE),"")</f>
        <v/>
      </c>
      <c r="O38" s="209" t="str">
        <f>IFERROR(VLOOKUP($A38,TableHandbook[],O$2,FALSE),"")</f>
        <v/>
      </c>
      <c r="P38" s="222"/>
      <c r="Q38" s="211">
        <v>2</v>
      </c>
      <c r="AA38" s="10"/>
    </row>
    <row r="39" spans="1:27" x14ac:dyDescent="0.25">
      <c r="A39" s="188" t="str">
        <f>IFERROR(IF(HLOOKUP($P$7,RangeTeachingAreas,Q39,FALSE)=0,"",HLOOKUP($P$7,RangeTeachingAreas,Q39,FALSE)),"")</f>
        <v/>
      </c>
      <c r="B39" s="189" t="str">
        <f>IFERROR(IF(VLOOKUP($A39,TableHandbook[],2,FALSE)=0,"",VLOOKUP($A39,TableHandbook[],2,FALSE)),"")</f>
        <v/>
      </c>
      <c r="C39" s="190" t="str">
        <f>IFERROR(IF(VLOOKUP($A39,TableHandbook[],3,FALSE)=0,"",VLOOKUP($A39,TableHandbook[],3,FALSE)),"")</f>
        <v/>
      </c>
      <c r="D39" s="190" t="str">
        <f>IFERROR(IF(VLOOKUP($A39,TableHandbook[],4,FALSE)=0,"",VLOOKUP($A39,TableHandbook[],4,FALSE)),"")</f>
        <v/>
      </c>
      <c r="E39" s="191"/>
      <c r="F39" s="192" t="str">
        <f>IFERROR(IF(VLOOKUP($A39,TableHandbook[],6,FALSE)=0,"",VLOOKUP($A39,TableHandbook[],6,FALSE)),"")</f>
        <v/>
      </c>
      <c r="G39" s="192" t="str">
        <f>IFERROR(IF(VLOOKUP($A39,TableHandbook[],5,FALSE)=0,"",VLOOKUP($A39,TableHandbook[],5,FALSE)),"")</f>
        <v/>
      </c>
      <c r="H39" s="148" t="str">
        <f>IFERROR(VLOOKUP($A39,TableHandbook[],H$2,FALSE),"")</f>
        <v/>
      </c>
      <c r="I39" s="149" t="str">
        <f>IFERROR(VLOOKUP($A39,TableHandbook[],I$2,FALSE),"")</f>
        <v/>
      </c>
      <c r="J39" s="145" t="str">
        <f>IFERROR(VLOOKUP($A39,TableHandbook[],J$2,FALSE),"")</f>
        <v/>
      </c>
      <c r="K39" s="149" t="str">
        <f>IFERROR(VLOOKUP($A39,TableHandbook[],K$2,FALSE),"")</f>
        <v/>
      </c>
      <c r="L39" s="145" t="str">
        <f>IFERROR(VLOOKUP($A39,TableHandbook[],L$2,FALSE),"")</f>
        <v/>
      </c>
      <c r="M39" s="149" t="str">
        <f>IFERROR(VLOOKUP($A39,TableHandbook[],M$2,FALSE),"")</f>
        <v/>
      </c>
      <c r="N39" s="145" t="str">
        <f>IFERROR(VLOOKUP($A39,TableHandbook[],N$2,FALSE),"")</f>
        <v/>
      </c>
      <c r="O39" s="149" t="str">
        <f>IFERROR(VLOOKUP($A39,TableHandbook[],O$2,FALSE),"")</f>
        <v/>
      </c>
      <c r="P39" s="24"/>
      <c r="Q39" s="150">
        <v>3</v>
      </c>
      <c r="AA39" s="10"/>
    </row>
    <row r="40" spans="1:27" x14ac:dyDescent="0.25">
      <c r="A40" s="188" t="str">
        <f>IFERROR(IF(HLOOKUP($P$7,RangeTeachingAreas,Q40,FALSE)=0,"",HLOOKUP($P$7,RangeTeachingAreas,Q40,FALSE)),"")</f>
        <v/>
      </c>
      <c r="B40" s="189" t="str">
        <f>IFERROR(IF(VLOOKUP($A40,TableHandbook[],2,FALSE)=0,"",VLOOKUP($A40,TableHandbook[],2,FALSE)),"")</f>
        <v/>
      </c>
      <c r="C40" s="190" t="str">
        <f>IFERROR(IF(VLOOKUP($A40,TableHandbook[],3,FALSE)=0,"",VLOOKUP($A40,TableHandbook[],3,FALSE)),"")</f>
        <v/>
      </c>
      <c r="D40" s="190" t="str">
        <f>IFERROR(IF(VLOOKUP($A40,TableHandbook[],4,FALSE)=0,"",VLOOKUP($A40,TableHandbook[],4,FALSE)),"")</f>
        <v/>
      </c>
      <c r="E40" s="191"/>
      <c r="F40" s="192" t="str">
        <f>IFERROR(IF(VLOOKUP($A40,TableHandbook[],6,FALSE)=0,"",VLOOKUP($A40,TableHandbook[],6,FALSE)),"")</f>
        <v/>
      </c>
      <c r="G40" s="192" t="str">
        <f>IFERROR(IF(VLOOKUP($A40,TableHandbook[],5,FALSE)=0,"",VLOOKUP($A40,TableHandbook[],5,FALSE)),"")</f>
        <v/>
      </c>
      <c r="H40" s="148" t="str">
        <f>IFERROR(VLOOKUP($A40,TableHandbook[],H$2,FALSE),"")</f>
        <v/>
      </c>
      <c r="I40" s="149" t="str">
        <f>IFERROR(VLOOKUP($A40,TableHandbook[],I$2,FALSE),"")</f>
        <v/>
      </c>
      <c r="J40" s="145" t="str">
        <f>IFERROR(VLOOKUP($A40,TableHandbook[],J$2,FALSE),"")</f>
        <v/>
      </c>
      <c r="K40" s="149" t="str">
        <f>IFERROR(VLOOKUP($A40,TableHandbook[],K$2,FALSE),"")</f>
        <v/>
      </c>
      <c r="L40" s="145" t="str">
        <f>IFERROR(VLOOKUP($A40,TableHandbook[],L$2,FALSE),"")</f>
        <v/>
      </c>
      <c r="M40" s="149" t="str">
        <f>IFERROR(VLOOKUP($A40,TableHandbook[],M$2,FALSE),"")</f>
        <v/>
      </c>
      <c r="N40" s="145" t="str">
        <f>IFERROR(VLOOKUP($A40,TableHandbook[],N$2,FALSE),"")</f>
        <v/>
      </c>
      <c r="O40" s="149" t="str">
        <f>IFERROR(VLOOKUP($A40,TableHandbook[],O$2,FALSE),"")</f>
        <v/>
      </c>
      <c r="P40" s="24"/>
      <c r="Q40" s="150">
        <v>4</v>
      </c>
      <c r="AA40" s="10"/>
    </row>
    <row r="41" spans="1:27" x14ac:dyDescent="0.25">
      <c r="A41" s="188"/>
      <c r="B41" s="189"/>
      <c r="C41" s="190"/>
      <c r="D41" s="190"/>
      <c r="E41" s="191"/>
      <c r="F41" s="192"/>
      <c r="G41" s="192"/>
      <c r="H41" s="148"/>
      <c r="I41" s="149"/>
      <c r="J41" s="145"/>
      <c r="K41" s="149"/>
      <c r="L41" s="145"/>
      <c r="M41" s="149"/>
      <c r="N41" s="145"/>
      <c r="O41" s="149"/>
      <c r="P41" s="24"/>
      <c r="Q41" s="150"/>
      <c r="AA41" s="10"/>
    </row>
    <row r="42" spans="1:27" x14ac:dyDescent="0.25">
      <c r="A42" s="212" t="str">
        <f>IFERROR(IF(HLOOKUP($P$8,RangeTeachingAreas,Q42,FALSE)=0,"",HLOOKUP($P$8,RangeTeachingAreas,Q42,FALSE)),"")</f>
        <v/>
      </c>
      <c r="B42" s="213" t="str">
        <f>IFERROR(IF(VLOOKUP($A42,TableHandbook[],2,FALSE)=0,"",VLOOKUP($A42,TableHandbook[],2,FALSE)),"")</f>
        <v/>
      </c>
      <c r="C42" s="214" t="str">
        <f>IFERROR(IF(VLOOKUP($A42,TableHandbook[],3,FALSE)=0,"",VLOOKUP($A42,TableHandbook[],3,FALSE)),"")</f>
        <v/>
      </c>
      <c r="D42" s="214" t="str">
        <f>IFERROR(IF(VLOOKUP($A42,TableHandbook[],4,FALSE)=0,"",VLOOKUP($A42,TableHandbook[],4,FALSE)),"")</f>
        <v/>
      </c>
      <c r="E42" s="215"/>
      <c r="F42" s="216" t="str">
        <f>IFERROR(IF(VLOOKUP($A42,TableHandbook[],6,FALSE)=0,"",VLOOKUP($A42,TableHandbook[],6,FALSE)),"")</f>
        <v/>
      </c>
      <c r="G42" s="216" t="str">
        <f>IFERROR(IF(VLOOKUP($A42,TableHandbook[],5,FALSE)=0,"",VLOOKUP($A42,TableHandbook[],5,FALSE)),"")</f>
        <v/>
      </c>
      <c r="H42" s="217" t="str">
        <f>IFERROR(VLOOKUP($A42,TableHandbook[],H$2,FALSE),"")</f>
        <v/>
      </c>
      <c r="I42" s="218" t="str">
        <f>IFERROR(VLOOKUP($A42,TableHandbook[],I$2,FALSE),"")</f>
        <v/>
      </c>
      <c r="J42" s="219" t="str">
        <f>IFERROR(VLOOKUP($A42,TableHandbook[],J$2,FALSE),"")</f>
        <v/>
      </c>
      <c r="K42" s="218" t="str">
        <f>IFERROR(VLOOKUP($A42,TableHandbook[],K$2,FALSE),"")</f>
        <v/>
      </c>
      <c r="L42" s="219" t="str">
        <f>IFERROR(VLOOKUP($A42,TableHandbook[],L$2,FALSE),"")</f>
        <v/>
      </c>
      <c r="M42" s="218" t="str">
        <f>IFERROR(VLOOKUP($A42,TableHandbook[],M$2,FALSE),"")</f>
        <v/>
      </c>
      <c r="N42" s="219" t="str">
        <f>IFERROR(VLOOKUP($A42,TableHandbook[],N$2,FALSE),"")</f>
        <v/>
      </c>
      <c r="O42" s="218" t="str">
        <f>IFERROR(VLOOKUP($A42,TableHandbook[],O$2,FALSE),"")</f>
        <v/>
      </c>
      <c r="P42" s="223"/>
      <c r="Q42" s="220">
        <v>5</v>
      </c>
      <c r="AA42" s="10"/>
    </row>
    <row r="43" spans="1:27" x14ac:dyDescent="0.25">
      <c r="A43" s="188" t="str">
        <f>IFERROR(IF(HLOOKUP($P$8,RangeTeachingAreas,Q43,FALSE)=0,"",HLOOKUP($P$8,RangeTeachingAreas,Q43,FALSE)),"")</f>
        <v/>
      </c>
      <c r="B43" s="189" t="str">
        <f>IFERROR(IF(VLOOKUP($A43,TableHandbook[],2,FALSE)=0,"",VLOOKUP($A43,TableHandbook[],2,FALSE)),"")</f>
        <v/>
      </c>
      <c r="C43" s="190" t="str">
        <f>IFERROR(IF(VLOOKUP($A43,TableHandbook[],3,FALSE)=0,"",VLOOKUP($A43,TableHandbook[],3,FALSE)),"")</f>
        <v/>
      </c>
      <c r="D43" s="190" t="str">
        <f>IFERROR(IF(VLOOKUP($A43,TableHandbook[],4,FALSE)=0,"",VLOOKUP($A43,TableHandbook[],4,FALSE)),"")</f>
        <v/>
      </c>
      <c r="E43" s="191"/>
      <c r="F43" s="192" t="str">
        <f>IFERROR(IF(VLOOKUP($A43,TableHandbook[],6,FALSE)=0,"",VLOOKUP($A43,TableHandbook[],6,FALSE)),"")</f>
        <v/>
      </c>
      <c r="G43" s="192" t="str">
        <f>IFERROR(IF(VLOOKUP($A43,TableHandbook[],5,FALSE)=0,"",VLOOKUP($A43,TableHandbook[],5,FALSE)),"")</f>
        <v/>
      </c>
      <c r="H43" s="148" t="str">
        <f>IFERROR(VLOOKUP($A43,TableHandbook[],H$2,FALSE),"")</f>
        <v/>
      </c>
      <c r="I43" s="149" t="str">
        <f>IFERROR(VLOOKUP($A43,TableHandbook[],I$2,FALSE),"")</f>
        <v/>
      </c>
      <c r="J43" s="145" t="str">
        <f>IFERROR(VLOOKUP($A43,TableHandbook[],J$2,FALSE),"")</f>
        <v/>
      </c>
      <c r="K43" s="149" t="str">
        <f>IFERROR(VLOOKUP($A43,TableHandbook[],K$2,FALSE),"")</f>
        <v/>
      </c>
      <c r="L43" s="145" t="str">
        <f>IFERROR(VLOOKUP($A43,TableHandbook[],L$2,FALSE),"")</f>
        <v/>
      </c>
      <c r="M43" s="149" t="str">
        <f>IFERROR(VLOOKUP($A43,TableHandbook[],M$2,FALSE),"")</f>
        <v/>
      </c>
      <c r="N43" s="145" t="str">
        <f>IFERROR(VLOOKUP($A43,TableHandbook[],N$2,FALSE),"")</f>
        <v/>
      </c>
      <c r="O43" s="149" t="str">
        <f>IFERROR(VLOOKUP($A43,TableHandbook[],O$2,FALSE),"")</f>
        <v/>
      </c>
      <c r="P43" s="24"/>
      <c r="Q43" s="150">
        <v>6</v>
      </c>
      <c r="AA43" s="10"/>
    </row>
    <row r="44" spans="1:27" x14ac:dyDescent="0.25">
      <c r="A44" s="188" t="str">
        <f>IFERROR(IF(HLOOKUP($P$8,RangeTeachingAreas,Q44,FALSE)=0,"",HLOOKUP($P$8,RangeTeachingAreas,Q44,FALSE)),"")</f>
        <v/>
      </c>
      <c r="B44" s="189" t="str">
        <f>IFERROR(IF(VLOOKUP($A44,TableHandbook[],2,FALSE)=0,"",VLOOKUP($A44,TableHandbook[],2,FALSE)),"")</f>
        <v/>
      </c>
      <c r="C44" s="190" t="str">
        <f>IFERROR(IF(VLOOKUP($A44,TableHandbook[],3,FALSE)=0,"",VLOOKUP($A44,TableHandbook[],3,FALSE)),"")</f>
        <v/>
      </c>
      <c r="D44" s="190" t="str">
        <f>IFERROR(IF(VLOOKUP($A44,TableHandbook[],4,FALSE)=0,"",VLOOKUP($A44,TableHandbook[],4,FALSE)),"")</f>
        <v/>
      </c>
      <c r="E44" s="191"/>
      <c r="F44" s="192" t="str">
        <f>IFERROR(IF(VLOOKUP($A44,TableHandbook[],6,FALSE)=0,"",VLOOKUP($A44,TableHandbook[],6,FALSE)),"")</f>
        <v/>
      </c>
      <c r="G44" s="192" t="str">
        <f>IFERROR(IF(VLOOKUP($A44,TableHandbook[],5,FALSE)=0,"",VLOOKUP($A44,TableHandbook[],5,FALSE)),"")</f>
        <v/>
      </c>
      <c r="H44" s="148" t="str">
        <f>IFERROR(VLOOKUP($A44,TableHandbook[],H$2,FALSE),"")</f>
        <v/>
      </c>
      <c r="I44" s="149" t="str">
        <f>IFERROR(VLOOKUP($A44,TableHandbook[],I$2,FALSE),"")</f>
        <v/>
      </c>
      <c r="J44" s="145" t="str">
        <f>IFERROR(VLOOKUP($A44,TableHandbook[],J$2,FALSE),"")</f>
        <v/>
      </c>
      <c r="K44" s="149" t="str">
        <f>IFERROR(VLOOKUP($A44,TableHandbook[],K$2,FALSE),"")</f>
        <v/>
      </c>
      <c r="L44" s="145" t="str">
        <f>IFERROR(VLOOKUP($A44,TableHandbook[],L$2,FALSE),"")</f>
        <v/>
      </c>
      <c r="M44" s="149" t="str">
        <f>IFERROR(VLOOKUP($A44,TableHandbook[],M$2,FALSE),"")</f>
        <v/>
      </c>
      <c r="N44" s="145" t="str">
        <f>IFERROR(VLOOKUP($A44,TableHandbook[],N$2,FALSE),"")</f>
        <v/>
      </c>
      <c r="O44" s="149" t="str">
        <f>IFERROR(VLOOKUP($A44,TableHandbook[],O$2,FALSE),"")</f>
        <v/>
      </c>
      <c r="P44" s="24"/>
      <c r="Q44" s="150">
        <v>7</v>
      </c>
      <c r="AA44" s="10"/>
    </row>
    <row r="45" spans="1:27" ht="15" customHeight="1" x14ac:dyDescent="0.25">
      <c r="A45" s="193"/>
      <c r="B45" s="193"/>
      <c r="C45" s="194"/>
      <c r="D45" s="194"/>
      <c r="E45" s="195"/>
      <c r="F45" s="196"/>
      <c r="G45" s="196"/>
      <c r="H45" s="197"/>
      <c r="I45" s="197"/>
      <c r="J45" s="197"/>
      <c r="K45" s="197"/>
      <c r="L45" s="197"/>
      <c r="M45" s="197"/>
      <c r="N45" s="197"/>
      <c r="O45" s="197"/>
      <c r="P45" s="198"/>
      <c r="Q45" s="150"/>
      <c r="AA45" s="10"/>
    </row>
    <row r="46" spans="1:27" s="10" customFormat="1" ht="18" x14ac:dyDescent="0.25">
      <c r="A46" s="199" t="s">
        <v>34</v>
      </c>
      <c r="B46" s="199"/>
      <c r="C46" s="199"/>
      <c r="D46" s="199"/>
      <c r="E46" s="199"/>
      <c r="F46" s="199"/>
      <c r="G46" s="199"/>
      <c r="H46" s="199"/>
      <c r="I46" s="199"/>
      <c r="J46" s="199"/>
      <c r="K46" s="199"/>
      <c r="L46" s="199"/>
      <c r="M46" s="199"/>
      <c r="N46" s="199"/>
      <c r="O46" s="199"/>
      <c r="P46" s="199"/>
      <c r="Q46" s="88"/>
      <c r="R46" s="8"/>
      <c r="S46" s="8"/>
      <c r="T46" s="8"/>
      <c r="U46" s="8"/>
      <c r="V46" s="8"/>
      <c r="W46" s="8"/>
      <c r="X46" s="8"/>
      <c r="Y46" s="8"/>
      <c r="Z46" s="8"/>
    </row>
    <row r="47" spans="1:27" s="18" customFormat="1" ht="17.25" x14ac:dyDescent="0.2">
      <c r="A47" s="66" t="s">
        <v>35</v>
      </c>
      <c r="B47" s="66"/>
      <c r="C47" s="66"/>
      <c r="D47" s="67"/>
      <c r="E47" s="67"/>
      <c r="F47" s="67"/>
      <c r="G47" s="67"/>
      <c r="H47" s="67"/>
      <c r="I47" s="67"/>
      <c r="J47" s="67"/>
      <c r="K47" s="67"/>
      <c r="L47" s="67"/>
      <c r="M47" s="67"/>
      <c r="N47" s="67"/>
      <c r="O47" s="67"/>
      <c r="P47" s="67"/>
      <c r="Q47" s="163"/>
      <c r="R47" s="163"/>
      <c r="S47" s="163"/>
      <c r="AA47" s="17"/>
    </row>
    <row r="48" spans="1:27" x14ac:dyDescent="0.25">
      <c r="A48" s="164" t="s">
        <v>36</v>
      </c>
      <c r="B48" s="164"/>
      <c r="C48" s="164"/>
      <c r="D48" s="164"/>
      <c r="E48" s="165"/>
      <c r="F48" s="162"/>
      <c r="G48" s="166"/>
      <c r="H48" s="166"/>
      <c r="I48" s="166"/>
      <c r="J48" s="166"/>
      <c r="K48" s="166"/>
      <c r="L48" s="166"/>
      <c r="M48" s="166"/>
      <c r="N48" s="166"/>
      <c r="O48" s="166"/>
      <c r="P48" s="166" t="s">
        <v>37</v>
      </c>
    </row>
  </sheetData>
  <sheetProtection formatCells="0"/>
  <mergeCells count="1">
    <mergeCell ref="A3:D3"/>
  </mergeCells>
  <conditionalFormatting sqref="A37:C37 H37:P37">
    <cfRule type="expression" dxfId="101" priority="3">
      <formula>LEFT($A37,3)="STA"</formula>
    </cfRule>
    <cfRule type="expression" dxfId="100" priority="4">
      <formula>LEFT($A37,3)="FTA"</formula>
    </cfRule>
  </conditionalFormatting>
  <conditionalFormatting sqref="A12:P34 A38:P44">
    <cfRule type="expression" dxfId="99" priority="1">
      <formula>$A12=""</formula>
    </cfRule>
  </conditionalFormatting>
  <conditionalFormatting sqref="A12:Q22 A23:C23 H23:Q23 A24:Q34">
    <cfRule type="expression" dxfId="98" priority="6">
      <formula>LEFT($A12,3)="FTA"</formula>
    </cfRule>
  </conditionalFormatting>
  <conditionalFormatting sqref="A12:Q22 H23:Q23 A24:Q34 A23:C23">
    <cfRule type="expression" dxfId="97" priority="5">
      <formula>LEFT($A12,3)="STA"</formula>
    </cfRule>
  </conditionalFormatting>
  <conditionalFormatting sqref="D5:D9">
    <cfRule type="containsText" dxfId="96" priority="7" operator="containsText" text="Choose">
      <formula>NOT(ISERROR(SEARCH("Choose",D5)))</formula>
    </cfRule>
  </conditionalFormatting>
  <conditionalFormatting sqref="H12:O34">
    <cfRule type="expression" dxfId="95"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topLeftCell="A25" zoomScale="85" zoomScaleNormal="85" workbookViewId="0">
      <selection activeCell="D5" sqref="D5"/>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252</v>
      </c>
    </row>
    <row r="2" spans="1:22" x14ac:dyDescent="0.25">
      <c r="A2" s="25" t="s">
        <v>82</v>
      </c>
    </row>
    <row r="3" spans="1:22" x14ac:dyDescent="0.25">
      <c r="M3" s="93" t="s">
        <v>253</v>
      </c>
      <c r="N3" s="35">
        <v>1</v>
      </c>
      <c r="O3" s="37"/>
      <c r="P3" s="36" t="s">
        <v>254</v>
      </c>
      <c r="Q3" s="37"/>
      <c r="R3" s="36" t="s">
        <v>255</v>
      </c>
      <c r="S3" s="37"/>
      <c r="T3" s="36" t="s">
        <v>256</v>
      </c>
      <c r="U3" s="37"/>
      <c r="V3" s="36" t="s">
        <v>257</v>
      </c>
    </row>
    <row r="4" spans="1:22" x14ac:dyDescent="0.25">
      <c r="I4" s="73" t="s">
        <v>258</v>
      </c>
      <c r="J4" s="26"/>
      <c r="K4" s="26"/>
      <c r="M4" s="26"/>
      <c r="N4" s="39">
        <v>2</v>
      </c>
      <c r="O4" s="56" t="s">
        <v>71</v>
      </c>
      <c r="P4" s="60" t="s">
        <v>259</v>
      </c>
      <c r="Q4" s="56" t="s">
        <v>73</v>
      </c>
      <c r="R4" s="60" t="s">
        <v>74</v>
      </c>
      <c r="S4" s="56" t="s">
        <v>75</v>
      </c>
      <c r="T4" s="60" t="s">
        <v>72</v>
      </c>
      <c r="U4" s="56" t="s">
        <v>76</v>
      </c>
      <c r="V4" s="60" t="s">
        <v>74</v>
      </c>
    </row>
    <row r="5" spans="1:22" x14ac:dyDescent="0.25">
      <c r="A5" s="73" t="s">
        <v>260</v>
      </c>
      <c r="B5" s="26"/>
      <c r="C5" s="26"/>
      <c r="D5" s="26"/>
      <c r="E5" s="26"/>
      <c r="F5" s="26"/>
      <c r="G5" s="26"/>
      <c r="H5" s="26"/>
      <c r="I5" s="74" t="s">
        <v>261</v>
      </c>
      <c r="J5" s="90" t="s">
        <v>262</v>
      </c>
      <c r="K5" s="91"/>
      <c r="M5" s="26"/>
      <c r="N5" s="39">
        <v>3</v>
      </c>
      <c r="O5" s="57" t="s">
        <v>71</v>
      </c>
      <c r="P5" s="61" t="s">
        <v>72</v>
      </c>
      <c r="Q5" s="57" t="s">
        <v>73</v>
      </c>
      <c r="R5" s="61"/>
      <c r="S5" s="57" t="s">
        <v>75</v>
      </c>
      <c r="T5" s="61" t="s">
        <v>181</v>
      </c>
      <c r="U5" s="57" t="s">
        <v>76</v>
      </c>
      <c r="V5" s="61"/>
    </row>
    <row r="6" spans="1:22" x14ac:dyDescent="0.25">
      <c r="A6" s="45" t="s">
        <v>263</v>
      </c>
      <c r="B6" s="46" t="s">
        <v>0</v>
      </c>
      <c r="C6" s="26" t="s">
        <v>48</v>
      </c>
      <c r="D6" s="26" t="s">
        <v>49</v>
      </c>
      <c r="E6" s="26" t="s">
        <v>50</v>
      </c>
      <c r="F6" s="26" t="s">
        <v>51</v>
      </c>
      <c r="G6" s="26" t="s">
        <v>52</v>
      </c>
      <c r="H6" s="26"/>
      <c r="I6" s="74" t="s">
        <v>264</v>
      </c>
      <c r="J6" s="75" t="s">
        <v>262</v>
      </c>
      <c r="K6" s="91"/>
      <c r="M6" s="26"/>
      <c r="N6" s="39">
        <v>4</v>
      </c>
      <c r="O6" s="57" t="s">
        <v>73</v>
      </c>
      <c r="P6" s="61" t="s">
        <v>265</v>
      </c>
      <c r="Q6" s="57" t="s">
        <v>75</v>
      </c>
      <c r="R6" s="61"/>
      <c r="S6" s="57" t="s">
        <v>76</v>
      </c>
      <c r="T6" s="61" t="s">
        <v>265</v>
      </c>
      <c r="U6" s="57" t="s">
        <v>71</v>
      </c>
      <c r="V6" s="61"/>
    </row>
    <row r="7" spans="1:22" x14ac:dyDescent="0.25">
      <c r="A7" s="41" t="s">
        <v>245</v>
      </c>
      <c r="B7" s="254" t="s">
        <v>264</v>
      </c>
      <c r="C7" s="254" t="s">
        <v>56</v>
      </c>
      <c r="D7" s="255">
        <v>44562</v>
      </c>
      <c r="E7" s="254">
        <v>1</v>
      </c>
      <c r="F7" s="255">
        <v>44562</v>
      </c>
      <c r="G7" s="40" t="s">
        <v>266</v>
      </c>
      <c r="H7" s="106"/>
      <c r="I7" s="69"/>
      <c r="J7" s="76" t="str">
        <f>INDEX(TableTeachingArea2[Choose your Second Approved Teaching Area],MATCH(K7,TableTeachingArea2[UDC],0))</f>
        <v>No Second Teaching Area</v>
      </c>
      <c r="K7" s="70" t="s">
        <v>267</v>
      </c>
      <c r="M7" s="26"/>
      <c r="N7" s="39">
        <v>5</v>
      </c>
      <c r="O7" s="57" t="s">
        <v>73</v>
      </c>
      <c r="P7" s="61" t="s">
        <v>268</v>
      </c>
      <c r="Q7" s="57" t="s">
        <v>75</v>
      </c>
      <c r="R7" s="61"/>
      <c r="S7" s="57" t="s">
        <v>76</v>
      </c>
      <c r="T7" s="86" t="s">
        <v>269</v>
      </c>
      <c r="U7" s="57" t="s">
        <v>71</v>
      </c>
      <c r="V7" s="61"/>
    </row>
    <row r="8" spans="1:22" x14ac:dyDescent="0.25">
      <c r="A8" s="41" t="s">
        <v>247</v>
      </c>
      <c r="B8" s="254" t="s">
        <v>270</v>
      </c>
      <c r="C8" s="254" t="s">
        <v>56</v>
      </c>
      <c r="D8" s="255">
        <v>44562</v>
      </c>
      <c r="E8" s="254">
        <v>1</v>
      </c>
      <c r="F8" s="255">
        <v>44562</v>
      </c>
      <c r="G8" s="40" t="s">
        <v>266</v>
      </c>
      <c r="H8" s="106"/>
      <c r="I8" s="69"/>
      <c r="J8" s="76" t="str">
        <f>INDEX(TableTeachingArea2[Choose your Second Approved Teaching Area],MATCH(K8,TableTeachingArea2[UDC],0))</f>
        <v>English Teaching Area</v>
      </c>
      <c r="K8" s="70" t="s">
        <v>270</v>
      </c>
      <c r="M8" s="26"/>
      <c r="N8" s="39">
        <v>6</v>
      </c>
      <c r="O8" s="57" t="s">
        <v>75</v>
      </c>
      <c r="P8" s="61" t="s">
        <v>181</v>
      </c>
      <c r="Q8" s="57" t="s">
        <v>76</v>
      </c>
      <c r="R8" s="61"/>
      <c r="S8" s="57" t="s">
        <v>71</v>
      </c>
      <c r="T8" s="61" t="s">
        <v>259</v>
      </c>
      <c r="U8" s="57" t="s">
        <v>73</v>
      </c>
      <c r="V8" s="61"/>
    </row>
    <row r="9" spans="1:22" x14ac:dyDescent="0.25">
      <c r="A9" s="41" t="s">
        <v>271</v>
      </c>
      <c r="B9" s="254" t="s">
        <v>272</v>
      </c>
      <c r="C9" s="254" t="s">
        <v>56</v>
      </c>
      <c r="D9" s="255">
        <v>44562</v>
      </c>
      <c r="E9" s="254">
        <v>1</v>
      </c>
      <c r="F9" s="255">
        <v>44562</v>
      </c>
      <c r="G9" s="40" t="s">
        <v>266</v>
      </c>
      <c r="H9" s="106"/>
      <c r="I9" s="69"/>
      <c r="J9" s="76" t="str">
        <f>INDEX(TableTeachingArea2[Choose your Second Approved Teaching Area],MATCH(K9,TableTeachingArea2[UDC],0))</f>
        <v>Health and Physical Education Teaching Area</v>
      </c>
      <c r="K9" s="70" t="s">
        <v>272</v>
      </c>
      <c r="M9" s="26"/>
      <c r="N9" s="39">
        <v>7</v>
      </c>
      <c r="O9" s="57" t="s">
        <v>75</v>
      </c>
      <c r="P9" s="61" t="s">
        <v>273</v>
      </c>
      <c r="Q9" s="57" t="s">
        <v>76</v>
      </c>
      <c r="R9" s="61"/>
      <c r="S9" s="57" t="s">
        <v>71</v>
      </c>
      <c r="T9" s="61" t="s">
        <v>268</v>
      </c>
      <c r="U9" s="57" t="s">
        <v>73</v>
      </c>
      <c r="V9" s="61"/>
    </row>
    <row r="10" spans="1:22" x14ac:dyDescent="0.25">
      <c r="A10" s="41" t="s">
        <v>274</v>
      </c>
      <c r="B10" s="254" t="s">
        <v>275</v>
      </c>
      <c r="C10" s="254" t="s">
        <v>56</v>
      </c>
      <c r="D10" s="255">
        <v>44562</v>
      </c>
      <c r="E10" s="254">
        <v>1</v>
      </c>
      <c r="F10" s="255">
        <v>44562</v>
      </c>
      <c r="G10" s="40" t="s">
        <v>266</v>
      </c>
      <c r="H10" s="106"/>
      <c r="I10" s="69"/>
      <c r="J10" s="76" t="str">
        <f>INDEX(TableTeachingArea2[Choose your Second Approved Teaching Area],MATCH(K10,TableTeachingArea2[UDC],0))</f>
        <v>Humanities and Social Sciences Teaching Area</v>
      </c>
      <c r="K10" s="70" t="s">
        <v>275</v>
      </c>
      <c r="M10" s="26"/>
      <c r="N10" s="39">
        <v>8</v>
      </c>
      <c r="O10" s="57" t="s">
        <v>76</v>
      </c>
      <c r="P10" s="86" t="s">
        <v>269</v>
      </c>
      <c r="Q10" s="57" t="s">
        <v>71</v>
      </c>
      <c r="R10" s="61"/>
      <c r="S10" s="57" t="s">
        <v>73</v>
      </c>
      <c r="T10" s="61" t="s">
        <v>273</v>
      </c>
      <c r="U10" s="57" t="s">
        <v>75</v>
      </c>
      <c r="V10" s="61"/>
    </row>
    <row r="11" spans="1:22" x14ac:dyDescent="0.25">
      <c r="A11" s="41" t="s">
        <v>276</v>
      </c>
      <c r="B11" s="254" t="s">
        <v>277</v>
      </c>
      <c r="C11" s="254" t="s">
        <v>56</v>
      </c>
      <c r="D11" s="255">
        <v>44562</v>
      </c>
      <c r="E11" s="254">
        <v>1</v>
      </c>
      <c r="F11" s="255">
        <v>44562</v>
      </c>
      <c r="G11" s="40" t="s">
        <v>266</v>
      </c>
      <c r="H11" s="106"/>
      <c r="I11" s="69"/>
      <c r="J11" s="76" t="str">
        <f>INDEX(TableTeachingArea2[Choose your Second Approved Teaching Area],MATCH(K11,TableTeachingArea2[UDC],0))</f>
        <v>Mathematics Teaching Area</v>
      </c>
      <c r="K11" s="70" t="s">
        <v>277</v>
      </c>
      <c r="M11" s="26"/>
      <c r="N11" s="39">
        <v>9</v>
      </c>
      <c r="O11" s="57" t="s">
        <v>76</v>
      </c>
      <c r="P11" s="87" t="s">
        <v>278</v>
      </c>
      <c r="Q11" s="57" t="s">
        <v>71</v>
      </c>
      <c r="R11" s="61"/>
      <c r="S11" s="57" t="s">
        <v>73</v>
      </c>
      <c r="T11" s="87" t="s">
        <v>278</v>
      </c>
      <c r="U11" s="57" t="s">
        <v>75</v>
      </c>
      <c r="V11" s="61"/>
    </row>
    <row r="12" spans="1:22" x14ac:dyDescent="0.25">
      <c r="A12" s="41" t="s">
        <v>279</v>
      </c>
      <c r="B12" s="254" t="s">
        <v>280</v>
      </c>
      <c r="C12" s="254" t="s">
        <v>56</v>
      </c>
      <c r="D12" s="255">
        <v>44562</v>
      </c>
      <c r="E12" s="254">
        <v>1</v>
      </c>
      <c r="F12" s="255">
        <v>44562</v>
      </c>
      <c r="G12" s="40" t="s">
        <v>266</v>
      </c>
      <c r="H12" s="106"/>
      <c r="I12" s="71"/>
      <c r="J12" s="77" t="str">
        <f>INDEX(TableTeachingArea2[Choose your Second Approved Teaching Area],MATCH(K12,TableTeachingArea2[UDC],0))</f>
        <v>Science Teaching Area</v>
      </c>
      <c r="K12" s="72" t="s">
        <v>280</v>
      </c>
      <c r="M12" s="26"/>
      <c r="N12" s="39">
        <v>10</v>
      </c>
      <c r="O12" s="56" t="s">
        <v>109</v>
      </c>
      <c r="P12" s="60" t="s">
        <v>281</v>
      </c>
      <c r="Q12" s="56" t="s">
        <v>110</v>
      </c>
      <c r="R12" s="60"/>
      <c r="S12" s="56" t="s">
        <v>111</v>
      </c>
      <c r="T12" s="60" t="s">
        <v>96</v>
      </c>
      <c r="U12" s="56" t="s">
        <v>112</v>
      </c>
      <c r="V12" s="60"/>
    </row>
    <row r="13" spans="1:22" x14ac:dyDescent="0.25">
      <c r="I13" s="74" t="s">
        <v>270</v>
      </c>
      <c r="J13" s="75" t="s">
        <v>262</v>
      </c>
      <c r="K13" s="91"/>
      <c r="M13" s="26"/>
      <c r="N13" s="39">
        <v>11</v>
      </c>
      <c r="O13" s="57" t="s">
        <v>109</v>
      </c>
      <c r="P13" s="61" t="s">
        <v>117</v>
      </c>
      <c r="Q13" s="57" t="s">
        <v>110</v>
      </c>
      <c r="R13" s="61"/>
      <c r="S13" s="57" t="s">
        <v>111</v>
      </c>
      <c r="T13" s="61" t="s">
        <v>95</v>
      </c>
      <c r="U13" s="57" t="s">
        <v>112</v>
      </c>
      <c r="V13" s="61"/>
    </row>
    <row r="14" spans="1:22" x14ac:dyDescent="0.25">
      <c r="A14" s="73" t="s">
        <v>282</v>
      </c>
      <c r="B14" s="26"/>
      <c r="C14" s="26"/>
      <c r="D14" s="26"/>
      <c r="E14" s="26"/>
      <c r="F14" s="26"/>
      <c r="G14" s="26"/>
      <c r="H14" s="26"/>
      <c r="I14" s="69"/>
      <c r="J14" s="76" t="str">
        <f>INDEX(TableTeachingArea2[Choose your Second Approved Teaching Area],MATCH(K14,TableTeachingArea2[UDC],0))</f>
        <v>No Second Teaching Area</v>
      </c>
      <c r="K14" s="70" t="s">
        <v>267</v>
      </c>
      <c r="M14" s="26"/>
      <c r="N14" s="39">
        <v>12</v>
      </c>
      <c r="O14" s="57" t="s">
        <v>110</v>
      </c>
      <c r="P14" s="86" t="s">
        <v>283</v>
      </c>
      <c r="Q14" s="57" t="s">
        <v>111</v>
      </c>
      <c r="R14" s="61"/>
      <c r="S14" s="57" t="s">
        <v>112</v>
      </c>
      <c r="T14" s="61" t="s">
        <v>124</v>
      </c>
      <c r="U14" s="57" t="s">
        <v>109</v>
      </c>
      <c r="V14" s="61"/>
    </row>
    <row r="15" spans="1:22" x14ac:dyDescent="0.25">
      <c r="A15" s="45" t="s">
        <v>284</v>
      </c>
      <c r="B15" s="46" t="s">
        <v>0</v>
      </c>
      <c r="C15" s="26" t="s">
        <v>48</v>
      </c>
      <c r="D15" s="26" t="s">
        <v>49</v>
      </c>
      <c r="E15" s="26" t="s">
        <v>50</v>
      </c>
      <c r="F15" s="26" t="s">
        <v>51</v>
      </c>
      <c r="G15" s="26" t="s">
        <v>52</v>
      </c>
      <c r="H15" s="26"/>
      <c r="I15" s="69"/>
      <c r="J15" s="76" t="str">
        <f>INDEX(TableTeachingArea2[Choose your Second Approved Teaching Area],MATCH(K15,TableTeachingArea2[UDC],0))</f>
        <v>The Arts Teaching Area</v>
      </c>
      <c r="K15" s="70" t="s">
        <v>264</v>
      </c>
      <c r="M15" s="26"/>
      <c r="N15" s="39">
        <v>13</v>
      </c>
      <c r="O15" s="57" t="s">
        <v>110</v>
      </c>
      <c r="P15" s="87" t="s">
        <v>285</v>
      </c>
      <c r="Q15" s="57" t="s">
        <v>111</v>
      </c>
      <c r="R15" s="61"/>
      <c r="S15" s="57" t="s">
        <v>112</v>
      </c>
      <c r="T15" s="86" t="s">
        <v>283</v>
      </c>
      <c r="U15" s="57" t="s">
        <v>109</v>
      </c>
      <c r="V15" s="61"/>
    </row>
    <row r="16" spans="1:22" x14ac:dyDescent="0.25">
      <c r="A16" s="41" t="s">
        <v>250</v>
      </c>
      <c r="B16" s="254" t="s">
        <v>267</v>
      </c>
      <c r="C16" s="254" t="s">
        <v>56</v>
      </c>
      <c r="D16" s="255">
        <v>44562</v>
      </c>
      <c r="E16" s="254">
        <v>1</v>
      </c>
      <c r="F16" s="255">
        <v>44562</v>
      </c>
      <c r="G16" s="40" t="s">
        <v>266</v>
      </c>
      <c r="H16" s="106"/>
      <c r="I16" s="69"/>
      <c r="J16" s="76" t="str">
        <f>INDEX(TableTeachingArea2[Choose your Second Approved Teaching Area],MATCH(K16,TableTeachingArea2[UDC],0))</f>
        <v>Health and Physical Education Teaching Area</v>
      </c>
      <c r="K16" s="70" t="s">
        <v>272</v>
      </c>
      <c r="M16" s="26"/>
      <c r="N16" s="39">
        <v>14</v>
      </c>
      <c r="O16" s="57" t="s">
        <v>111</v>
      </c>
      <c r="P16" s="61" t="s">
        <v>96</v>
      </c>
      <c r="Q16" s="57" t="s">
        <v>112</v>
      </c>
      <c r="R16" s="61"/>
      <c r="S16" s="57" t="s">
        <v>109</v>
      </c>
      <c r="T16" s="61" t="s">
        <v>281</v>
      </c>
      <c r="U16" s="57" t="s">
        <v>110</v>
      </c>
      <c r="V16" s="61"/>
    </row>
    <row r="17" spans="1:30" x14ac:dyDescent="0.25">
      <c r="A17" s="41" t="s">
        <v>245</v>
      </c>
      <c r="B17" s="254" t="s">
        <v>264</v>
      </c>
      <c r="C17" s="254" t="s">
        <v>56</v>
      </c>
      <c r="D17" s="255">
        <v>44562</v>
      </c>
      <c r="E17" s="254">
        <v>1</v>
      </c>
      <c r="F17" s="255">
        <v>44562</v>
      </c>
      <c r="G17" s="40" t="s">
        <v>266</v>
      </c>
      <c r="H17" s="106"/>
      <c r="I17" s="69"/>
      <c r="J17" s="76" t="str">
        <f>INDEX(TableTeachingArea2[Choose your Second Approved Teaching Area],MATCH(K17,TableTeachingArea2[UDC],0))</f>
        <v>Humanities and Social Sciences Teaching Area</v>
      </c>
      <c r="K17" s="70" t="s">
        <v>275</v>
      </c>
      <c r="M17" s="26"/>
      <c r="N17" s="39">
        <v>15</v>
      </c>
      <c r="O17" s="57" t="s">
        <v>111</v>
      </c>
      <c r="P17" s="61" t="s">
        <v>95</v>
      </c>
      <c r="Q17" s="57" t="s">
        <v>112</v>
      </c>
      <c r="R17" s="61"/>
      <c r="S17" s="57" t="s">
        <v>109</v>
      </c>
      <c r="T17" s="61" t="s">
        <v>117</v>
      </c>
      <c r="U17" s="57" t="s">
        <v>110</v>
      </c>
      <c r="V17" s="61"/>
    </row>
    <row r="18" spans="1:30" x14ac:dyDescent="0.25">
      <c r="A18" s="41" t="s">
        <v>247</v>
      </c>
      <c r="B18" s="254" t="s">
        <v>270</v>
      </c>
      <c r="C18" s="254" t="s">
        <v>56</v>
      </c>
      <c r="D18" s="255">
        <v>44562</v>
      </c>
      <c r="E18" s="254">
        <v>1</v>
      </c>
      <c r="F18" s="255">
        <v>44562</v>
      </c>
      <c r="G18" s="40" t="s">
        <v>266</v>
      </c>
      <c r="H18" s="106"/>
      <c r="I18" s="69"/>
      <c r="J18" s="76" t="str">
        <f>INDEX(TableTeachingArea2[Choose your Second Approved Teaching Area],MATCH(K18,TableTeachingArea2[UDC],0))</f>
        <v>Mathematics Teaching Area</v>
      </c>
      <c r="K18" s="70" t="s">
        <v>277</v>
      </c>
      <c r="M18" s="26"/>
      <c r="N18" s="39">
        <v>16</v>
      </c>
      <c r="O18" s="57" t="s">
        <v>112</v>
      </c>
      <c r="P18" s="61" t="s">
        <v>124</v>
      </c>
      <c r="Q18" s="57" t="s">
        <v>109</v>
      </c>
      <c r="R18" s="61"/>
      <c r="S18" s="57" t="s">
        <v>110</v>
      </c>
      <c r="T18" s="87" t="s">
        <v>285</v>
      </c>
      <c r="U18" s="57" t="s">
        <v>111</v>
      </c>
      <c r="V18" s="61"/>
    </row>
    <row r="19" spans="1:30" x14ac:dyDescent="0.25">
      <c r="A19" s="41" t="s">
        <v>271</v>
      </c>
      <c r="B19" s="254" t="s">
        <v>272</v>
      </c>
      <c r="C19" s="254" t="s">
        <v>56</v>
      </c>
      <c r="D19" s="255">
        <v>44562</v>
      </c>
      <c r="E19" s="254">
        <v>1</v>
      </c>
      <c r="F19" s="255">
        <v>44562</v>
      </c>
      <c r="G19" s="40" t="s">
        <v>266</v>
      </c>
      <c r="H19" s="106"/>
      <c r="I19" s="71"/>
      <c r="J19" s="77" t="str">
        <f>INDEX(TableTeachingArea2[Choose your Second Approved Teaching Area],MATCH(K19,TableTeachingArea2[UDC],0))</f>
        <v>Science Teaching Area</v>
      </c>
      <c r="K19" s="72" t="s">
        <v>280</v>
      </c>
      <c r="M19" s="26"/>
      <c r="N19" s="39">
        <v>17</v>
      </c>
      <c r="O19" s="59" t="s">
        <v>112</v>
      </c>
      <c r="P19" s="58" t="s">
        <v>129</v>
      </c>
      <c r="Q19" s="59" t="s">
        <v>109</v>
      </c>
      <c r="R19" s="58"/>
      <c r="S19" s="59" t="s">
        <v>110</v>
      </c>
      <c r="T19" s="58" t="s">
        <v>129</v>
      </c>
      <c r="U19" s="59" t="s">
        <v>111</v>
      </c>
      <c r="V19" s="58"/>
    </row>
    <row r="20" spans="1:30" x14ac:dyDescent="0.25">
      <c r="A20" s="41" t="s">
        <v>274</v>
      </c>
      <c r="B20" s="254" t="s">
        <v>275</v>
      </c>
      <c r="C20" s="254" t="s">
        <v>56</v>
      </c>
      <c r="D20" s="255">
        <v>44562</v>
      </c>
      <c r="E20" s="254">
        <v>1</v>
      </c>
      <c r="F20" s="255">
        <v>44562</v>
      </c>
      <c r="G20" s="40" t="s">
        <v>266</v>
      </c>
      <c r="H20" s="106"/>
      <c r="I20" s="74" t="s">
        <v>272</v>
      </c>
      <c r="J20" s="75" t="s">
        <v>262</v>
      </c>
      <c r="K20" s="91"/>
      <c r="M20" s="26"/>
    </row>
    <row r="21" spans="1:30" x14ac:dyDescent="0.25">
      <c r="A21" s="41" t="s">
        <v>276</v>
      </c>
      <c r="B21" s="254" t="s">
        <v>277</v>
      </c>
      <c r="C21" s="254" t="s">
        <v>56</v>
      </c>
      <c r="D21" s="255">
        <v>44562</v>
      </c>
      <c r="E21" s="254">
        <v>1</v>
      </c>
      <c r="F21" s="255">
        <v>44562</v>
      </c>
      <c r="G21" s="40" t="s">
        <v>266</v>
      </c>
      <c r="H21" s="106"/>
      <c r="I21" s="69"/>
      <c r="J21" s="76" t="str">
        <f>INDEX(TableTeachingArea2[Choose your Second Approved Teaching Area],MATCH(K21,TableTeachingArea2[UDC],0))</f>
        <v>No Second Teaching Area</v>
      </c>
      <c r="K21" s="70" t="s">
        <v>267</v>
      </c>
      <c r="M21" s="26"/>
    </row>
    <row r="22" spans="1:30" x14ac:dyDescent="0.25">
      <c r="A22" s="41" t="s">
        <v>279</v>
      </c>
      <c r="B22" s="254" t="s">
        <v>280</v>
      </c>
      <c r="C22" s="254" t="s">
        <v>56</v>
      </c>
      <c r="D22" s="255">
        <v>44562</v>
      </c>
      <c r="E22" s="254">
        <v>1</v>
      </c>
      <c r="F22" s="255">
        <v>44562</v>
      </c>
      <c r="G22" s="40" t="s">
        <v>266</v>
      </c>
      <c r="H22" s="106"/>
      <c r="I22" s="69"/>
      <c r="J22" s="76" t="str">
        <f>INDEX(TableTeachingArea2[Choose your Second Approved Teaching Area],MATCH(K22,TableTeachingArea2[UDC],0))</f>
        <v>The Arts Teaching Area</v>
      </c>
      <c r="K22" s="70" t="s">
        <v>264</v>
      </c>
      <c r="M22" s="93" t="s">
        <v>286</v>
      </c>
      <c r="N22" s="35">
        <v>1</v>
      </c>
      <c r="O22" s="80"/>
      <c r="P22" s="80" t="s">
        <v>264</v>
      </c>
      <c r="Q22" s="80" t="s">
        <v>270</v>
      </c>
      <c r="R22" s="80" t="s">
        <v>272</v>
      </c>
      <c r="S22" s="80" t="s">
        <v>275</v>
      </c>
      <c r="T22" s="80" t="s">
        <v>277</v>
      </c>
      <c r="U22" s="80" t="s">
        <v>280</v>
      </c>
      <c r="V22" s="80" t="s">
        <v>267</v>
      </c>
    </row>
    <row r="23" spans="1:30" x14ac:dyDescent="0.25">
      <c r="I23" s="69"/>
      <c r="J23" s="76" t="str">
        <f>INDEX(TableTeachingArea2[Choose your Second Approved Teaching Area],MATCH(K23,TableTeachingArea2[UDC],0))</f>
        <v>English Teaching Area</v>
      </c>
      <c r="K23" s="70" t="s">
        <v>270</v>
      </c>
      <c r="M23" s="42"/>
      <c r="N23" s="39">
        <v>2</v>
      </c>
      <c r="O23" s="81"/>
      <c r="P23" s="81" t="s">
        <v>287</v>
      </c>
      <c r="Q23" s="81" t="s">
        <v>287</v>
      </c>
      <c r="R23" s="81" t="s">
        <v>287</v>
      </c>
      <c r="S23" s="81" t="s">
        <v>287</v>
      </c>
      <c r="T23" s="81" t="s">
        <v>287</v>
      </c>
      <c r="U23" s="81" t="s">
        <v>287</v>
      </c>
      <c r="V23" s="81" t="s">
        <v>287</v>
      </c>
    </row>
    <row r="24" spans="1:30" x14ac:dyDescent="0.25">
      <c r="A24" s="73" t="s">
        <v>288</v>
      </c>
      <c r="B24" s="26"/>
      <c r="C24" s="26"/>
      <c r="D24" s="26"/>
      <c r="E24" s="26"/>
      <c r="F24" s="26"/>
      <c r="G24" s="26"/>
      <c r="H24" s="26"/>
      <c r="I24" s="69"/>
      <c r="J24" s="76" t="str">
        <f>INDEX(TableTeachingArea2[Choose your Second Approved Teaching Area],MATCH(K24,TableTeachingArea2[UDC],0))</f>
        <v>Humanities and Social Sciences Teaching Area</v>
      </c>
      <c r="K24" s="70" t="s">
        <v>275</v>
      </c>
      <c r="M24" s="42"/>
      <c r="N24" s="39">
        <v>3</v>
      </c>
      <c r="O24" s="82" t="s">
        <v>289</v>
      </c>
      <c r="P24" s="82" t="s">
        <v>290</v>
      </c>
      <c r="Q24" s="82" t="s">
        <v>291</v>
      </c>
      <c r="R24" s="82" t="s">
        <v>292</v>
      </c>
      <c r="S24" s="82" t="s">
        <v>293</v>
      </c>
      <c r="T24" s="82" t="s">
        <v>294</v>
      </c>
      <c r="U24" s="82" t="s">
        <v>295</v>
      </c>
      <c r="V24" s="82" t="s">
        <v>185</v>
      </c>
    </row>
    <row r="25" spans="1:30" x14ac:dyDescent="0.25">
      <c r="A25" s="45" t="s">
        <v>296</v>
      </c>
      <c r="B25" s="46" t="s">
        <v>0</v>
      </c>
      <c r="C25" s="26" t="s">
        <v>48</v>
      </c>
      <c r="D25" s="26" t="s">
        <v>49</v>
      </c>
      <c r="E25" s="26" t="s">
        <v>50</v>
      </c>
      <c r="F25" s="26" t="s">
        <v>51</v>
      </c>
      <c r="G25" s="26" t="s">
        <v>52</v>
      </c>
      <c r="H25" s="26"/>
      <c r="I25" s="69"/>
      <c r="J25" s="76" t="str">
        <f>INDEX(TableTeachingArea2[Choose your Second Approved Teaching Area],MATCH(K25,TableTeachingArea2[UDC],0))</f>
        <v>Mathematics Teaching Area</v>
      </c>
      <c r="K25" s="70" t="s">
        <v>277</v>
      </c>
      <c r="M25" s="42"/>
      <c r="N25" s="39">
        <v>4</v>
      </c>
      <c r="O25" s="83" t="s">
        <v>297</v>
      </c>
      <c r="P25" s="83" t="s">
        <v>298</v>
      </c>
      <c r="Q25" s="83" t="s">
        <v>299</v>
      </c>
      <c r="R25" s="83" t="s">
        <v>300</v>
      </c>
      <c r="S25" s="83" t="s">
        <v>301</v>
      </c>
      <c r="T25" s="83" t="s">
        <v>302</v>
      </c>
      <c r="U25" s="83" t="s">
        <v>303</v>
      </c>
      <c r="V25" s="83" t="s">
        <v>185</v>
      </c>
    </row>
    <row r="26" spans="1:30" x14ac:dyDescent="0.25">
      <c r="A26" s="49" t="s">
        <v>238</v>
      </c>
      <c r="B26" s="260" t="s">
        <v>304</v>
      </c>
      <c r="C26" s="254" t="s">
        <v>56</v>
      </c>
      <c r="D26" s="255">
        <v>45292</v>
      </c>
      <c r="E26" s="254">
        <v>1</v>
      </c>
      <c r="F26" s="255">
        <v>45292</v>
      </c>
      <c r="G26" s="118" t="s">
        <v>84</v>
      </c>
      <c r="H26" s="114"/>
      <c r="I26" s="71"/>
      <c r="J26" s="77" t="str">
        <f>INDEX(TableTeachingArea2[Choose your Second Approved Teaching Area],MATCH(K26,TableTeachingArea2[UDC],0))</f>
        <v>Science Teaching Area</v>
      </c>
      <c r="K26" s="72" t="s">
        <v>280</v>
      </c>
      <c r="M26" s="42"/>
      <c r="N26" s="39">
        <v>5</v>
      </c>
      <c r="O26" s="82"/>
      <c r="P26" s="82" t="s">
        <v>305</v>
      </c>
      <c r="Q26" s="82" t="s">
        <v>305</v>
      </c>
      <c r="R26" s="82" t="s">
        <v>305</v>
      </c>
      <c r="S26" s="82" t="s">
        <v>305</v>
      </c>
      <c r="T26" s="82" t="s">
        <v>305</v>
      </c>
      <c r="U26" s="82" t="s">
        <v>305</v>
      </c>
      <c r="V26" s="82" t="s">
        <v>305</v>
      </c>
    </row>
    <row r="27" spans="1:30" x14ac:dyDescent="0.25">
      <c r="A27" s="49" t="s">
        <v>240</v>
      </c>
      <c r="B27" s="260" t="s">
        <v>306</v>
      </c>
      <c r="C27" s="254" t="s">
        <v>56</v>
      </c>
      <c r="D27" s="255">
        <v>45292</v>
      </c>
      <c r="E27" s="254">
        <v>1</v>
      </c>
      <c r="F27" s="255">
        <v>45292</v>
      </c>
      <c r="G27" s="118" t="s">
        <v>84</v>
      </c>
      <c r="H27" s="114"/>
      <c r="I27" s="74" t="s">
        <v>275</v>
      </c>
      <c r="J27" s="75" t="s">
        <v>262</v>
      </c>
      <c r="K27" s="91"/>
      <c r="N27" s="39">
        <v>6</v>
      </c>
      <c r="O27" s="82" t="s">
        <v>307</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178</v>
      </c>
    </row>
    <row r="28" spans="1:30" x14ac:dyDescent="0.25">
      <c r="I28" s="69"/>
      <c r="J28" s="76" t="str">
        <f>INDEX(TableTeachingArea2[Choose your Second Approved Teaching Area],MATCH(K28,TableTeachingArea2[UDC],0))</f>
        <v>No Second Teaching Area</v>
      </c>
      <c r="K28" s="70" t="s">
        <v>267</v>
      </c>
      <c r="M28" s="26"/>
      <c r="N28" s="39">
        <v>7</v>
      </c>
      <c r="O28" s="83" t="s">
        <v>308</v>
      </c>
      <c r="P28" s="85" t="str">
        <f t="shared" si="0"/>
        <v>EDSC5030</v>
      </c>
      <c r="Q28" s="85" t="str">
        <f t="shared" si="0"/>
        <v>EDSC5053</v>
      </c>
      <c r="R28" s="85" t="str">
        <f t="shared" si="0"/>
        <v>EDSC5057</v>
      </c>
      <c r="S28" s="85" t="str">
        <f t="shared" si="0"/>
        <v>EDSC5032</v>
      </c>
      <c r="T28" s="85" t="str">
        <f t="shared" si="0"/>
        <v>EDSC5033</v>
      </c>
      <c r="U28" s="85" t="str">
        <f t="shared" si="0"/>
        <v>EDSC5034</v>
      </c>
      <c r="V28" s="83" t="s">
        <v>309</v>
      </c>
    </row>
    <row r="29" spans="1:30" x14ac:dyDescent="0.25">
      <c r="I29" s="69"/>
      <c r="J29" s="76" t="str">
        <f>INDEX(TableTeachingArea2[Choose your Second Approved Teaching Area],MATCH(K29,TableTeachingArea2[UDC],0))</f>
        <v>The Arts Teaching Area</v>
      </c>
      <c r="K29" s="70" t="s">
        <v>264</v>
      </c>
    </row>
    <row r="30" spans="1:30" x14ac:dyDescent="0.25">
      <c r="I30" s="69"/>
      <c r="J30" s="76" t="str">
        <f>INDEX(TableTeachingArea2[Choose your Second Approved Teaching Area],MATCH(K30,TableTeachingArea2[UDC],0))</f>
        <v>English Teaching Area</v>
      </c>
      <c r="K30" s="70" t="s">
        <v>270</v>
      </c>
    </row>
    <row r="31" spans="1:30" x14ac:dyDescent="0.25">
      <c r="I31" s="69"/>
      <c r="J31" s="76" t="str">
        <f>INDEX(TableTeachingArea2[Choose your Second Approved Teaching Area],MATCH(K31,TableTeachingArea2[UDC],0))</f>
        <v>Health and Physical Education Teaching Area</v>
      </c>
      <c r="K31" s="70" t="s">
        <v>272</v>
      </c>
      <c r="M31" s="93" t="s">
        <v>310</v>
      </c>
      <c r="N31" s="35">
        <v>1</v>
      </c>
      <c r="O31" s="99"/>
      <c r="P31" s="100" t="s">
        <v>311</v>
      </c>
      <c r="Q31" s="99"/>
      <c r="R31" s="100" t="s">
        <v>312</v>
      </c>
      <c r="S31" s="99"/>
      <c r="T31" s="100" t="s">
        <v>313</v>
      </c>
      <c r="U31" s="99"/>
      <c r="V31" s="100" t="s">
        <v>314</v>
      </c>
      <c r="W31" s="108"/>
      <c r="X31" s="100" t="s">
        <v>315</v>
      </c>
      <c r="Y31" s="99"/>
      <c r="Z31" s="100" t="s">
        <v>316</v>
      </c>
      <c r="AA31" s="99"/>
      <c r="AB31" s="100" t="s">
        <v>317</v>
      </c>
      <c r="AC31" s="99"/>
      <c r="AD31" s="100" t="s">
        <v>318</v>
      </c>
    </row>
    <row r="32" spans="1:30" x14ac:dyDescent="0.25">
      <c r="I32" s="69"/>
      <c r="J32" s="76" t="str">
        <f>INDEX(TableTeachingArea2[Choose your Second Approved Teaching Area],MATCH(K32,TableTeachingArea2[UDC],0))</f>
        <v>Mathematics Teaching Area</v>
      </c>
      <c r="K32" s="70" t="s">
        <v>277</v>
      </c>
      <c r="M32" s="26"/>
      <c r="N32" s="39">
        <v>2</v>
      </c>
      <c r="O32" s="56" t="s">
        <v>71</v>
      </c>
      <c r="P32" s="60" t="s">
        <v>72</v>
      </c>
      <c r="Q32" s="56" t="s">
        <v>71</v>
      </c>
      <c r="R32" s="60" t="s">
        <v>74</v>
      </c>
      <c r="S32" s="56"/>
      <c r="T32" s="60" t="s">
        <v>74</v>
      </c>
      <c r="U32" s="56"/>
      <c r="V32" s="60" t="s">
        <v>74</v>
      </c>
      <c r="W32" s="56" t="s">
        <v>71</v>
      </c>
      <c r="X32" s="109" t="s">
        <v>259</v>
      </c>
      <c r="Y32" s="56"/>
      <c r="Z32" s="60" t="s">
        <v>74</v>
      </c>
      <c r="AA32" s="56"/>
      <c r="AB32" s="60" t="s">
        <v>74</v>
      </c>
      <c r="AC32" s="56"/>
      <c r="AD32" s="60" t="s">
        <v>74</v>
      </c>
    </row>
    <row r="33" spans="9:30" x14ac:dyDescent="0.25">
      <c r="I33" s="71"/>
      <c r="J33" s="77" t="str">
        <f>INDEX(TableTeachingArea2[Choose your Second Approved Teaching Area],MATCH(K33,TableTeachingArea2[UDC],0))</f>
        <v>Science Teaching Area</v>
      </c>
      <c r="K33" s="72" t="s">
        <v>280</v>
      </c>
      <c r="M33" s="26"/>
      <c r="N33" s="39">
        <v>3</v>
      </c>
      <c r="O33" s="57" t="s">
        <v>71</v>
      </c>
      <c r="P33" s="61" t="s">
        <v>91</v>
      </c>
      <c r="Q33" s="57" t="s">
        <v>71</v>
      </c>
      <c r="R33" s="61"/>
      <c r="S33" s="57"/>
      <c r="T33" s="61"/>
      <c r="U33" s="57"/>
      <c r="V33" s="61"/>
      <c r="W33" s="57" t="s">
        <v>71</v>
      </c>
      <c r="X33" s="35" t="s">
        <v>268</v>
      </c>
      <c r="Y33" s="57"/>
      <c r="Z33" s="61"/>
      <c r="AA33" s="57"/>
      <c r="AB33" s="61"/>
      <c r="AC33" s="57"/>
      <c r="AD33" s="61"/>
    </row>
    <row r="34" spans="9:30" x14ac:dyDescent="0.25">
      <c r="I34" s="74" t="s">
        <v>277</v>
      </c>
      <c r="J34" s="75" t="s">
        <v>262</v>
      </c>
      <c r="K34" s="91"/>
      <c r="M34" s="26"/>
      <c r="N34" s="39">
        <v>4</v>
      </c>
      <c r="O34" s="57" t="s">
        <v>73</v>
      </c>
      <c r="P34" s="61" t="s">
        <v>105</v>
      </c>
      <c r="Q34" s="57" t="s">
        <v>71</v>
      </c>
      <c r="R34" s="61"/>
      <c r="S34" s="57"/>
      <c r="T34" s="61"/>
      <c r="U34" s="57"/>
      <c r="V34" s="61"/>
      <c r="W34" s="57" t="s">
        <v>73</v>
      </c>
      <c r="X34" s="35" t="s">
        <v>273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267</v>
      </c>
      <c r="M35" s="26"/>
      <c r="N35" s="39">
        <v>5</v>
      </c>
      <c r="O35" s="57" t="s">
        <v>73</v>
      </c>
      <c r="P35" s="61" t="s">
        <v>101</v>
      </c>
      <c r="Q35" s="57" t="s">
        <v>73</v>
      </c>
      <c r="R35" s="61"/>
      <c r="S35" s="57"/>
      <c r="T35" s="61"/>
      <c r="U35" s="57"/>
      <c r="V35" s="61"/>
      <c r="W35" s="57" t="s">
        <v>73</v>
      </c>
      <c r="X35" s="112" t="s">
        <v>319</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264</v>
      </c>
      <c r="M36" s="26"/>
      <c r="N36" s="39">
        <v>6</v>
      </c>
      <c r="O36" s="57" t="s">
        <v>75</v>
      </c>
      <c r="P36" s="61" t="s">
        <v>117</v>
      </c>
      <c r="Q36" s="57" t="s">
        <v>73</v>
      </c>
      <c r="R36" s="61"/>
      <c r="S36" s="57"/>
      <c r="T36" s="61"/>
      <c r="U36" s="57"/>
      <c r="V36" s="61"/>
      <c r="W36" s="57" t="s">
        <v>75</v>
      </c>
      <c r="X36" s="35" t="s">
        <v>96</v>
      </c>
      <c r="Y36" s="57"/>
      <c r="Z36" s="61"/>
      <c r="AA36" s="57"/>
      <c r="AB36" s="61"/>
      <c r="AC36" s="57"/>
      <c r="AD36" s="61"/>
    </row>
    <row r="37" spans="9:30" x14ac:dyDescent="0.25">
      <c r="I37" s="69"/>
      <c r="J37" s="76" t="str">
        <f>INDEX(TableTeachingArea2[Choose your Second Approved Teaching Area],MATCH(K37,TableTeachingArea2[UDC],0))</f>
        <v>English Teaching Area</v>
      </c>
      <c r="K37" s="70" t="s">
        <v>270</v>
      </c>
      <c r="M37" s="26"/>
      <c r="N37" s="39">
        <v>7</v>
      </c>
      <c r="O37" s="57" t="s">
        <v>75</v>
      </c>
      <c r="P37" s="61" t="s">
        <v>77</v>
      </c>
      <c r="Q37" s="57" t="s">
        <v>73</v>
      </c>
      <c r="R37" s="63"/>
      <c r="S37" s="57"/>
      <c r="T37" s="61"/>
      <c r="U37" s="57"/>
      <c r="V37" s="63"/>
      <c r="W37" s="57" t="s">
        <v>75</v>
      </c>
      <c r="X37" s="111" t="s">
        <v>117</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272</v>
      </c>
      <c r="M38" s="26"/>
      <c r="N38" s="39">
        <v>8</v>
      </c>
      <c r="O38" s="57" t="s">
        <v>76</v>
      </c>
      <c r="P38" s="61" t="s">
        <v>87</v>
      </c>
      <c r="Q38" s="57" t="s">
        <v>75</v>
      </c>
      <c r="R38" s="61"/>
      <c r="S38" s="57"/>
      <c r="T38" s="61"/>
      <c r="U38" s="57"/>
      <c r="V38" s="61"/>
      <c r="W38" s="57" t="s">
        <v>76</v>
      </c>
      <c r="X38" s="35" t="s">
        <v>95</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275</v>
      </c>
      <c r="M39" s="26"/>
      <c r="N39" s="39">
        <v>9</v>
      </c>
      <c r="O39" s="59" t="s">
        <v>76</v>
      </c>
      <c r="P39" s="64" t="s">
        <v>95</v>
      </c>
      <c r="Q39" s="59" t="s">
        <v>75</v>
      </c>
      <c r="R39" s="58"/>
      <c r="S39" s="59"/>
      <c r="T39" s="64"/>
      <c r="U39" s="59"/>
      <c r="V39" s="58"/>
      <c r="W39" s="59" t="s">
        <v>76</v>
      </c>
      <c r="X39" s="113" t="s">
        <v>320</v>
      </c>
      <c r="Y39" s="59"/>
      <c r="Z39" s="64"/>
      <c r="AA39" s="59"/>
      <c r="AB39" s="58"/>
      <c r="AC39" s="59"/>
      <c r="AD39" s="64"/>
    </row>
    <row r="40" spans="9:30" x14ac:dyDescent="0.25">
      <c r="I40" s="71"/>
      <c r="J40" s="77" t="str">
        <f>INDEX(TableTeachingArea2[Choose your Second Approved Teaching Area],MATCH(K40,TableTeachingArea2[UDC],0))</f>
        <v>Science Teaching Area</v>
      </c>
      <c r="K40" s="72" t="s">
        <v>280</v>
      </c>
      <c r="M40" s="26"/>
      <c r="N40" s="39">
        <v>10</v>
      </c>
      <c r="O40" s="56" t="s">
        <v>219</v>
      </c>
      <c r="P40" s="101" t="s">
        <v>131</v>
      </c>
      <c r="Q40" s="56"/>
      <c r="R40" s="60"/>
      <c r="S40" s="56"/>
      <c r="T40" s="60"/>
      <c r="U40" s="56"/>
      <c r="V40" s="60"/>
      <c r="W40" s="109"/>
      <c r="X40" s="109" t="s">
        <v>321</v>
      </c>
      <c r="Y40" s="56"/>
      <c r="Z40" s="60"/>
      <c r="AA40" s="56"/>
      <c r="AB40" s="60"/>
      <c r="AC40" s="56"/>
      <c r="AD40" s="60"/>
    </row>
    <row r="41" spans="9:30" x14ac:dyDescent="0.25">
      <c r="I41" s="74" t="s">
        <v>280</v>
      </c>
      <c r="J41" s="75" t="s">
        <v>262</v>
      </c>
      <c r="K41" s="91"/>
      <c r="M41" s="26"/>
      <c r="N41" s="39">
        <v>11</v>
      </c>
      <c r="O41" s="59" t="s">
        <v>221</v>
      </c>
      <c r="P41" s="64"/>
      <c r="Q41" s="59"/>
      <c r="R41" s="64"/>
      <c r="S41" s="59"/>
      <c r="T41" s="64"/>
      <c r="U41" s="59"/>
      <c r="V41" s="64"/>
      <c r="W41" s="110"/>
      <c r="X41" s="110"/>
      <c r="Y41" s="59"/>
      <c r="Z41" s="64"/>
      <c r="AA41" s="59"/>
      <c r="AB41" s="64"/>
      <c r="AC41" s="59"/>
      <c r="AD41" s="64"/>
    </row>
    <row r="42" spans="9:30" x14ac:dyDescent="0.25">
      <c r="I42" s="69"/>
      <c r="J42" s="76" t="s">
        <v>250</v>
      </c>
      <c r="K42" s="70" t="s">
        <v>267</v>
      </c>
      <c r="M42" s="26"/>
    </row>
    <row r="43" spans="9:30" x14ac:dyDescent="0.25">
      <c r="I43" s="69"/>
      <c r="J43" s="76" t="str">
        <f>INDEX(TableTeachingArea2[Choose your Second Approved Teaching Area],MATCH(K43,TableTeachingArea2[UDC],0))</f>
        <v>The Arts Teaching Area</v>
      </c>
      <c r="K43" s="70" t="s">
        <v>264</v>
      </c>
      <c r="M43" s="93" t="s">
        <v>322</v>
      </c>
      <c r="N43" s="35">
        <v>1</v>
      </c>
      <c r="O43" s="99"/>
      <c r="P43" s="100" t="s">
        <v>311</v>
      </c>
      <c r="Q43" s="99"/>
      <c r="R43" s="100" t="s">
        <v>312</v>
      </c>
      <c r="S43" s="99"/>
      <c r="T43" s="100" t="s">
        <v>313</v>
      </c>
      <c r="U43" s="99"/>
      <c r="V43" s="100" t="s">
        <v>314</v>
      </c>
      <c r="W43" s="108"/>
      <c r="X43" s="100" t="s">
        <v>315</v>
      </c>
      <c r="Y43" s="99"/>
      <c r="Z43" s="100" t="s">
        <v>316</v>
      </c>
      <c r="AA43" s="99"/>
      <c r="AB43" s="100" t="s">
        <v>317</v>
      </c>
      <c r="AC43" s="99"/>
      <c r="AD43" s="100" t="s">
        <v>318</v>
      </c>
    </row>
    <row r="44" spans="9:30" x14ac:dyDescent="0.25">
      <c r="I44" s="69"/>
      <c r="J44" s="76" t="str">
        <f>INDEX(TableTeachingArea2[Choose your Second Approved Teaching Area],MATCH(K44,TableTeachingArea2[UDC],0))</f>
        <v>English Teaching Area</v>
      </c>
      <c r="K44" s="70" t="s">
        <v>270</v>
      </c>
      <c r="M44" s="26"/>
      <c r="N44" s="39">
        <v>2</v>
      </c>
      <c r="O44" s="56" t="s">
        <v>71</v>
      </c>
      <c r="P44" s="60" t="s">
        <v>72</v>
      </c>
      <c r="Q44" s="56" t="s">
        <v>71</v>
      </c>
      <c r="R44" s="60" t="s">
        <v>74</v>
      </c>
      <c r="S44" s="56"/>
      <c r="T44" s="60" t="s">
        <v>74</v>
      </c>
      <c r="U44" s="56"/>
      <c r="V44" s="60" t="s">
        <v>74</v>
      </c>
      <c r="W44" s="56" t="s">
        <v>71</v>
      </c>
      <c r="X44" s="109" t="s">
        <v>259</v>
      </c>
      <c r="Y44" s="56"/>
      <c r="Z44" s="60" t="s">
        <v>74</v>
      </c>
      <c r="AA44" s="56"/>
      <c r="AB44" s="60" t="s">
        <v>74</v>
      </c>
      <c r="AC44" s="56"/>
      <c r="AD44" s="60" t="s">
        <v>74</v>
      </c>
    </row>
    <row r="45" spans="9:30" x14ac:dyDescent="0.25">
      <c r="I45" s="69"/>
      <c r="J45" s="76" t="str">
        <f>INDEX(TableTeachingArea2[Choose your Second Approved Teaching Area],MATCH(K45,TableTeachingArea2[UDC],0))</f>
        <v>Health and Physical Education Teaching Area</v>
      </c>
      <c r="K45" s="70" t="s">
        <v>272</v>
      </c>
      <c r="M45" s="26"/>
      <c r="N45" s="39">
        <v>3</v>
      </c>
      <c r="O45" s="57" t="s">
        <v>71</v>
      </c>
      <c r="P45" s="61" t="s">
        <v>91</v>
      </c>
      <c r="Q45" s="57" t="s">
        <v>71</v>
      </c>
      <c r="R45" s="61"/>
      <c r="S45" s="57"/>
      <c r="T45" s="61"/>
      <c r="U45" s="57"/>
      <c r="V45" s="61"/>
      <c r="W45" s="57" t="s">
        <v>71</v>
      </c>
      <c r="X45" s="35" t="s">
        <v>268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275</v>
      </c>
      <c r="M46" s="26"/>
      <c r="N46" s="39">
        <v>4</v>
      </c>
      <c r="O46" s="57" t="s">
        <v>71</v>
      </c>
      <c r="P46" s="61" t="s">
        <v>77</v>
      </c>
      <c r="Q46" s="57" t="s">
        <v>71</v>
      </c>
      <c r="R46" s="61"/>
      <c r="S46" s="57"/>
      <c r="T46" s="61"/>
      <c r="U46" s="57"/>
      <c r="V46" s="61"/>
      <c r="W46" s="57" t="s">
        <v>71</v>
      </c>
      <c r="X46" s="35" t="s">
        <v>96</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277</v>
      </c>
      <c r="M47" s="26"/>
      <c r="N47" s="39">
        <v>5</v>
      </c>
      <c r="O47" s="57" t="s">
        <v>73</v>
      </c>
      <c r="P47" s="61" t="s">
        <v>105</v>
      </c>
      <c r="Q47" s="57" t="s">
        <v>73</v>
      </c>
      <c r="R47" s="61"/>
      <c r="S47" s="57"/>
      <c r="T47" s="61"/>
      <c r="U47" s="57"/>
      <c r="V47" s="61"/>
      <c r="W47" s="57" t="s">
        <v>73</v>
      </c>
      <c r="X47" s="35" t="s">
        <v>273</v>
      </c>
      <c r="Y47" s="57"/>
      <c r="Z47" s="61"/>
      <c r="AA47" s="57"/>
      <c r="AB47" s="61"/>
      <c r="AC47" s="57"/>
      <c r="AD47" s="61"/>
    </row>
    <row r="48" spans="9:30" x14ac:dyDescent="0.25">
      <c r="I48" s="74" t="s">
        <v>323</v>
      </c>
      <c r="J48" s="90" t="s">
        <v>324</v>
      </c>
      <c r="K48" s="91"/>
      <c r="M48" s="26"/>
      <c r="N48" s="39">
        <v>6</v>
      </c>
      <c r="O48" s="57" t="s">
        <v>73</v>
      </c>
      <c r="P48" s="61" t="s">
        <v>101</v>
      </c>
      <c r="Q48" s="57" t="s">
        <v>73</v>
      </c>
      <c r="R48" s="61"/>
      <c r="S48" s="57"/>
      <c r="T48" s="61"/>
      <c r="U48" s="57"/>
      <c r="V48" s="61"/>
      <c r="W48" s="57" t="s">
        <v>73</v>
      </c>
      <c r="X48" s="35" t="s">
        <v>95</v>
      </c>
      <c r="Y48" s="57"/>
      <c r="Z48" s="61"/>
      <c r="AA48" s="57"/>
      <c r="AB48" s="61"/>
      <c r="AC48" s="57"/>
      <c r="AD48" s="61"/>
    </row>
    <row r="49" spans="9:30" x14ac:dyDescent="0.25">
      <c r="I49" s="74" t="s">
        <v>304</v>
      </c>
      <c r="J49" s="75" t="s">
        <v>325</v>
      </c>
      <c r="K49" s="91"/>
      <c r="M49" s="26"/>
      <c r="N49" s="39">
        <v>7</v>
      </c>
      <c r="O49" s="57" t="s">
        <v>73</v>
      </c>
      <c r="P49" s="61" t="s">
        <v>87</v>
      </c>
      <c r="Q49" s="57" t="s">
        <v>73</v>
      </c>
      <c r="R49" s="63"/>
      <c r="S49" s="57"/>
      <c r="T49" s="61"/>
      <c r="U49" s="57"/>
      <c r="V49" s="63"/>
      <c r="W49" s="57" t="s">
        <v>73</v>
      </c>
      <c r="X49" s="112" t="s">
        <v>319</v>
      </c>
      <c r="Y49" s="57"/>
      <c r="Z49" s="61"/>
      <c r="AA49" s="57"/>
      <c r="AB49" s="63"/>
      <c r="AC49" s="57"/>
      <c r="AD49" s="61"/>
    </row>
    <row r="50" spans="9:30" x14ac:dyDescent="0.25">
      <c r="I50" s="74" t="s">
        <v>306</v>
      </c>
      <c r="J50" s="75" t="s">
        <v>242</v>
      </c>
      <c r="K50" s="91"/>
      <c r="M50" s="26"/>
      <c r="N50" s="39">
        <v>8</v>
      </c>
      <c r="O50" s="57" t="s">
        <v>75</v>
      </c>
      <c r="P50" s="61" t="s">
        <v>95</v>
      </c>
      <c r="Q50" s="57" t="s">
        <v>75</v>
      </c>
      <c r="R50" s="61"/>
      <c r="S50" s="57"/>
      <c r="T50" s="61"/>
      <c r="U50" s="57"/>
      <c r="V50" s="61"/>
      <c r="W50" s="57" t="s">
        <v>75</v>
      </c>
      <c r="X50" s="35" t="s">
        <v>117</v>
      </c>
      <c r="Y50" s="57"/>
      <c r="Z50" s="61"/>
      <c r="AA50" s="57"/>
      <c r="AB50" s="61"/>
      <c r="AC50" s="57"/>
      <c r="AD50" s="61"/>
    </row>
    <row r="51" spans="9:30" x14ac:dyDescent="0.25">
      <c r="I51" s="69"/>
      <c r="J51" s="76" t="s">
        <v>245</v>
      </c>
      <c r="K51" s="70" t="s">
        <v>264</v>
      </c>
      <c r="M51" s="26"/>
      <c r="N51" s="39">
        <v>9</v>
      </c>
      <c r="O51" s="59" t="s">
        <v>75</v>
      </c>
      <c r="P51" s="64" t="s">
        <v>117</v>
      </c>
      <c r="Q51" s="59" t="s">
        <v>75</v>
      </c>
      <c r="R51" s="58"/>
      <c r="S51" s="59"/>
      <c r="T51" s="64"/>
      <c r="U51" s="59"/>
      <c r="V51" s="58"/>
      <c r="W51" s="59" t="s">
        <v>75</v>
      </c>
      <c r="X51" s="113" t="s">
        <v>320</v>
      </c>
      <c r="Y51" s="59"/>
      <c r="Z51" s="64"/>
      <c r="AA51" s="59"/>
      <c r="AB51" s="58"/>
      <c r="AC51" s="59"/>
      <c r="AD51" s="64"/>
    </row>
    <row r="52" spans="9:30" x14ac:dyDescent="0.25">
      <c r="I52" s="69"/>
      <c r="J52" s="76" t="s">
        <v>247</v>
      </c>
      <c r="K52" s="70" t="s">
        <v>270</v>
      </c>
      <c r="M52" s="26"/>
      <c r="N52" s="39">
        <v>10</v>
      </c>
      <c r="O52" s="56" t="s">
        <v>219</v>
      </c>
      <c r="P52" s="101" t="s">
        <v>131</v>
      </c>
      <c r="Q52" s="56"/>
      <c r="R52" s="60"/>
      <c r="S52" s="56"/>
      <c r="T52" s="60"/>
      <c r="U52" s="56"/>
      <c r="V52" s="60"/>
      <c r="W52" s="109"/>
      <c r="X52" s="109" t="s">
        <v>321</v>
      </c>
      <c r="Y52" s="56"/>
      <c r="Z52" s="60"/>
      <c r="AA52" s="56"/>
      <c r="AB52" s="60"/>
      <c r="AC52" s="56"/>
      <c r="AD52" s="60"/>
    </row>
    <row r="53" spans="9:30" x14ac:dyDescent="0.25">
      <c r="I53" s="69"/>
      <c r="J53" s="76" t="s">
        <v>271</v>
      </c>
      <c r="K53" s="70" t="s">
        <v>272</v>
      </c>
      <c r="M53" s="26"/>
      <c r="N53" s="39">
        <v>11</v>
      </c>
      <c r="O53" s="59" t="s">
        <v>221</v>
      </c>
      <c r="P53" s="64"/>
      <c r="Q53" s="59"/>
      <c r="R53" s="64"/>
      <c r="S53" s="59"/>
      <c r="T53" s="64"/>
      <c r="U53" s="59"/>
      <c r="V53" s="64"/>
      <c r="W53" s="110"/>
      <c r="X53" s="110"/>
      <c r="Y53" s="59"/>
      <c r="Z53" s="64"/>
      <c r="AA53" s="59"/>
      <c r="AB53" s="64"/>
      <c r="AC53" s="59"/>
      <c r="AD53" s="64"/>
    </row>
    <row r="54" spans="9:30" x14ac:dyDescent="0.25">
      <c r="I54" s="69"/>
      <c r="J54" s="76" t="s">
        <v>274</v>
      </c>
      <c r="K54" s="70" t="s">
        <v>275</v>
      </c>
    </row>
    <row r="55" spans="9:30" x14ac:dyDescent="0.25">
      <c r="I55" s="69"/>
      <c r="J55" s="76" t="s">
        <v>276</v>
      </c>
      <c r="K55" s="70" t="s">
        <v>277</v>
      </c>
    </row>
    <row r="56" spans="9:30" x14ac:dyDescent="0.25">
      <c r="I56" s="71"/>
      <c r="J56" s="77" t="s">
        <v>279</v>
      </c>
      <c r="K56" s="72" t="s">
        <v>280</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5"/>
  <sheetViews>
    <sheetView zoomScale="70" zoomScaleNormal="70" workbookViewId="0">
      <pane xSplit="5" ySplit="2" topLeftCell="F3" activePane="bottomRight" state="frozen"/>
      <selection activeCell="D5" sqref="D5"/>
      <selection pane="topRight" activeCell="D5" sqref="D5"/>
      <selection pane="bottomLeft" activeCell="D5" sqref="D5"/>
      <selection pane="bottomRight" activeCell="D5" sqref="D5"/>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29" t="s">
        <v>0</v>
      </c>
      <c r="B2" s="229" t="s">
        <v>1</v>
      </c>
      <c r="C2" s="229" t="s">
        <v>2</v>
      </c>
      <c r="D2" s="229" t="s">
        <v>326</v>
      </c>
      <c r="E2" s="229" t="s">
        <v>5</v>
      </c>
      <c r="F2" s="229" t="s">
        <v>497</v>
      </c>
      <c r="G2" s="230" t="s">
        <v>24</v>
      </c>
      <c r="H2" s="230" t="s">
        <v>25</v>
      </c>
      <c r="I2" s="230" t="s">
        <v>26</v>
      </c>
      <c r="J2" s="230" t="s">
        <v>27</v>
      </c>
      <c r="K2" s="230" t="s">
        <v>28</v>
      </c>
      <c r="L2" s="230" t="s">
        <v>29</v>
      </c>
      <c r="M2" s="230" t="s">
        <v>30</v>
      </c>
      <c r="N2" s="230" t="s">
        <v>31</v>
      </c>
      <c r="O2" s="229" t="s">
        <v>327</v>
      </c>
      <c r="P2" s="234" t="s">
        <v>102</v>
      </c>
      <c r="Q2" s="230" t="s">
        <v>122</v>
      </c>
      <c r="R2" s="230" t="s">
        <v>125</v>
      </c>
      <c r="S2" s="230" t="s">
        <v>127</v>
      </c>
      <c r="T2" s="230" t="s">
        <v>264</v>
      </c>
      <c r="U2" s="230" t="s">
        <v>270</v>
      </c>
      <c r="V2" s="230" t="s">
        <v>272</v>
      </c>
      <c r="W2" s="230" t="s">
        <v>275</v>
      </c>
      <c r="X2" s="230" t="s">
        <v>277</v>
      </c>
      <c r="Y2" s="230" t="s">
        <v>280</v>
      </c>
      <c r="Z2" s="230" t="s">
        <v>267</v>
      </c>
      <c r="AA2" s="234" t="s">
        <v>79</v>
      </c>
      <c r="AB2" s="230" t="s">
        <v>106</v>
      </c>
      <c r="AC2" s="230" t="s">
        <v>93</v>
      </c>
      <c r="AD2" s="234" t="s">
        <v>69</v>
      </c>
      <c r="AE2" s="230" t="s">
        <v>55</v>
      </c>
      <c r="AF2" s="230" t="s">
        <v>83</v>
      </c>
      <c r="AG2" s="230" t="s">
        <v>304</v>
      </c>
      <c r="AH2" s="230" t="s">
        <v>306</v>
      </c>
      <c r="AI2" s="234" t="s">
        <v>97</v>
      </c>
      <c r="AJ2" s="230" t="s">
        <v>138</v>
      </c>
      <c r="AK2" s="230" t="s">
        <v>140</v>
      </c>
      <c r="AL2" s="230" t="s">
        <v>142</v>
      </c>
    </row>
    <row r="3" spans="1:38" x14ac:dyDescent="0.25">
      <c r="A3" s="2" t="s">
        <v>185</v>
      </c>
      <c r="B3" s="3"/>
      <c r="C3" s="3"/>
      <c r="D3" s="2" t="s">
        <v>328</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31"/>
      <c r="P3" s="233" t="str">
        <f>IFERROR(VLOOKUP(TableHandbook[[#This Row],[UDC]],TableMCTEACH[],7,FALSE),"")</f>
        <v/>
      </c>
      <c r="Q3" s="232" t="str">
        <f>IFERROR(VLOOKUP(TableHandbook[[#This Row],[UDC]],TableMJRPTCHEC[],7,FALSE),"")</f>
        <v/>
      </c>
      <c r="R3" s="232" t="str">
        <f>IFERROR(VLOOKUP(TableHandbook[[#This Row],[UDC]],TableMJRPTCHPR[],7,FALSE),"")</f>
        <v/>
      </c>
      <c r="S3" s="232" t="str">
        <f>IFERROR(VLOOKUP(TableHandbook[[#This Row],[UDC]],TableMJRPTCHSC[],7,FALSE),"")</f>
        <v/>
      </c>
      <c r="T3" s="232" t="str">
        <f>IFERROR(VLOOKUP(TableHandbook[[#This Row],[UDC]],TableSTRPSCART[],7,FALSE),"")</f>
        <v/>
      </c>
      <c r="U3" s="232" t="str">
        <f>IFERROR(VLOOKUP(TableHandbook[[#This Row],[UDC]],TableSTRPSCENG[],7,FALSE),"")</f>
        <v/>
      </c>
      <c r="V3" s="232" t="str">
        <f>IFERROR(VLOOKUP(TableHandbook[[#This Row],[UDC]],TableSTRPSCHLP[],7,FALSE),"")</f>
        <v/>
      </c>
      <c r="W3" s="232" t="str">
        <f>IFERROR(VLOOKUP(TableHandbook[[#This Row],[UDC]],TableSTRPSCHUS[],7,FALSE),"")</f>
        <v/>
      </c>
      <c r="X3" s="232" t="str">
        <f>IFERROR(VLOOKUP(TableHandbook[[#This Row],[UDC]],TableSTRPSCMAT[],7,FALSE),"")</f>
        <v/>
      </c>
      <c r="Y3" s="232" t="str">
        <f>IFERROR(VLOOKUP(TableHandbook[[#This Row],[UDC]],TableSTRPSCSCI[],7,FALSE),"")</f>
        <v/>
      </c>
      <c r="Z3" s="232" t="str">
        <f>IFERROR(VLOOKUP(TableHandbook[[#This Row],[UDC]],TableSTRPSCFON[],7,FALSE),"")</f>
        <v/>
      </c>
      <c r="AA3" s="233" t="str">
        <f>IFERROR(VLOOKUP(TableHandbook[[#This Row],[UDC]],TableGCTESOL[],7,FALSE),"")</f>
        <v/>
      </c>
      <c r="AB3" s="232" t="str">
        <f>IFERROR(VLOOKUP(TableHandbook[[#This Row],[UDC]],TableMCTESOL[],7,FALSE),"")</f>
        <v/>
      </c>
      <c r="AC3" s="232" t="str">
        <f>IFERROR(VLOOKUP(TableHandbook[[#This Row],[UDC]],TableMCAPLING[],7,FALSE),"")</f>
        <v/>
      </c>
      <c r="AD3" s="233" t="str">
        <f>IFERROR(VLOOKUP(TableHandbook[[#This Row],[UDC]],TableGCEDHE[],7,FALSE),"")</f>
        <v/>
      </c>
      <c r="AE3" s="232" t="str">
        <f>IFERROR(VLOOKUP(TableHandbook[[#This Row],[UDC]],TableGCEDUC[],7,FALSE),"")</f>
        <v/>
      </c>
      <c r="AF3" s="232" t="str">
        <f>IFERROR(VLOOKUP(TableHandbook[[#This Row],[UDC]],TableGDEDUC[],7,FALSE),"")</f>
        <v/>
      </c>
      <c r="AG3" s="232" t="str">
        <f>IFERROR(VLOOKUP(TableHandbook[[#This Row],[UDC]],TableMJRPEDUPR[],7,FALSE),"")</f>
        <v/>
      </c>
      <c r="AH3" s="232" t="str">
        <f>IFERROR(VLOOKUP(TableHandbook[[#This Row],[UDC]],TableMJRPEDUSC[],7,FALSE),"")</f>
        <v/>
      </c>
      <c r="AI3" s="233" t="str">
        <f>IFERROR(VLOOKUP(TableHandbook[[#This Row],[UDC]],TableMCEDUC[],7,FALSE),"")</f>
        <v/>
      </c>
      <c r="AJ3" s="232" t="str">
        <f>IFERROR(VLOOKUP(TableHandbook[[#This Row],[UDC]],TableSPPECULIN[],7,FALSE),"")</f>
        <v/>
      </c>
      <c r="AK3" s="232" t="str">
        <f>IFERROR(VLOOKUP(TableHandbook[[#This Row],[UDC]],TableSPPELNTCH[],7,FALSE),"")</f>
        <v/>
      </c>
      <c r="AL3" s="232" t="str">
        <f>IFERROR(VLOOKUP(TableHandbook[[#This Row],[UDC]],TableSPPESTEME[],7,FALSE),"")</f>
        <v/>
      </c>
    </row>
    <row r="4" spans="1:38" x14ac:dyDescent="0.25">
      <c r="A4" s="2" t="s">
        <v>131</v>
      </c>
      <c r="B4" s="3"/>
      <c r="C4" s="3"/>
      <c r="D4" s="2" t="s">
        <v>329</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31"/>
      <c r="P4" s="233" t="str">
        <f>IFERROR(VLOOKUP(TableHandbook[[#This Row],[UDC]],TableMCTEACH[],7,FALSE),"")</f>
        <v/>
      </c>
      <c r="Q4" s="232" t="str">
        <f>IFERROR(VLOOKUP(TableHandbook[[#This Row],[UDC]],TableMJRPTCHEC[],7,FALSE),"")</f>
        <v/>
      </c>
      <c r="R4" s="232" t="str">
        <f>IFERROR(VLOOKUP(TableHandbook[[#This Row],[UDC]],TableMJRPTCHPR[],7,FALSE),"")</f>
        <v/>
      </c>
      <c r="S4" s="232" t="str">
        <f>IFERROR(VLOOKUP(TableHandbook[[#This Row],[UDC]],TableMJRPTCHSC[],7,FALSE),"")</f>
        <v/>
      </c>
      <c r="T4" s="232" t="str">
        <f>IFERROR(VLOOKUP(TableHandbook[[#This Row],[UDC]],TableSTRPSCART[],7,FALSE),"")</f>
        <v/>
      </c>
      <c r="U4" s="232" t="str">
        <f>IFERROR(VLOOKUP(TableHandbook[[#This Row],[UDC]],TableSTRPSCENG[],7,FALSE),"")</f>
        <v/>
      </c>
      <c r="V4" s="232" t="str">
        <f>IFERROR(VLOOKUP(TableHandbook[[#This Row],[UDC]],TableSTRPSCHLP[],7,FALSE),"")</f>
        <v/>
      </c>
      <c r="W4" s="232" t="str">
        <f>IFERROR(VLOOKUP(TableHandbook[[#This Row],[UDC]],TableSTRPSCHUS[],7,FALSE),"")</f>
        <v/>
      </c>
      <c r="X4" s="232" t="str">
        <f>IFERROR(VLOOKUP(TableHandbook[[#This Row],[UDC]],TableSTRPSCMAT[],7,FALSE),"")</f>
        <v/>
      </c>
      <c r="Y4" s="232" t="str">
        <f>IFERROR(VLOOKUP(TableHandbook[[#This Row],[UDC]],TableSTRPSCSCI[],7,FALSE),"")</f>
        <v/>
      </c>
      <c r="Z4" s="232" t="str">
        <f>IFERROR(VLOOKUP(TableHandbook[[#This Row],[UDC]],TableSTRPSCFON[],7,FALSE),"")</f>
        <v/>
      </c>
      <c r="AA4" s="233" t="str">
        <f>IFERROR(VLOOKUP(TableHandbook[[#This Row],[UDC]],TableGCTESOL[],7,FALSE),"")</f>
        <v/>
      </c>
      <c r="AB4" s="232" t="str">
        <f>IFERROR(VLOOKUP(TableHandbook[[#This Row],[UDC]],TableMCTESOL[],7,FALSE),"")</f>
        <v/>
      </c>
      <c r="AC4" s="232" t="str">
        <f>IFERROR(VLOOKUP(TableHandbook[[#This Row],[UDC]],TableMCAPLING[],7,FALSE),"")</f>
        <v/>
      </c>
      <c r="AD4" s="233" t="str">
        <f>IFERROR(VLOOKUP(TableHandbook[[#This Row],[UDC]],TableGCEDHE[],7,FALSE),"")</f>
        <v/>
      </c>
      <c r="AE4" s="232" t="str">
        <f>IFERROR(VLOOKUP(TableHandbook[[#This Row],[UDC]],TableGCEDUC[],7,FALSE),"")</f>
        <v/>
      </c>
      <c r="AF4" s="232" t="str">
        <f>IFERROR(VLOOKUP(TableHandbook[[#This Row],[UDC]],TableGDEDUC[],7,FALSE),"")</f>
        <v/>
      </c>
      <c r="AG4" s="232" t="str">
        <f>IFERROR(VLOOKUP(TableHandbook[[#This Row],[UDC]],TableMJRPEDUPR[],7,FALSE),"")</f>
        <v/>
      </c>
      <c r="AH4" s="232" t="str">
        <f>IFERROR(VLOOKUP(TableHandbook[[#This Row],[UDC]],TableMJRPEDUSC[],7,FALSE),"")</f>
        <v/>
      </c>
      <c r="AI4" s="233" t="str">
        <f>IFERROR(VLOOKUP(TableHandbook[[#This Row],[UDC]],TableMCEDUC[],7,FALSE),"")</f>
        <v/>
      </c>
      <c r="AJ4" s="232" t="str">
        <f>IFERROR(VLOOKUP(TableHandbook[[#This Row],[UDC]],TableSPPECULIN[],7,FALSE),"")</f>
        <v/>
      </c>
      <c r="AK4" s="232" t="str">
        <f>IFERROR(VLOOKUP(TableHandbook[[#This Row],[UDC]],TableSPPELNTCH[],7,FALSE),"")</f>
        <v/>
      </c>
      <c r="AL4" s="232" t="str">
        <f>IFERROR(VLOOKUP(TableHandbook[[#This Row],[UDC]],TableSPPESTEME[],7,FALSE),"")</f>
        <v/>
      </c>
    </row>
    <row r="5" spans="1:38" x14ac:dyDescent="0.25">
      <c r="A5" s="2" t="s">
        <v>330</v>
      </c>
      <c r="B5" s="3"/>
      <c r="C5" s="3"/>
      <c r="D5" s="2" t="s">
        <v>331</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31"/>
      <c r="P5" s="233" t="str">
        <f>IFERROR(VLOOKUP(TableHandbook[[#This Row],[UDC]],TableMCTEACH[],7,FALSE),"")</f>
        <v/>
      </c>
      <c r="Q5" s="232" t="str">
        <f>IFERROR(VLOOKUP(TableHandbook[[#This Row],[UDC]],TableMJRPTCHEC[],7,FALSE),"")</f>
        <v/>
      </c>
      <c r="R5" s="232" t="str">
        <f>IFERROR(VLOOKUP(TableHandbook[[#This Row],[UDC]],TableMJRPTCHPR[],7,FALSE),"")</f>
        <v/>
      </c>
      <c r="S5" s="232" t="str">
        <f>IFERROR(VLOOKUP(TableHandbook[[#This Row],[UDC]],TableMJRPTCHSC[],7,FALSE),"")</f>
        <v/>
      </c>
      <c r="T5" s="232" t="str">
        <f>IFERROR(VLOOKUP(TableHandbook[[#This Row],[UDC]],TableSTRPSCART[],7,FALSE),"")</f>
        <v/>
      </c>
      <c r="U5" s="232" t="str">
        <f>IFERROR(VLOOKUP(TableHandbook[[#This Row],[UDC]],TableSTRPSCENG[],7,FALSE),"")</f>
        <v/>
      </c>
      <c r="V5" s="232" t="str">
        <f>IFERROR(VLOOKUP(TableHandbook[[#This Row],[UDC]],TableSTRPSCHLP[],7,FALSE),"")</f>
        <v/>
      </c>
      <c r="W5" s="232" t="str">
        <f>IFERROR(VLOOKUP(TableHandbook[[#This Row],[UDC]],TableSTRPSCHUS[],7,FALSE),"")</f>
        <v/>
      </c>
      <c r="X5" s="232" t="str">
        <f>IFERROR(VLOOKUP(TableHandbook[[#This Row],[UDC]],TableSTRPSCMAT[],7,FALSE),"")</f>
        <v/>
      </c>
      <c r="Y5" s="232" t="str">
        <f>IFERROR(VLOOKUP(TableHandbook[[#This Row],[UDC]],TableSTRPSCSCI[],7,FALSE),"")</f>
        <v/>
      </c>
      <c r="Z5" s="232" t="str">
        <f>IFERROR(VLOOKUP(TableHandbook[[#This Row],[UDC]],TableSTRPSCFON[],7,FALSE),"")</f>
        <v/>
      </c>
      <c r="AA5" s="233" t="str">
        <f>IFERROR(VLOOKUP(TableHandbook[[#This Row],[UDC]],TableGCTESOL[],7,FALSE),"")</f>
        <v/>
      </c>
      <c r="AB5" s="232" t="str">
        <f>IFERROR(VLOOKUP(TableHandbook[[#This Row],[UDC]],TableMCTESOL[],7,FALSE),"")</f>
        <v/>
      </c>
      <c r="AC5" s="232" t="str">
        <f>IFERROR(VLOOKUP(TableHandbook[[#This Row],[UDC]],TableMCAPLING[],7,FALSE),"")</f>
        <v/>
      </c>
      <c r="AD5" s="233" t="str">
        <f>IFERROR(VLOOKUP(TableHandbook[[#This Row],[UDC]],TableGCEDHE[],7,FALSE),"")</f>
        <v/>
      </c>
      <c r="AE5" s="232" t="str">
        <f>IFERROR(VLOOKUP(TableHandbook[[#This Row],[UDC]],TableGCEDUC[],7,FALSE),"")</f>
        <v/>
      </c>
      <c r="AF5" s="232" t="str">
        <f>IFERROR(VLOOKUP(TableHandbook[[#This Row],[UDC]],TableGDEDUC[],7,FALSE),"")</f>
        <v/>
      </c>
      <c r="AG5" s="232" t="str">
        <f>IFERROR(VLOOKUP(TableHandbook[[#This Row],[UDC]],TableMJRPEDUPR[],7,FALSE),"")</f>
        <v/>
      </c>
      <c r="AH5" s="232" t="str">
        <f>IFERROR(VLOOKUP(TableHandbook[[#This Row],[UDC]],TableMJRPEDUSC[],7,FALSE),"")</f>
        <v/>
      </c>
      <c r="AI5" s="233" t="str">
        <f>IFERROR(VLOOKUP(TableHandbook[[#This Row],[UDC]],TableMCEDUC[],7,FALSE),"")</f>
        <v/>
      </c>
      <c r="AJ5" s="232" t="str">
        <f>IFERROR(VLOOKUP(TableHandbook[[#This Row],[UDC]],TableSPPECULIN[],7,FALSE),"")</f>
        <v/>
      </c>
      <c r="AK5" s="232" t="str">
        <f>IFERROR(VLOOKUP(TableHandbook[[#This Row],[UDC]],TableSPPELNTCH[],7,FALSE),"")</f>
        <v/>
      </c>
      <c r="AL5" s="232" t="str">
        <f>IFERROR(VLOOKUP(TableHandbook[[#This Row],[UDC]],TableSPPESTEME[],7,FALSE),"")</f>
        <v/>
      </c>
    </row>
    <row r="6" spans="1:38" x14ac:dyDescent="0.25">
      <c r="A6" s="2" t="s">
        <v>89</v>
      </c>
      <c r="B6" s="3">
        <v>1</v>
      </c>
      <c r="C6" s="3"/>
      <c r="D6" s="2" t="s">
        <v>332</v>
      </c>
      <c r="E6" s="3">
        <v>25</v>
      </c>
      <c r="F6" s="270" t="s">
        <v>72</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31"/>
      <c r="P6" s="233" t="str">
        <f>IFERROR(VLOOKUP(TableHandbook[[#This Row],[UDC]],TableMCTEACH[],7,FALSE),"")</f>
        <v/>
      </c>
      <c r="Q6" s="232" t="str">
        <f>IFERROR(VLOOKUP(TableHandbook[[#This Row],[UDC]],TableMJRPTCHEC[],7,FALSE),"")</f>
        <v>Core</v>
      </c>
      <c r="R6" s="232" t="str">
        <f>IFERROR(VLOOKUP(TableHandbook[[#This Row],[UDC]],TableMJRPTCHPR[],7,FALSE),"")</f>
        <v/>
      </c>
      <c r="S6" s="232" t="str">
        <f>IFERROR(VLOOKUP(TableHandbook[[#This Row],[UDC]],TableMJRPTCHSC[],7,FALSE),"")</f>
        <v/>
      </c>
      <c r="T6" s="232" t="str">
        <f>IFERROR(VLOOKUP(TableHandbook[[#This Row],[UDC]],TableSTRPSCART[],7,FALSE),"")</f>
        <v/>
      </c>
      <c r="U6" s="232" t="str">
        <f>IFERROR(VLOOKUP(TableHandbook[[#This Row],[UDC]],TableSTRPSCENG[],7,FALSE),"")</f>
        <v/>
      </c>
      <c r="V6" s="232" t="str">
        <f>IFERROR(VLOOKUP(TableHandbook[[#This Row],[UDC]],TableSTRPSCHLP[],7,FALSE),"")</f>
        <v/>
      </c>
      <c r="W6" s="232" t="str">
        <f>IFERROR(VLOOKUP(TableHandbook[[#This Row],[UDC]],TableSTRPSCHUS[],7,FALSE),"")</f>
        <v/>
      </c>
      <c r="X6" s="232" t="str">
        <f>IFERROR(VLOOKUP(TableHandbook[[#This Row],[UDC]],TableSTRPSCMAT[],7,FALSE),"")</f>
        <v/>
      </c>
      <c r="Y6" s="232" t="str">
        <f>IFERROR(VLOOKUP(TableHandbook[[#This Row],[UDC]],TableSTRPSCSCI[],7,FALSE),"")</f>
        <v/>
      </c>
      <c r="Z6" s="232" t="str">
        <f>IFERROR(VLOOKUP(TableHandbook[[#This Row],[UDC]],TableSTRPSCFON[],7,FALSE),"")</f>
        <v/>
      </c>
      <c r="AA6" s="233" t="str">
        <f>IFERROR(VLOOKUP(TableHandbook[[#This Row],[UDC]],TableGCTESOL[],7,FALSE),"")</f>
        <v/>
      </c>
      <c r="AB6" s="232" t="str">
        <f>IFERROR(VLOOKUP(TableHandbook[[#This Row],[UDC]],TableMCTESOL[],7,FALSE),"")</f>
        <v/>
      </c>
      <c r="AC6" s="232" t="str">
        <f>IFERROR(VLOOKUP(TableHandbook[[#This Row],[UDC]],TableMCAPLING[],7,FALSE),"")</f>
        <v/>
      </c>
      <c r="AD6" s="233" t="str">
        <f>IFERROR(VLOOKUP(TableHandbook[[#This Row],[UDC]],TableGCEDHE[],7,FALSE),"")</f>
        <v/>
      </c>
      <c r="AE6" s="232" t="str">
        <f>IFERROR(VLOOKUP(TableHandbook[[#This Row],[UDC]],TableGCEDUC[],7,FALSE),"")</f>
        <v/>
      </c>
      <c r="AF6" s="232" t="str">
        <f>IFERROR(VLOOKUP(TableHandbook[[#This Row],[UDC]],TableGDEDUC[],7,FALSE),"")</f>
        <v/>
      </c>
      <c r="AG6" s="232" t="str">
        <f>IFERROR(VLOOKUP(TableHandbook[[#This Row],[UDC]],TableMJRPEDUPR[],7,FALSE),"")</f>
        <v/>
      </c>
      <c r="AH6" s="232" t="str">
        <f>IFERROR(VLOOKUP(TableHandbook[[#This Row],[UDC]],TableMJRPEDUSC[],7,FALSE),"")</f>
        <v/>
      </c>
      <c r="AI6" s="233" t="str">
        <f>IFERROR(VLOOKUP(TableHandbook[[#This Row],[UDC]],TableMCEDUC[],7,FALSE),"")</f>
        <v/>
      </c>
      <c r="AJ6" s="232" t="str">
        <f>IFERROR(VLOOKUP(TableHandbook[[#This Row],[UDC]],TableSPPECULIN[],7,FALSE),"")</f>
        <v/>
      </c>
      <c r="AK6" s="232" t="str">
        <f>IFERROR(VLOOKUP(TableHandbook[[#This Row],[UDC]],TableSPPELNTCH[],7,FALSE),"")</f>
        <v/>
      </c>
      <c r="AL6" s="232" t="str">
        <f>IFERROR(VLOOKUP(TableHandbook[[#This Row],[UDC]],TableSPPESTEME[],7,FALSE),"")</f>
        <v/>
      </c>
    </row>
    <row r="7" spans="1:38" x14ac:dyDescent="0.25">
      <c r="A7" s="2" t="s">
        <v>99</v>
      </c>
      <c r="B7" s="3">
        <v>2</v>
      </c>
      <c r="C7" s="3"/>
      <c r="D7" s="2" t="s">
        <v>333</v>
      </c>
      <c r="E7" s="3">
        <v>25</v>
      </c>
      <c r="F7" s="270" t="s">
        <v>334</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31"/>
      <c r="P7" s="233" t="str">
        <f>IFERROR(VLOOKUP(TableHandbook[[#This Row],[UDC]],TableMCTEACH[],7,FALSE),"")</f>
        <v/>
      </c>
      <c r="Q7" s="232" t="str">
        <f>IFERROR(VLOOKUP(TableHandbook[[#This Row],[UDC]],TableMJRPTCHEC[],7,FALSE),"")</f>
        <v>Core</v>
      </c>
      <c r="R7" s="232" t="str">
        <f>IFERROR(VLOOKUP(TableHandbook[[#This Row],[UDC]],TableMJRPTCHPR[],7,FALSE),"")</f>
        <v/>
      </c>
      <c r="S7" s="232" t="str">
        <f>IFERROR(VLOOKUP(TableHandbook[[#This Row],[UDC]],TableMJRPTCHSC[],7,FALSE),"")</f>
        <v/>
      </c>
      <c r="T7" s="232" t="str">
        <f>IFERROR(VLOOKUP(TableHandbook[[#This Row],[UDC]],TableSTRPSCART[],7,FALSE),"")</f>
        <v/>
      </c>
      <c r="U7" s="232" t="str">
        <f>IFERROR(VLOOKUP(TableHandbook[[#This Row],[UDC]],TableSTRPSCENG[],7,FALSE),"")</f>
        <v/>
      </c>
      <c r="V7" s="232" t="str">
        <f>IFERROR(VLOOKUP(TableHandbook[[#This Row],[UDC]],TableSTRPSCHLP[],7,FALSE),"")</f>
        <v/>
      </c>
      <c r="W7" s="232" t="str">
        <f>IFERROR(VLOOKUP(TableHandbook[[#This Row],[UDC]],TableSTRPSCHUS[],7,FALSE),"")</f>
        <v/>
      </c>
      <c r="X7" s="232" t="str">
        <f>IFERROR(VLOOKUP(TableHandbook[[#This Row],[UDC]],TableSTRPSCMAT[],7,FALSE),"")</f>
        <v/>
      </c>
      <c r="Y7" s="232" t="str">
        <f>IFERROR(VLOOKUP(TableHandbook[[#This Row],[UDC]],TableSTRPSCSCI[],7,FALSE),"")</f>
        <v/>
      </c>
      <c r="Z7" s="232" t="str">
        <f>IFERROR(VLOOKUP(TableHandbook[[#This Row],[UDC]],TableSTRPSCFON[],7,FALSE),"")</f>
        <v/>
      </c>
      <c r="AA7" s="233" t="str">
        <f>IFERROR(VLOOKUP(TableHandbook[[#This Row],[UDC]],TableGCTESOL[],7,FALSE),"")</f>
        <v/>
      </c>
      <c r="AB7" s="232" t="str">
        <f>IFERROR(VLOOKUP(TableHandbook[[#This Row],[UDC]],TableMCTESOL[],7,FALSE),"")</f>
        <v/>
      </c>
      <c r="AC7" s="232" t="str">
        <f>IFERROR(VLOOKUP(TableHandbook[[#This Row],[UDC]],TableMCAPLING[],7,FALSE),"")</f>
        <v/>
      </c>
      <c r="AD7" s="233" t="str">
        <f>IFERROR(VLOOKUP(TableHandbook[[#This Row],[UDC]],TableGCEDHE[],7,FALSE),"")</f>
        <v/>
      </c>
      <c r="AE7" s="232" t="str">
        <f>IFERROR(VLOOKUP(TableHandbook[[#This Row],[UDC]],TableGCEDUC[],7,FALSE),"")</f>
        <v/>
      </c>
      <c r="AF7" s="232" t="str">
        <f>IFERROR(VLOOKUP(TableHandbook[[#This Row],[UDC]],TableGDEDUC[],7,FALSE),"")</f>
        <v/>
      </c>
      <c r="AG7" s="232" t="str">
        <f>IFERROR(VLOOKUP(TableHandbook[[#This Row],[UDC]],TableMJRPEDUPR[],7,FALSE),"")</f>
        <v/>
      </c>
      <c r="AH7" s="232" t="str">
        <f>IFERROR(VLOOKUP(TableHandbook[[#This Row],[UDC]],TableMJRPEDUSC[],7,FALSE),"")</f>
        <v/>
      </c>
      <c r="AI7" s="233" t="str">
        <f>IFERROR(VLOOKUP(TableHandbook[[#This Row],[UDC]],TableMCEDUC[],7,FALSE),"")</f>
        <v/>
      </c>
      <c r="AJ7" s="232" t="str">
        <f>IFERROR(VLOOKUP(TableHandbook[[#This Row],[UDC]],TableSPPECULIN[],7,FALSE),"")</f>
        <v/>
      </c>
      <c r="AK7" s="232" t="str">
        <f>IFERROR(VLOOKUP(TableHandbook[[#This Row],[UDC]],TableSPPELNTCH[],7,FALSE),"")</f>
        <v/>
      </c>
      <c r="AL7" s="232" t="str">
        <f>IFERROR(VLOOKUP(TableHandbook[[#This Row],[UDC]],TableSPPESTEME[],7,FALSE),"")</f>
        <v/>
      </c>
    </row>
    <row r="8" spans="1:38" x14ac:dyDescent="0.25">
      <c r="A8" s="2" t="s">
        <v>81</v>
      </c>
      <c r="B8" s="3">
        <v>1</v>
      </c>
      <c r="C8" s="3"/>
      <c r="D8" s="2" t="s">
        <v>335</v>
      </c>
      <c r="E8" s="3">
        <v>25</v>
      </c>
      <c r="F8" s="54" t="s">
        <v>336</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31"/>
      <c r="P8" s="233" t="str">
        <f>IFERROR(VLOOKUP(TableHandbook[[#This Row],[UDC]],TableMCTEACH[],7,FALSE),"")</f>
        <v/>
      </c>
      <c r="Q8" s="232" t="str">
        <f>IFERROR(VLOOKUP(TableHandbook[[#This Row],[UDC]],TableMJRPTCHEC[],7,FALSE),"")</f>
        <v>Core</v>
      </c>
      <c r="R8" s="232" t="str">
        <f>IFERROR(VLOOKUP(TableHandbook[[#This Row],[UDC]],TableMJRPTCHPR[],7,FALSE),"")</f>
        <v/>
      </c>
      <c r="S8" s="232" t="str">
        <f>IFERROR(VLOOKUP(TableHandbook[[#This Row],[UDC]],TableMJRPTCHSC[],7,FALSE),"")</f>
        <v/>
      </c>
      <c r="T8" s="232" t="str">
        <f>IFERROR(VLOOKUP(TableHandbook[[#This Row],[UDC]],TableSTRPSCART[],7,FALSE),"")</f>
        <v/>
      </c>
      <c r="U8" s="232" t="str">
        <f>IFERROR(VLOOKUP(TableHandbook[[#This Row],[UDC]],TableSTRPSCENG[],7,FALSE),"")</f>
        <v/>
      </c>
      <c r="V8" s="232" t="str">
        <f>IFERROR(VLOOKUP(TableHandbook[[#This Row],[UDC]],TableSTRPSCHLP[],7,FALSE),"")</f>
        <v/>
      </c>
      <c r="W8" s="232" t="str">
        <f>IFERROR(VLOOKUP(TableHandbook[[#This Row],[UDC]],TableSTRPSCHUS[],7,FALSE),"")</f>
        <v/>
      </c>
      <c r="X8" s="232" t="str">
        <f>IFERROR(VLOOKUP(TableHandbook[[#This Row],[UDC]],TableSTRPSCMAT[],7,FALSE),"")</f>
        <v/>
      </c>
      <c r="Y8" s="232" t="str">
        <f>IFERROR(VLOOKUP(TableHandbook[[#This Row],[UDC]],TableSTRPSCSCI[],7,FALSE),"")</f>
        <v/>
      </c>
      <c r="Z8" s="232" t="str">
        <f>IFERROR(VLOOKUP(TableHandbook[[#This Row],[UDC]],TableSTRPSCFON[],7,FALSE),"")</f>
        <v/>
      </c>
      <c r="AA8" s="233" t="str">
        <f>IFERROR(VLOOKUP(TableHandbook[[#This Row],[UDC]],TableGCTESOL[],7,FALSE),"")</f>
        <v/>
      </c>
      <c r="AB8" s="232" t="str">
        <f>IFERROR(VLOOKUP(TableHandbook[[#This Row],[UDC]],TableMCTESOL[],7,FALSE),"")</f>
        <v/>
      </c>
      <c r="AC8" s="232" t="str">
        <f>IFERROR(VLOOKUP(TableHandbook[[#This Row],[UDC]],TableMCAPLING[],7,FALSE),"")</f>
        <v/>
      </c>
      <c r="AD8" s="233" t="str">
        <f>IFERROR(VLOOKUP(TableHandbook[[#This Row],[UDC]],TableGCEDHE[],7,FALSE),"")</f>
        <v/>
      </c>
      <c r="AE8" s="232" t="str">
        <f>IFERROR(VLOOKUP(TableHandbook[[#This Row],[UDC]],TableGCEDUC[],7,FALSE),"")</f>
        <v>Option</v>
      </c>
      <c r="AF8" s="232" t="str">
        <f>IFERROR(VLOOKUP(TableHandbook[[#This Row],[UDC]],TableGDEDUC[],7,FALSE),"")</f>
        <v/>
      </c>
      <c r="AG8" s="232" t="str">
        <f>IFERROR(VLOOKUP(TableHandbook[[#This Row],[UDC]],TableMJRPEDUPR[],7,FALSE),"")</f>
        <v/>
      </c>
      <c r="AH8" s="232" t="str">
        <f>IFERROR(VLOOKUP(TableHandbook[[#This Row],[UDC]],TableMJRPEDUSC[],7,FALSE),"")</f>
        <v/>
      </c>
      <c r="AI8" s="233" t="str">
        <f>IFERROR(VLOOKUP(TableHandbook[[#This Row],[UDC]],TableMCEDUC[],7,FALSE),"")</f>
        <v/>
      </c>
      <c r="AJ8" s="232" t="str">
        <f>IFERROR(VLOOKUP(TableHandbook[[#This Row],[UDC]],TableSPPECULIN[],7,FALSE),"")</f>
        <v/>
      </c>
      <c r="AK8" s="232" t="str">
        <f>IFERROR(VLOOKUP(TableHandbook[[#This Row],[UDC]],TableSPPELNTCH[],7,FALSE),"")</f>
        <v/>
      </c>
      <c r="AL8" s="232" t="str">
        <f>IFERROR(VLOOKUP(TableHandbook[[#This Row],[UDC]],TableSPPESTEME[],7,FALSE),"")</f>
        <v/>
      </c>
    </row>
    <row r="9" spans="1:38" x14ac:dyDescent="0.25">
      <c r="A9" s="2" t="s">
        <v>107</v>
      </c>
      <c r="B9" s="3">
        <v>1</v>
      </c>
      <c r="C9" s="3"/>
      <c r="D9" s="2" t="s">
        <v>337</v>
      </c>
      <c r="E9" s="3">
        <v>25</v>
      </c>
      <c r="F9" s="54" t="s">
        <v>336</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31"/>
      <c r="P9" s="233" t="str">
        <f>IFERROR(VLOOKUP(TableHandbook[[#This Row],[UDC]],TableMCTEACH[],7,FALSE),"")</f>
        <v/>
      </c>
      <c r="Q9" s="232" t="str">
        <f>IFERROR(VLOOKUP(TableHandbook[[#This Row],[UDC]],TableMJRPTCHEC[],7,FALSE),"")</f>
        <v>Core</v>
      </c>
      <c r="R9" s="232" t="str">
        <f>IFERROR(VLOOKUP(TableHandbook[[#This Row],[UDC]],TableMJRPTCHPR[],7,FALSE),"")</f>
        <v/>
      </c>
      <c r="S9" s="232" t="str">
        <f>IFERROR(VLOOKUP(TableHandbook[[#This Row],[UDC]],TableMJRPTCHSC[],7,FALSE),"")</f>
        <v/>
      </c>
      <c r="T9" s="232" t="str">
        <f>IFERROR(VLOOKUP(TableHandbook[[#This Row],[UDC]],TableSTRPSCART[],7,FALSE),"")</f>
        <v/>
      </c>
      <c r="U9" s="232" t="str">
        <f>IFERROR(VLOOKUP(TableHandbook[[#This Row],[UDC]],TableSTRPSCENG[],7,FALSE),"")</f>
        <v/>
      </c>
      <c r="V9" s="232" t="str">
        <f>IFERROR(VLOOKUP(TableHandbook[[#This Row],[UDC]],TableSTRPSCHLP[],7,FALSE),"")</f>
        <v/>
      </c>
      <c r="W9" s="232" t="str">
        <f>IFERROR(VLOOKUP(TableHandbook[[#This Row],[UDC]],TableSTRPSCHUS[],7,FALSE),"")</f>
        <v/>
      </c>
      <c r="X9" s="232" t="str">
        <f>IFERROR(VLOOKUP(TableHandbook[[#This Row],[UDC]],TableSTRPSCMAT[],7,FALSE),"")</f>
        <v/>
      </c>
      <c r="Y9" s="232" t="str">
        <f>IFERROR(VLOOKUP(TableHandbook[[#This Row],[UDC]],TableSTRPSCSCI[],7,FALSE),"")</f>
        <v/>
      </c>
      <c r="Z9" s="232" t="str">
        <f>IFERROR(VLOOKUP(TableHandbook[[#This Row],[UDC]],TableSTRPSCFON[],7,FALSE),"")</f>
        <v/>
      </c>
      <c r="AA9" s="233" t="str">
        <f>IFERROR(VLOOKUP(TableHandbook[[#This Row],[UDC]],TableGCTESOL[],7,FALSE),"")</f>
        <v/>
      </c>
      <c r="AB9" s="232" t="str">
        <f>IFERROR(VLOOKUP(TableHandbook[[#This Row],[UDC]],TableMCTESOL[],7,FALSE),"")</f>
        <v/>
      </c>
      <c r="AC9" s="232" t="str">
        <f>IFERROR(VLOOKUP(TableHandbook[[#This Row],[UDC]],TableMCAPLING[],7,FALSE),"")</f>
        <v/>
      </c>
      <c r="AD9" s="233" t="str">
        <f>IFERROR(VLOOKUP(TableHandbook[[#This Row],[UDC]],TableGCEDHE[],7,FALSE),"")</f>
        <v/>
      </c>
      <c r="AE9" s="232" t="str">
        <f>IFERROR(VLOOKUP(TableHandbook[[#This Row],[UDC]],TableGCEDUC[],7,FALSE),"")</f>
        <v>Option</v>
      </c>
      <c r="AF9" s="232" t="str">
        <f>IFERROR(VLOOKUP(TableHandbook[[#This Row],[UDC]],TableGDEDUC[],7,FALSE),"")</f>
        <v/>
      </c>
      <c r="AG9" s="232" t="str">
        <f>IFERROR(VLOOKUP(TableHandbook[[#This Row],[UDC]],TableMJRPEDUPR[],7,FALSE),"")</f>
        <v/>
      </c>
      <c r="AH9" s="232" t="str">
        <f>IFERROR(VLOOKUP(TableHandbook[[#This Row],[UDC]],TableMJRPEDUSC[],7,FALSE),"")</f>
        <v/>
      </c>
      <c r="AI9" s="233" t="str">
        <f>IFERROR(VLOOKUP(TableHandbook[[#This Row],[UDC]],TableMCEDUC[],7,FALSE),"")</f>
        <v/>
      </c>
      <c r="AJ9" s="232" t="str">
        <f>IFERROR(VLOOKUP(TableHandbook[[#This Row],[UDC]],TableSPPECULIN[],7,FALSE),"")</f>
        <v/>
      </c>
      <c r="AK9" s="232" t="str">
        <f>IFERROR(VLOOKUP(TableHandbook[[#This Row],[UDC]],TableSPPELNTCH[],7,FALSE),"")</f>
        <v/>
      </c>
      <c r="AL9" s="232" t="str">
        <f>IFERROR(VLOOKUP(TableHandbook[[#This Row],[UDC]],TableSPPESTEME[],7,FALSE),"")</f>
        <v/>
      </c>
    </row>
    <row r="10" spans="1:38" x14ac:dyDescent="0.25">
      <c r="A10" s="2" t="s">
        <v>115</v>
      </c>
      <c r="B10" s="3">
        <v>1</v>
      </c>
      <c r="C10" s="3"/>
      <c r="D10" s="2" t="s">
        <v>338</v>
      </c>
      <c r="E10" s="3">
        <v>25</v>
      </c>
      <c r="F10" s="54" t="s">
        <v>336</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31"/>
      <c r="P10" s="233" t="str">
        <f>IFERROR(VLOOKUP(TableHandbook[[#This Row],[UDC]],TableMCTEACH[],7,FALSE),"")</f>
        <v/>
      </c>
      <c r="Q10" s="232" t="str">
        <f>IFERROR(VLOOKUP(TableHandbook[[#This Row],[UDC]],TableMJRPTCHEC[],7,FALSE),"")</f>
        <v>Core</v>
      </c>
      <c r="R10" s="232" t="str">
        <f>IFERROR(VLOOKUP(TableHandbook[[#This Row],[UDC]],TableMJRPTCHPR[],7,FALSE),"")</f>
        <v/>
      </c>
      <c r="S10" s="232" t="str">
        <f>IFERROR(VLOOKUP(TableHandbook[[#This Row],[UDC]],TableMJRPTCHSC[],7,FALSE),"")</f>
        <v/>
      </c>
      <c r="T10" s="232" t="str">
        <f>IFERROR(VLOOKUP(TableHandbook[[#This Row],[UDC]],TableSTRPSCART[],7,FALSE),"")</f>
        <v/>
      </c>
      <c r="U10" s="232" t="str">
        <f>IFERROR(VLOOKUP(TableHandbook[[#This Row],[UDC]],TableSTRPSCENG[],7,FALSE),"")</f>
        <v/>
      </c>
      <c r="V10" s="232" t="str">
        <f>IFERROR(VLOOKUP(TableHandbook[[#This Row],[UDC]],TableSTRPSCHLP[],7,FALSE),"")</f>
        <v/>
      </c>
      <c r="W10" s="232" t="str">
        <f>IFERROR(VLOOKUP(TableHandbook[[#This Row],[UDC]],TableSTRPSCHUS[],7,FALSE),"")</f>
        <v/>
      </c>
      <c r="X10" s="232" t="str">
        <f>IFERROR(VLOOKUP(TableHandbook[[#This Row],[UDC]],TableSTRPSCMAT[],7,FALSE),"")</f>
        <v/>
      </c>
      <c r="Y10" s="232" t="str">
        <f>IFERROR(VLOOKUP(TableHandbook[[#This Row],[UDC]],TableSTRPSCSCI[],7,FALSE),"")</f>
        <v/>
      </c>
      <c r="Z10" s="232" t="str">
        <f>IFERROR(VLOOKUP(TableHandbook[[#This Row],[UDC]],TableSTRPSCFON[],7,FALSE),"")</f>
        <v/>
      </c>
      <c r="AA10" s="233" t="str">
        <f>IFERROR(VLOOKUP(TableHandbook[[#This Row],[UDC]],TableGCTESOL[],7,FALSE),"")</f>
        <v/>
      </c>
      <c r="AB10" s="232" t="str">
        <f>IFERROR(VLOOKUP(TableHandbook[[#This Row],[UDC]],TableMCTESOL[],7,FALSE),"")</f>
        <v/>
      </c>
      <c r="AC10" s="232" t="str">
        <f>IFERROR(VLOOKUP(TableHandbook[[#This Row],[UDC]],TableMCAPLING[],7,FALSE),"")</f>
        <v/>
      </c>
      <c r="AD10" s="233" t="str">
        <f>IFERROR(VLOOKUP(TableHandbook[[#This Row],[UDC]],TableGCEDHE[],7,FALSE),"")</f>
        <v/>
      </c>
      <c r="AE10" s="232" t="str">
        <f>IFERROR(VLOOKUP(TableHandbook[[#This Row],[UDC]],TableGCEDUC[],7,FALSE),"")</f>
        <v>Option</v>
      </c>
      <c r="AF10" s="232" t="str">
        <f>IFERROR(VLOOKUP(TableHandbook[[#This Row],[UDC]],TableGDEDUC[],7,FALSE),"")</f>
        <v/>
      </c>
      <c r="AG10" s="232" t="str">
        <f>IFERROR(VLOOKUP(TableHandbook[[#This Row],[UDC]],TableMJRPEDUPR[],7,FALSE),"")</f>
        <v/>
      </c>
      <c r="AH10" s="232" t="str">
        <f>IFERROR(VLOOKUP(TableHandbook[[#This Row],[UDC]],TableMJRPEDUSC[],7,FALSE),"")</f>
        <v/>
      </c>
      <c r="AI10" s="233" t="str">
        <f>IFERROR(VLOOKUP(TableHandbook[[#This Row],[UDC]],TableMCEDUC[],7,FALSE),"")</f>
        <v/>
      </c>
      <c r="AJ10" s="232" t="str">
        <f>IFERROR(VLOOKUP(TableHandbook[[#This Row],[UDC]],TableSPPECULIN[],7,FALSE),"")</f>
        <v/>
      </c>
      <c r="AK10" s="232" t="str">
        <f>IFERROR(VLOOKUP(TableHandbook[[#This Row],[UDC]],TableSPPELNTCH[],7,FALSE),"")</f>
        <v/>
      </c>
      <c r="AL10" s="232" t="str">
        <f>IFERROR(VLOOKUP(TableHandbook[[#This Row],[UDC]],TableSPPESTEME[],7,FALSE),"")</f>
        <v/>
      </c>
    </row>
    <row r="11" spans="1:38" x14ac:dyDescent="0.25">
      <c r="A11" s="2" t="s">
        <v>123</v>
      </c>
      <c r="B11" s="3">
        <v>1</v>
      </c>
      <c r="C11" s="3"/>
      <c r="D11" s="2" t="s">
        <v>339</v>
      </c>
      <c r="E11" s="3">
        <v>25</v>
      </c>
      <c r="F11" s="54" t="s">
        <v>336</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31"/>
      <c r="P11" s="233" t="str">
        <f>IFERROR(VLOOKUP(TableHandbook[[#This Row],[UDC]],TableMCTEACH[],7,FALSE),"")</f>
        <v/>
      </c>
      <c r="Q11" s="232" t="str">
        <f>IFERROR(VLOOKUP(TableHandbook[[#This Row],[UDC]],TableMJRPTCHEC[],7,FALSE),"")</f>
        <v>Core</v>
      </c>
      <c r="R11" s="232" t="str">
        <f>IFERROR(VLOOKUP(TableHandbook[[#This Row],[UDC]],TableMJRPTCHPR[],7,FALSE),"")</f>
        <v/>
      </c>
      <c r="S11" s="232" t="str">
        <f>IFERROR(VLOOKUP(TableHandbook[[#This Row],[UDC]],TableMJRPTCHSC[],7,FALSE),"")</f>
        <v/>
      </c>
      <c r="T11" s="232" t="str">
        <f>IFERROR(VLOOKUP(TableHandbook[[#This Row],[UDC]],TableSTRPSCART[],7,FALSE),"")</f>
        <v/>
      </c>
      <c r="U11" s="232" t="str">
        <f>IFERROR(VLOOKUP(TableHandbook[[#This Row],[UDC]],TableSTRPSCENG[],7,FALSE),"")</f>
        <v/>
      </c>
      <c r="V11" s="232" t="str">
        <f>IFERROR(VLOOKUP(TableHandbook[[#This Row],[UDC]],TableSTRPSCHLP[],7,FALSE),"")</f>
        <v/>
      </c>
      <c r="W11" s="232" t="str">
        <f>IFERROR(VLOOKUP(TableHandbook[[#This Row],[UDC]],TableSTRPSCHUS[],7,FALSE),"")</f>
        <v/>
      </c>
      <c r="X11" s="232" t="str">
        <f>IFERROR(VLOOKUP(TableHandbook[[#This Row],[UDC]],TableSTRPSCMAT[],7,FALSE),"")</f>
        <v/>
      </c>
      <c r="Y11" s="232" t="str">
        <f>IFERROR(VLOOKUP(TableHandbook[[#This Row],[UDC]],TableSTRPSCSCI[],7,FALSE),"")</f>
        <v/>
      </c>
      <c r="Z11" s="232" t="str">
        <f>IFERROR(VLOOKUP(TableHandbook[[#This Row],[UDC]],TableSTRPSCFON[],7,FALSE),"")</f>
        <v/>
      </c>
      <c r="AA11" s="233" t="str">
        <f>IFERROR(VLOOKUP(TableHandbook[[#This Row],[UDC]],TableGCTESOL[],7,FALSE),"")</f>
        <v/>
      </c>
      <c r="AB11" s="232" t="str">
        <f>IFERROR(VLOOKUP(TableHandbook[[#This Row],[UDC]],TableMCTESOL[],7,FALSE),"")</f>
        <v/>
      </c>
      <c r="AC11" s="232" t="str">
        <f>IFERROR(VLOOKUP(TableHandbook[[#This Row],[UDC]],TableMCAPLING[],7,FALSE),"")</f>
        <v/>
      </c>
      <c r="AD11" s="233" t="str">
        <f>IFERROR(VLOOKUP(TableHandbook[[#This Row],[UDC]],TableGCEDHE[],7,FALSE),"")</f>
        <v/>
      </c>
      <c r="AE11" s="232" t="str">
        <f>IFERROR(VLOOKUP(TableHandbook[[#This Row],[UDC]],TableGCEDUC[],7,FALSE),"")</f>
        <v/>
      </c>
      <c r="AF11" s="232" t="str">
        <f>IFERROR(VLOOKUP(TableHandbook[[#This Row],[UDC]],TableGDEDUC[],7,FALSE),"")</f>
        <v/>
      </c>
      <c r="AG11" s="232" t="str">
        <f>IFERROR(VLOOKUP(TableHandbook[[#This Row],[UDC]],TableMJRPEDUPR[],7,FALSE),"")</f>
        <v/>
      </c>
      <c r="AH11" s="232" t="str">
        <f>IFERROR(VLOOKUP(TableHandbook[[#This Row],[UDC]],TableMJRPEDUSC[],7,FALSE),"")</f>
        <v/>
      </c>
      <c r="AI11" s="233" t="str">
        <f>IFERROR(VLOOKUP(TableHandbook[[#This Row],[UDC]],TableMCEDUC[],7,FALSE),"")</f>
        <v/>
      </c>
      <c r="AJ11" s="232" t="str">
        <f>IFERROR(VLOOKUP(TableHandbook[[#This Row],[UDC]],TableSPPECULIN[],7,FALSE),"")</f>
        <v/>
      </c>
      <c r="AK11" s="232" t="str">
        <f>IFERROR(VLOOKUP(TableHandbook[[#This Row],[UDC]],TableSPPELNTCH[],7,FALSE),"")</f>
        <v/>
      </c>
      <c r="AL11" s="232" t="str">
        <f>IFERROR(VLOOKUP(TableHandbook[[#This Row],[UDC]],TableSPPESTEME[],7,FALSE),"")</f>
        <v/>
      </c>
    </row>
    <row r="12" spans="1:38" x14ac:dyDescent="0.25">
      <c r="A12" s="2" t="s">
        <v>90</v>
      </c>
      <c r="B12" s="3">
        <v>1</v>
      </c>
      <c r="C12" s="3"/>
      <c r="D12" s="2" t="s">
        <v>340</v>
      </c>
      <c r="E12" s="3">
        <v>25</v>
      </c>
      <c r="F12" s="54" t="s">
        <v>336</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31"/>
      <c r="P12" s="233" t="str">
        <f>IFERROR(VLOOKUP(TableHandbook[[#This Row],[UDC]],TableMCTEACH[],7,FALSE),"")</f>
        <v/>
      </c>
      <c r="Q12" s="232" t="str">
        <f>IFERROR(VLOOKUP(TableHandbook[[#This Row],[UDC]],TableMJRPTCHEC[],7,FALSE),"")</f>
        <v>Core</v>
      </c>
      <c r="R12" s="232" t="str">
        <f>IFERROR(VLOOKUP(TableHandbook[[#This Row],[UDC]],TableMJRPTCHPR[],7,FALSE),"")</f>
        <v/>
      </c>
      <c r="S12" s="232" t="str">
        <f>IFERROR(VLOOKUP(TableHandbook[[#This Row],[UDC]],TableMJRPTCHSC[],7,FALSE),"")</f>
        <v/>
      </c>
      <c r="T12" s="232" t="str">
        <f>IFERROR(VLOOKUP(TableHandbook[[#This Row],[UDC]],TableSTRPSCART[],7,FALSE),"")</f>
        <v/>
      </c>
      <c r="U12" s="232" t="str">
        <f>IFERROR(VLOOKUP(TableHandbook[[#This Row],[UDC]],TableSTRPSCENG[],7,FALSE),"")</f>
        <v/>
      </c>
      <c r="V12" s="232" t="str">
        <f>IFERROR(VLOOKUP(TableHandbook[[#This Row],[UDC]],TableSTRPSCHLP[],7,FALSE),"")</f>
        <v/>
      </c>
      <c r="W12" s="232" t="str">
        <f>IFERROR(VLOOKUP(TableHandbook[[#This Row],[UDC]],TableSTRPSCHUS[],7,FALSE),"")</f>
        <v/>
      </c>
      <c r="X12" s="232" t="str">
        <f>IFERROR(VLOOKUP(TableHandbook[[#This Row],[UDC]],TableSTRPSCMAT[],7,FALSE),"")</f>
        <v/>
      </c>
      <c r="Y12" s="232" t="str">
        <f>IFERROR(VLOOKUP(TableHandbook[[#This Row],[UDC]],TableSTRPSCSCI[],7,FALSE),"")</f>
        <v/>
      </c>
      <c r="Z12" s="232" t="str">
        <f>IFERROR(VLOOKUP(TableHandbook[[#This Row],[UDC]],TableSTRPSCFON[],7,FALSE),"")</f>
        <v/>
      </c>
      <c r="AA12" s="233" t="str">
        <f>IFERROR(VLOOKUP(TableHandbook[[#This Row],[UDC]],TableGCTESOL[],7,FALSE),"")</f>
        <v/>
      </c>
      <c r="AB12" s="232" t="str">
        <f>IFERROR(VLOOKUP(TableHandbook[[#This Row],[UDC]],TableMCTESOL[],7,FALSE),"")</f>
        <v/>
      </c>
      <c r="AC12" s="232" t="str">
        <f>IFERROR(VLOOKUP(TableHandbook[[#This Row],[UDC]],TableMCAPLING[],7,FALSE),"")</f>
        <v/>
      </c>
      <c r="AD12" s="233" t="str">
        <f>IFERROR(VLOOKUP(TableHandbook[[#This Row],[UDC]],TableGCEDHE[],7,FALSE),"")</f>
        <v/>
      </c>
      <c r="AE12" s="232" t="str">
        <f>IFERROR(VLOOKUP(TableHandbook[[#This Row],[UDC]],TableGCEDUC[],7,FALSE),"")</f>
        <v/>
      </c>
      <c r="AF12" s="232" t="str">
        <f>IFERROR(VLOOKUP(TableHandbook[[#This Row],[UDC]],TableGDEDUC[],7,FALSE),"")</f>
        <v/>
      </c>
      <c r="AG12" s="232" t="str">
        <f>IFERROR(VLOOKUP(TableHandbook[[#This Row],[UDC]],TableMJRPEDUPR[],7,FALSE),"")</f>
        <v/>
      </c>
      <c r="AH12" s="232" t="str">
        <f>IFERROR(VLOOKUP(TableHandbook[[#This Row],[UDC]],TableMJRPEDUSC[],7,FALSE),"")</f>
        <v/>
      </c>
      <c r="AI12" s="233" t="str">
        <f>IFERROR(VLOOKUP(TableHandbook[[#This Row],[UDC]],TableMCEDUC[],7,FALSE),"")</f>
        <v/>
      </c>
      <c r="AJ12" s="232" t="str">
        <f>IFERROR(VLOOKUP(TableHandbook[[#This Row],[UDC]],TableSPPECULIN[],7,FALSE),"")</f>
        <v/>
      </c>
      <c r="AK12" s="232" t="str">
        <f>IFERROR(VLOOKUP(TableHandbook[[#This Row],[UDC]],TableSPPELNTCH[],7,FALSE),"")</f>
        <v/>
      </c>
      <c r="AL12" s="232" t="str">
        <f>IFERROR(VLOOKUP(TableHandbook[[#This Row],[UDC]],TableSPPESTEME[],7,FALSE),"")</f>
        <v/>
      </c>
    </row>
    <row r="13" spans="1:38" x14ac:dyDescent="0.25">
      <c r="A13" s="2" t="s">
        <v>100</v>
      </c>
      <c r="B13" s="3">
        <v>1</v>
      </c>
      <c r="C13" s="3"/>
      <c r="D13" s="2" t="s">
        <v>341</v>
      </c>
      <c r="E13" s="3">
        <v>25</v>
      </c>
      <c r="F13" s="54" t="s">
        <v>336</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31"/>
      <c r="P13" s="233" t="str">
        <f>IFERROR(VLOOKUP(TableHandbook[[#This Row],[UDC]],TableMCTEACH[],7,FALSE),"")</f>
        <v/>
      </c>
      <c r="Q13" s="232" t="str">
        <f>IFERROR(VLOOKUP(TableHandbook[[#This Row],[UDC]],TableMJRPTCHEC[],7,FALSE),"")</f>
        <v>Core</v>
      </c>
      <c r="R13" s="232" t="str">
        <f>IFERROR(VLOOKUP(TableHandbook[[#This Row],[UDC]],TableMJRPTCHPR[],7,FALSE),"")</f>
        <v/>
      </c>
      <c r="S13" s="232" t="str">
        <f>IFERROR(VLOOKUP(TableHandbook[[#This Row],[UDC]],TableMJRPTCHSC[],7,FALSE),"")</f>
        <v/>
      </c>
      <c r="T13" s="232" t="str">
        <f>IFERROR(VLOOKUP(TableHandbook[[#This Row],[UDC]],TableSTRPSCART[],7,FALSE),"")</f>
        <v/>
      </c>
      <c r="U13" s="232" t="str">
        <f>IFERROR(VLOOKUP(TableHandbook[[#This Row],[UDC]],TableSTRPSCENG[],7,FALSE),"")</f>
        <v/>
      </c>
      <c r="V13" s="232" t="str">
        <f>IFERROR(VLOOKUP(TableHandbook[[#This Row],[UDC]],TableSTRPSCHLP[],7,FALSE),"")</f>
        <v/>
      </c>
      <c r="W13" s="232" t="str">
        <f>IFERROR(VLOOKUP(TableHandbook[[#This Row],[UDC]],TableSTRPSCHUS[],7,FALSE),"")</f>
        <v/>
      </c>
      <c r="X13" s="232" t="str">
        <f>IFERROR(VLOOKUP(TableHandbook[[#This Row],[UDC]],TableSTRPSCMAT[],7,FALSE),"")</f>
        <v/>
      </c>
      <c r="Y13" s="232" t="str">
        <f>IFERROR(VLOOKUP(TableHandbook[[#This Row],[UDC]],TableSTRPSCSCI[],7,FALSE),"")</f>
        <v/>
      </c>
      <c r="Z13" s="232" t="str">
        <f>IFERROR(VLOOKUP(TableHandbook[[#This Row],[UDC]],TableSTRPSCFON[],7,FALSE),"")</f>
        <v/>
      </c>
      <c r="AA13" s="233" t="str">
        <f>IFERROR(VLOOKUP(TableHandbook[[#This Row],[UDC]],TableGCTESOL[],7,FALSE),"")</f>
        <v/>
      </c>
      <c r="AB13" s="232" t="str">
        <f>IFERROR(VLOOKUP(TableHandbook[[#This Row],[UDC]],TableMCTESOL[],7,FALSE),"")</f>
        <v/>
      </c>
      <c r="AC13" s="232" t="str">
        <f>IFERROR(VLOOKUP(TableHandbook[[#This Row],[UDC]],TableMCAPLING[],7,FALSE),"")</f>
        <v/>
      </c>
      <c r="AD13" s="233" t="str">
        <f>IFERROR(VLOOKUP(TableHandbook[[#This Row],[UDC]],TableGCEDHE[],7,FALSE),"")</f>
        <v/>
      </c>
      <c r="AE13" s="232" t="str">
        <f>IFERROR(VLOOKUP(TableHandbook[[#This Row],[UDC]],TableGCEDUC[],7,FALSE),"")</f>
        <v/>
      </c>
      <c r="AF13" s="232" t="str">
        <f>IFERROR(VLOOKUP(TableHandbook[[#This Row],[UDC]],TableGDEDUC[],7,FALSE),"")</f>
        <v/>
      </c>
      <c r="AG13" s="232" t="str">
        <f>IFERROR(VLOOKUP(TableHandbook[[#This Row],[UDC]],TableMJRPEDUPR[],7,FALSE),"")</f>
        <v/>
      </c>
      <c r="AH13" s="232" t="str">
        <f>IFERROR(VLOOKUP(TableHandbook[[#This Row],[UDC]],TableMJRPEDUSC[],7,FALSE),"")</f>
        <v/>
      </c>
      <c r="AI13" s="233" t="str">
        <f>IFERROR(VLOOKUP(TableHandbook[[#This Row],[UDC]],TableMCEDUC[],7,FALSE),"")</f>
        <v/>
      </c>
      <c r="AJ13" s="232" t="str">
        <f>IFERROR(VLOOKUP(TableHandbook[[#This Row],[UDC]],TableSPPECULIN[],7,FALSE),"")</f>
        <v/>
      </c>
      <c r="AK13" s="232" t="str">
        <f>IFERROR(VLOOKUP(TableHandbook[[#This Row],[UDC]],TableSPPELNTCH[],7,FALSE),"")</f>
        <v/>
      </c>
      <c r="AL13" s="232" t="str">
        <f>IFERROR(VLOOKUP(TableHandbook[[#This Row],[UDC]],TableSPPESTEME[],7,FALSE),"")</f>
        <v/>
      </c>
    </row>
    <row r="14" spans="1:38" x14ac:dyDescent="0.25">
      <c r="A14" s="2" t="s">
        <v>120</v>
      </c>
      <c r="B14" s="3">
        <v>1</v>
      </c>
      <c r="C14" s="3"/>
      <c r="D14" s="2" t="s">
        <v>342</v>
      </c>
      <c r="E14" s="3">
        <v>25</v>
      </c>
      <c r="F14" s="54" t="s">
        <v>336</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31"/>
      <c r="P14" s="233" t="str">
        <f>IFERROR(VLOOKUP(TableHandbook[[#This Row],[UDC]],TableMCTEACH[],7,FALSE),"")</f>
        <v/>
      </c>
      <c r="Q14" s="232" t="str">
        <f>IFERROR(VLOOKUP(TableHandbook[[#This Row],[UDC]],TableMJRPTCHEC[],7,FALSE),"")</f>
        <v>Core</v>
      </c>
      <c r="R14" s="232" t="str">
        <f>IFERROR(VLOOKUP(TableHandbook[[#This Row],[UDC]],TableMJRPTCHPR[],7,FALSE),"")</f>
        <v/>
      </c>
      <c r="S14" s="232" t="str">
        <f>IFERROR(VLOOKUP(TableHandbook[[#This Row],[UDC]],TableMJRPTCHSC[],7,FALSE),"")</f>
        <v/>
      </c>
      <c r="T14" s="232" t="str">
        <f>IFERROR(VLOOKUP(TableHandbook[[#This Row],[UDC]],TableSTRPSCART[],7,FALSE),"")</f>
        <v/>
      </c>
      <c r="U14" s="232" t="str">
        <f>IFERROR(VLOOKUP(TableHandbook[[#This Row],[UDC]],TableSTRPSCENG[],7,FALSE),"")</f>
        <v/>
      </c>
      <c r="V14" s="232" t="str">
        <f>IFERROR(VLOOKUP(TableHandbook[[#This Row],[UDC]],TableSTRPSCHLP[],7,FALSE),"")</f>
        <v/>
      </c>
      <c r="W14" s="232" t="str">
        <f>IFERROR(VLOOKUP(TableHandbook[[#This Row],[UDC]],TableSTRPSCHUS[],7,FALSE),"")</f>
        <v/>
      </c>
      <c r="X14" s="232" t="str">
        <f>IFERROR(VLOOKUP(TableHandbook[[#This Row],[UDC]],TableSTRPSCMAT[],7,FALSE),"")</f>
        <v/>
      </c>
      <c r="Y14" s="232" t="str">
        <f>IFERROR(VLOOKUP(TableHandbook[[#This Row],[UDC]],TableSTRPSCSCI[],7,FALSE),"")</f>
        <v/>
      </c>
      <c r="Z14" s="232" t="str">
        <f>IFERROR(VLOOKUP(TableHandbook[[#This Row],[UDC]],TableSTRPSCFON[],7,FALSE),"")</f>
        <v/>
      </c>
      <c r="AA14" s="233" t="str">
        <f>IFERROR(VLOOKUP(TableHandbook[[#This Row],[UDC]],TableGCTESOL[],7,FALSE),"")</f>
        <v/>
      </c>
      <c r="AB14" s="232" t="str">
        <f>IFERROR(VLOOKUP(TableHandbook[[#This Row],[UDC]],TableMCTESOL[],7,FALSE),"")</f>
        <v/>
      </c>
      <c r="AC14" s="232" t="str">
        <f>IFERROR(VLOOKUP(TableHandbook[[#This Row],[UDC]],TableMCAPLING[],7,FALSE),"")</f>
        <v/>
      </c>
      <c r="AD14" s="233" t="str">
        <f>IFERROR(VLOOKUP(TableHandbook[[#This Row],[UDC]],TableGCEDHE[],7,FALSE),"")</f>
        <v/>
      </c>
      <c r="AE14" s="232" t="str">
        <f>IFERROR(VLOOKUP(TableHandbook[[#This Row],[UDC]],TableGCEDUC[],7,FALSE),"")</f>
        <v/>
      </c>
      <c r="AF14" s="232" t="str">
        <f>IFERROR(VLOOKUP(TableHandbook[[#This Row],[UDC]],TableGDEDUC[],7,FALSE),"")</f>
        <v/>
      </c>
      <c r="AG14" s="232" t="str">
        <f>IFERROR(VLOOKUP(TableHandbook[[#This Row],[UDC]],TableMJRPEDUPR[],7,FALSE),"")</f>
        <v/>
      </c>
      <c r="AH14" s="232" t="str">
        <f>IFERROR(VLOOKUP(TableHandbook[[#This Row],[UDC]],TableMJRPEDUSC[],7,FALSE),"")</f>
        <v/>
      </c>
      <c r="AI14" s="233" t="str">
        <f>IFERROR(VLOOKUP(TableHandbook[[#This Row],[UDC]],TableMCEDUC[],7,FALSE),"")</f>
        <v/>
      </c>
      <c r="AJ14" s="232" t="str">
        <f>IFERROR(VLOOKUP(TableHandbook[[#This Row],[UDC]],TableSPPECULIN[],7,FALSE),"")</f>
        <v/>
      </c>
      <c r="AK14" s="232" t="str">
        <f>IFERROR(VLOOKUP(TableHandbook[[#This Row],[UDC]],TableSPPELNTCH[],7,FALSE),"")</f>
        <v/>
      </c>
      <c r="AL14" s="232" t="str">
        <f>IFERROR(VLOOKUP(TableHandbook[[#This Row],[UDC]],TableSPPESTEME[],7,FALSE),"")</f>
        <v/>
      </c>
    </row>
    <row r="15" spans="1:38" x14ac:dyDescent="0.25">
      <c r="A15" s="2" t="s">
        <v>116</v>
      </c>
      <c r="B15" s="3">
        <v>1</v>
      </c>
      <c r="C15" s="3"/>
      <c r="D15" s="2" t="s">
        <v>343</v>
      </c>
      <c r="E15" s="3">
        <v>25</v>
      </c>
      <c r="F15" s="54" t="s">
        <v>336</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31"/>
      <c r="P15" s="233" t="str">
        <f>IFERROR(VLOOKUP(TableHandbook[[#This Row],[UDC]],TableMCTEACH[],7,FALSE),"")</f>
        <v/>
      </c>
      <c r="Q15" s="232" t="str">
        <f>IFERROR(VLOOKUP(TableHandbook[[#This Row],[UDC]],TableMJRPTCHEC[],7,FALSE),"")</f>
        <v>Core</v>
      </c>
      <c r="R15" s="232" t="str">
        <f>IFERROR(VLOOKUP(TableHandbook[[#This Row],[UDC]],TableMJRPTCHPR[],7,FALSE),"")</f>
        <v/>
      </c>
      <c r="S15" s="232" t="str">
        <f>IFERROR(VLOOKUP(TableHandbook[[#This Row],[UDC]],TableMJRPTCHSC[],7,FALSE),"")</f>
        <v/>
      </c>
      <c r="T15" s="232" t="str">
        <f>IFERROR(VLOOKUP(TableHandbook[[#This Row],[UDC]],TableSTRPSCART[],7,FALSE),"")</f>
        <v/>
      </c>
      <c r="U15" s="232" t="str">
        <f>IFERROR(VLOOKUP(TableHandbook[[#This Row],[UDC]],TableSTRPSCENG[],7,FALSE),"")</f>
        <v/>
      </c>
      <c r="V15" s="232" t="str">
        <f>IFERROR(VLOOKUP(TableHandbook[[#This Row],[UDC]],TableSTRPSCHLP[],7,FALSE),"")</f>
        <v/>
      </c>
      <c r="W15" s="232" t="str">
        <f>IFERROR(VLOOKUP(TableHandbook[[#This Row],[UDC]],TableSTRPSCHUS[],7,FALSE),"")</f>
        <v/>
      </c>
      <c r="X15" s="232" t="str">
        <f>IFERROR(VLOOKUP(TableHandbook[[#This Row],[UDC]],TableSTRPSCMAT[],7,FALSE),"")</f>
        <v/>
      </c>
      <c r="Y15" s="232" t="str">
        <f>IFERROR(VLOOKUP(TableHandbook[[#This Row],[UDC]],TableSTRPSCSCI[],7,FALSE),"")</f>
        <v/>
      </c>
      <c r="Z15" s="232" t="str">
        <f>IFERROR(VLOOKUP(TableHandbook[[#This Row],[UDC]],TableSTRPSCFON[],7,FALSE),"")</f>
        <v/>
      </c>
      <c r="AA15" s="233" t="str">
        <f>IFERROR(VLOOKUP(TableHandbook[[#This Row],[UDC]],TableGCTESOL[],7,FALSE),"")</f>
        <v/>
      </c>
      <c r="AB15" s="232" t="str">
        <f>IFERROR(VLOOKUP(TableHandbook[[#This Row],[UDC]],TableMCTESOL[],7,FALSE),"")</f>
        <v/>
      </c>
      <c r="AC15" s="232" t="str">
        <f>IFERROR(VLOOKUP(TableHandbook[[#This Row],[UDC]],TableMCAPLING[],7,FALSE),"")</f>
        <v/>
      </c>
      <c r="AD15" s="233" t="str">
        <f>IFERROR(VLOOKUP(TableHandbook[[#This Row],[UDC]],TableGCEDHE[],7,FALSE),"")</f>
        <v/>
      </c>
      <c r="AE15" s="232" t="str">
        <f>IFERROR(VLOOKUP(TableHandbook[[#This Row],[UDC]],TableGCEDUC[],7,FALSE),"")</f>
        <v/>
      </c>
      <c r="AF15" s="232" t="str">
        <f>IFERROR(VLOOKUP(TableHandbook[[#This Row],[UDC]],TableGDEDUC[],7,FALSE),"")</f>
        <v/>
      </c>
      <c r="AG15" s="232" t="str">
        <f>IFERROR(VLOOKUP(TableHandbook[[#This Row],[UDC]],TableMJRPEDUPR[],7,FALSE),"")</f>
        <v/>
      </c>
      <c r="AH15" s="232" t="str">
        <f>IFERROR(VLOOKUP(TableHandbook[[#This Row],[UDC]],TableMJRPEDUSC[],7,FALSE),"")</f>
        <v/>
      </c>
      <c r="AI15" s="233" t="str">
        <f>IFERROR(VLOOKUP(TableHandbook[[#This Row],[UDC]],TableMCEDUC[],7,FALSE),"")</f>
        <v/>
      </c>
      <c r="AJ15" s="232" t="str">
        <f>IFERROR(VLOOKUP(TableHandbook[[#This Row],[UDC]],TableSPPECULIN[],7,FALSE),"")</f>
        <v/>
      </c>
      <c r="AK15" s="232" t="str">
        <f>IFERROR(VLOOKUP(TableHandbook[[#This Row],[UDC]],TableSPPELNTCH[],7,FALSE),"")</f>
        <v/>
      </c>
      <c r="AL15" s="232" t="str">
        <f>IFERROR(VLOOKUP(TableHandbook[[#This Row],[UDC]],TableSPPESTEME[],7,FALSE),"")</f>
        <v/>
      </c>
    </row>
    <row r="16" spans="1:38" x14ac:dyDescent="0.25">
      <c r="A16" s="262" t="s">
        <v>344</v>
      </c>
      <c r="B16" s="3">
        <v>1</v>
      </c>
      <c r="C16" s="3"/>
      <c r="D16" s="2" t="s">
        <v>345</v>
      </c>
      <c r="E16" s="3">
        <v>25</v>
      </c>
      <c r="F16" s="54" t="s">
        <v>336</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31"/>
      <c r="P16" s="233" t="str">
        <f>IFERROR(VLOOKUP(TableHandbook[[#This Row],[UDC]],TableMCTEACH[],7,FALSE),"")</f>
        <v/>
      </c>
      <c r="Q16" s="232" t="str">
        <f>IFERROR(VLOOKUP(TableHandbook[[#This Row],[UDC]],TableMJRPTCHEC[],7,FALSE),"")</f>
        <v/>
      </c>
      <c r="R16" s="232" t="str">
        <f>IFERROR(VLOOKUP(TableHandbook[[#This Row],[UDC]],TableMJRPTCHPR[],7,FALSE),"")</f>
        <v/>
      </c>
      <c r="S16" s="232" t="str">
        <f>IFERROR(VLOOKUP(TableHandbook[[#This Row],[UDC]],TableMJRPTCHSC[],7,FALSE),"")</f>
        <v/>
      </c>
      <c r="T16" s="232" t="str">
        <f>IFERROR(VLOOKUP(TableHandbook[[#This Row],[UDC]],TableSTRPSCART[],7,FALSE),"")</f>
        <v/>
      </c>
      <c r="U16" s="232" t="str">
        <f>IFERROR(VLOOKUP(TableHandbook[[#This Row],[UDC]],TableSTRPSCENG[],7,FALSE),"")</f>
        <v/>
      </c>
      <c r="V16" s="232" t="str">
        <f>IFERROR(VLOOKUP(TableHandbook[[#This Row],[UDC]],TableSTRPSCHLP[],7,FALSE),"")</f>
        <v/>
      </c>
      <c r="W16" s="232" t="str">
        <f>IFERROR(VLOOKUP(TableHandbook[[#This Row],[UDC]],TableSTRPSCHUS[],7,FALSE),"")</f>
        <v/>
      </c>
      <c r="X16" s="232" t="str">
        <f>IFERROR(VLOOKUP(TableHandbook[[#This Row],[UDC]],TableSTRPSCMAT[],7,FALSE),"")</f>
        <v/>
      </c>
      <c r="Y16" s="232" t="str">
        <f>IFERROR(VLOOKUP(TableHandbook[[#This Row],[UDC]],TableSTRPSCSCI[],7,FALSE),"")</f>
        <v/>
      </c>
      <c r="Z16" s="232" t="str">
        <f>IFERROR(VLOOKUP(TableHandbook[[#This Row],[UDC]],TableSTRPSCFON[],7,FALSE),"")</f>
        <v/>
      </c>
      <c r="AA16" s="233" t="str">
        <f>IFERROR(VLOOKUP(TableHandbook[[#This Row],[UDC]],TableGCTESOL[],7,FALSE),"")</f>
        <v/>
      </c>
      <c r="AB16" s="232" t="str">
        <f>IFERROR(VLOOKUP(TableHandbook[[#This Row],[UDC]],TableMCTESOL[],7,FALSE),"")</f>
        <v/>
      </c>
      <c r="AC16" s="232" t="str">
        <f>IFERROR(VLOOKUP(TableHandbook[[#This Row],[UDC]],TableMCAPLING[],7,FALSE),"")</f>
        <v/>
      </c>
      <c r="AD16" s="233" t="str">
        <f>IFERROR(VLOOKUP(TableHandbook[[#This Row],[UDC]],TableGCEDHE[],7,FALSE),"")</f>
        <v>Core</v>
      </c>
      <c r="AE16" s="232" t="str">
        <f>IFERROR(VLOOKUP(TableHandbook[[#This Row],[UDC]],TableGCEDUC[],7,FALSE),"")</f>
        <v/>
      </c>
      <c r="AF16" s="232" t="str">
        <f>IFERROR(VLOOKUP(TableHandbook[[#This Row],[UDC]],TableGDEDUC[],7,FALSE),"")</f>
        <v/>
      </c>
      <c r="AG16" s="232" t="str">
        <f>IFERROR(VLOOKUP(TableHandbook[[#This Row],[UDC]],TableMJRPEDUPR[],7,FALSE),"")</f>
        <v/>
      </c>
      <c r="AH16" s="232" t="str">
        <f>IFERROR(VLOOKUP(TableHandbook[[#This Row],[UDC]],TableMJRPEDUSC[],7,FALSE),"")</f>
        <v/>
      </c>
      <c r="AI16" s="233" t="str">
        <f>IFERROR(VLOOKUP(TableHandbook[[#This Row],[UDC]],TableMCEDUC[],7,FALSE),"")</f>
        <v/>
      </c>
      <c r="AJ16" s="232" t="str">
        <f>IFERROR(VLOOKUP(TableHandbook[[#This Row],[UDC]],TableSPPECULIN[],7,FALSE),"")</f>
        <v/>
      </c>
      <c r="AK16" s="232" t="str">
        <f>IFERROR(VLOOKUP(TableHandbook[[#This Row],[UDC]],TableSPPELNTCH[],7,FALSE),"")</f>
        <v/>
      </c>
      <c r="AL16" s="232" t="str">
        <f>IFERROR(VLOOKUP(TableHandbook[[#This Row],[UDC]],TableSPPESTEME[],7,FALSE),"")</f>
        <v/>
      </c>
    </row>
    <row r="17" spans="1:38" x14ac:dyDescent="0.25">
      <c r="A17" s="262" t="s">
        <v>346</v>
      </c>
      <c r="B17" s="3">
        <v>1</v>
      </c>
      <c r="C17" s="3"/>
      <c r="D17" s="2" t="s">
        <v>347</v>
      </c>
      <c r="E17" s="3">
        <v>25</v>
      </c>
      <c r="F17" s="54" t="s">
        <v>336</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31"/>
      <c r="P17" s="233" t="str">
        <f>IFERROR(VLOOKUP(TableHandbook[[#This Row],[UDC]],TableMCTEACH[],7,FALSE),"")</f>
        <v/>
      </c>
      <c r="Q17" s="232" t="str">
        <f>IFERROR(VLOOKUP(TableHandbook[[#This Row],[UDC]],TableMJRPTCHEC[],7,FALSE),"")</f>
        <v/>
      </c>
      <c r="R17" s="232" t="str">
        <f>IFERROR(VLOOKUP(TableHandbook[[#This Row],[UDC]],TableMJRPTCHPR[],7,FALSE),"")</f>
        <v/>
      </c>
      <c r="S17" s="232" t="str">
        <f>IFERROR(VLOOKUP(TableHandbook[[#This Row],[UDC]],TableMJRPTCHSC[],7,FALSE),"")</f>
        <v/>
      </c>
      <c r="T17" s="232" t="str">
        <f>IFERROR(VLOOKUP(TableHandbook[[#This Row],[UDC]],TableSTRPSCART[],7,FALSE),"")</f>
        <v/>
      </c>
      <c r="U17" s="232" t="str">
        <f>IFERROR(VLOOKUP(TableHandbook[[#This Row],[UDC]],TableSTRPSCENG[],7,FALSE),"")</f>
        <v/>
      </c>
      <c r="V17" s="232" t="str">
        <f>IFERROR(VLOOKUP(TableHandbook[[#This Row],[UDC]],TableSTRPSCHLP[],7,FALSE),"")</f>
        <v/>
      </c>
      <c r="W17" s="232" t="str">
        <f>IFERROR(VLOOKUP(TableHandbook[[#This Row],[UDC]],TableSTRPSCHUS[],7,FALSE),"")</f>
        <v/>
      </c>
      <c r="X17" s="232" t="str">
        <f>IFERROR(VLOOKUP(TableHandbook[[#This Row],[UDC]],TableSTRPSCMAT[],7,FALSE),"")</f>
        <v/>
      </c>
      <c r="Y17" s="232" t="str">
        <f>IFERROR(VLOOKUP(TableHandbook[[#This Row],[UDC]],TableSTRPSCSCI[],7,FALSE),"")</f>
        <v/>
      </c>
      <c r="Z17" s="232" t="str">
        <f>IFERROR(VLOOKUP(TableHandbook[[#This Row],[UDC]],TableSTRPSCFON[],7,FALSE),"")</f>
        <v/>
      </c>
      <c r="AA17" s="233" t="str">
        <f>IFERROR(VLOOKUP(TableHandbook[[#This Row],[UDC]],TableGCTESOL[],7,FALSE),"")</f>
        <v/>
      </c>
      <c r="AB17" s="232" t="str">
        <f>IFERROR(VLOOKUP(TableHandbook[[#This Row],[UDC]],TableMCTESOL[],7,FALSE),"")</f>
        <v/>
      </c>
      <c r="AC17" s="232" t="str">
        <f>IFERROR(VLOOKUP(TableHandbook[[#This Row],[UDC]],TableMCAPLING[],7,FALSE),"")</f>
        <v/>
      </c>
      <c r="AD17" s="233" t="str">
        <f>IFERROR(VLOOKUP(TableHandbook[[#This Row],[UDC]],TableGCEDHE[],7,FALSE),"")</f>
        <v>Core</v>
      </c>
      <c r="AE17" s="232" t="str">
        <f>IFERROR(VLOOKUP(TableHandbook[[#This Row],[UDC]],TableGCEDUC[],7,FALSE),"")</f>
        <v/>
      </c>
      <c r="AF17" s="232" t="str">
        <f>IFERROR(VLOOKUP(TableHandbook[[#This Row],[UDC]],TableGDEDUC[],7,FALSE),"")</f>
        <v/>
      </c>
      <c r="AG17" s="232" t="str">
        <f>IFERROR(VLOOKUP(TableHandbook[[#This Row],[UDC]],TableMJRPEDUPR[],7,FALSE),"")</f>
        <v/>
      </c>
      <c r="AH17" s="232" t="str">
        <f>IFERROR(VLOOKUP(TableHandbook[[#This Row],[UDC]],TableMJRPEDUSC[],7,FALSE),"")</f>
        <v/>
      </c>
      <c r="AI17" s="233" t="str">
        <f>IFERROR(VLOOKUP(TableHandbook[[#This Row],[UDC]],TableMCEDUC[],7,FALSE),"")</f>
        <v/>
      </c>
      <c r="AJ17" s="232" t="str">
        <f>IFERROR(VLOOKUP(TableHandbook[[#This Row],[UDC]],TableSPPECULIN[],7,FALSE),"")</f>
        <v/>
      </c>
      <c r="AK17" s="232" t="str">
        <f>IFERROR(VLOOKUP(TableHandbook[[#This Row],[UDC]],TableSPPELNTCH[],7,FALSE),"")</f>
        <v/>
      </c>
      <c r="AL17" s="232" t="str">
        <f>IFERROR(VLOOKUP(TableHandbook[[#This Row],[UDC]],TableSPPESTEME[],7,FALSE),"")</f>
        <v/>
      </c>
    </row>
    <row r="18" spans="1:38" x14ac:dyDescent="0.25">
      <c r="A18" s="262" t="s">
        <v>348</v>
      </c>
      <c r="B18" s="3">
        <v>1</v>
      </c>
      <c r="C18" s="3"/>
      <c r="D18" s="2" t="s">
        <v>349</v>
      </c>
      <c r="E18" s="3">
        <v>25</v>
      </c>
      <c r="F18" s="54" t="s">
        <v>336</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31"/>
      <c r="P18" s="233" t="str">
        <f>IFERROR(VLOOKUP(TableHandbook[[#This Row],[UDC]],TableMCTEACH[],7,FALSE),"")</f>
        <v/>
      </c>
      <c r="Q18" s="232" t="str">
        <f>IFERROR(VLOOKUP(TableHandbook[[#This Row],[UDC]],TableMJRPTCHEC[],7,FALSE),"")</f>
        <v/>
      </c>
      <c r="R18" s="232" t="str">
        <f>IFERROR(VLOOKUP(TableHandbook[[#This Row],[UDC]],TableMJRPTCHPR[],7,FALSE),"")</f>
        <v/>
      </c>
      <c r="S18" s="232" t="str">
        <f>IFERROR(VLOOKUP(TableHandbook[[#This Row],[UDC]],TableMJRPTCHSC[],7,FALSE),"")</f>
        <v/>
      </c>
      <c r="T18" s="232" t="str">
        <f>IFERROR(VLOOKUP(TableHandbook[[#This Row],[UDC]],TableSTRPSCART[],7,FALSE),"")</f>
        <v/>
      </c>
      <c r="U18" s="232" t="str">
        <f>IFERROR(VLOOKUP(TableHandbook[[#This Row],[UDC]],TableSTRPSCENG[],7,FALSE),"")</f>
        <v/>
      </c>
      <c r="V18" s="232" t="str">
        <f>IFERROR(VLOOKUP(TableHandbook[[#This Row],[UDC]],TableSTRPSCHLP[],7,FALSE),"")</f>
        <v/>
      </c>
      <c r="W18" s="232" t="str">
        <f>IFERROR(VLOOKUP(TableHandbook[[#This Row],[UDC]],TableSTRPSCHUS[],7,FALSE),"")</f>
        <v/>
      </c>
      <c r="X18" s="232" t="str">
        <f>IFERROR(VLOOKUP(TableHandbook[[#This Row],[UDC]],TableSTRPSCMAT[],7,FALSE),"")</f>
        <v/>
      </c>
      <c r="Y18" s="232" t="str">
        <f>IFERROR(VLOOKUP(TableHandbook[[#This Row],[UDC]],TableSTRPSCSCI[],7,FALSE),"")</f>
        <v/>
      </c>
      <c r="Z18" s="232" t="str">
        <f>IFERROR(VLOOKUP(TableHandbook[[#This Row],[UDC]],TableSTRPSCFON[],7,FALSE),"")</f>
        <v/>
      </c>
      <c r="AA18" s="233" t="str">
        <f>IFERROR(VLOOKUP(TableHandbook[[#This Row],[UDC]],TableGCTESOL[],7,FALSE),"")</f>
        <v/>
      </c>
      <c r="AB18" s="232" t="str">
        <f>IFERROR(VLOOKUP(TableHandbook[[#This Row],[UDC]],TableMCTESOL[],7,FALSE),"")</f>
        <v/>
      </c>
      <c r="AC18" s="232" t="str">
        <f>IFERROR(VLOOKUP(TableHandbook[[#This Row],[UDC]],TableMCAPLING[],7,FALSE),"")</f>
        <v/>
      </c>
      <c r="AD18" s="233" t="str">
        <f>IFERROR(VLOOKUP(TableHandbook[[#This Row],[UDC]],TableGCEDHE[],7,FALSE),"")</f>
        <v>Core</v>
      </c>
      <c r="AE18" s="232" t="str">
        <f>IFERROR(VLOOKUP(TableHandbook[[#This Row],[UDC]],TableGCEDUC[],7,FALSE),"")</f>
        <v/>
      </c>
      <c r="AF18" s="232" t="str">
        <f>IFERROR(VLOOKUP(TableHandbook[[#This Row],[UDC]],TableGDEDUC[],7,FALSE),"")</f>
        <v/>
      </c>
      <c r="AG18" s="232" t="str">
        <f>IFERROR(VLOOKUP(TableHandbook[[#This Row],[UDC]],TableMJRPEDUPR[],7,FALSE),"")</f>
        <v/>
      </c>
      <c r="AH18" s="232" t="str">
        <f>IFERROR(VLOOKUP(TableHandbook[[#This Row],[UDC]],TableMJRPEDUSC[],7,FALSE),"")</f>
        <v/>
      </c>
      <c r="AI18" s="233" t="str">
        <f>IFERROR(VLOOKUP(TableHandbook[[#This Row],[UDC]],TableMCEDUC[],7,FALSE),"")</f>
        <v/>
      </c>
      <c r="AJ18" s="232" t="str">
        <f>IFERROR(VLOOKUP(TableHandbook[[#This Row],[UDC]],TableSPPECULIN[],7,FALSE),"")</f>
        <v/>
      </c>
      <c r="AK18" s="232" t="str">
        <f>IFERROR(VLOOKUP(TableHandbook[[#This Row],[UDC]],TableSPPELNTCH[],7,FALSE),"")</f>
        <v/>
      </c>
      <c r="AL18" s="232" t="str">
        <f>IFERROR(VLOOKUP(TableHandbook[[#This Row],[UDC]],TableSPPESTEME[],7,FALSE),"")</f>
        <v/>
      </c>
    </row>
    <row r="19" spans="1:38" x14ac:dyDescent="0.25">
      <c r="A19" s="262" t="s">
        <v>350</v>
      </c>
      <c r="B19" s="3">
        <v>1</v>
      </c>
      <c r="C19" s="3"/>
      <c r="D19" s="2" t="s">
        <v>351</v>
      </c>
      <c r="E19" s="3">
        <v>25</v>
      </c>
      <c r="F19" s="54" t="s">
        <v>336</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31"/>
      <c r="P19" s="233" t="str">
        <f>IFERROR(VLOOKUP(TableHandbook[[#This Row],[UDC]],TableMCTEACH[],7,FALSE),"")</f>
        <v/>
      </c>
      <c r="Q19" s="232" t="str">
        <f>IFERROR(VLOOKUP(TableHandbook[[#This Row],[UDC]],TableMJRPTCHEC[],7,FALSE),"")</f>
        <v/>
      </c>
      <c r="R19" s="232" t="str">
        <f>IFERROR(VLOOKUP(TableHandbook[[#This Row],[UDC]],TableMJRPTCHPR[],7,FALSE),"")</f>
        <v/>
      </c>
      <c r="S19" s="232" t="str">
        <f>IFERROR(VLOOKUP(TableHandbook[[#This Row],[UDC]],TableMJRPTCHSC[],7,FALSE),"")</f>
        <v/>
      </c>
      <c r="T19" s="232" t="str">
        <f>IFERROR(VLOOKUP(TableHandbook[[#This Row],[UDC]],TableSTRPSCART[],7,FALSE),"")</f>
        <v/>
      </c>
      <c r="U19" s="232" t="str">
        <f>IFERROR(VLOOKUP(TableHandbook[[#This Row],[UDC]],TableSTRPSCENG[],7,FALSE),"")</f>
        <v/>
      </c>
      <c r="V19" s="232" t="str">
        <f>IFERROR(VLOOKUP(TableHandbook[[#This Row],[UDC]],TableSTRPSCHLP[],7,FALSE),"")</f>
        <v/>
      </c>
      <c r="W19" s="232" t="str">
        <f>IFERROR(VLOOKUP(TableHandbook[[#This Row],[UDC]],TableSTRPSCHUS[],7,FALSE),"")</f>
        <v/>
      </c>
      <c r="X19" s="232" t="str">
        <f>IFERROR(VLOOKUP(TableHandbook[[#This Row],[UDC]],TableSTRPSCMAT[],7,FALSE),"")</f>
        <v/>
      </c>
      <c r="Y19" s="232" t="str">
        <f>IFERROR(VLOOKUP(TableHandbook[[#This Row],[UDC]],TableSTRPSCSCI[],7,FALSE),"")</f>
        <v/>
      </c>
      <c r="Z19" s="232" t="str">
        <f>IFERROR(VLOOKUP(TableHandbook[[#This Row],[UDC]],TableSTRPSCFON[],7,FALSE),"")</f>
        <v/>
      </c>
      <c r="AA19" s="233" t="str">
        <f>IFERROR(VLOOKUP(TableHandbook[[#This Row],[UDC]],TableGCTESOL[],7,FALSE),"")</f>
        <v/>
      </c>
      <c r="AB19" s="232" t="str">
        <f>IFERROR(VLOOKUP(TableHandbook[[#This Row],[UDC]],TableMCTESOL[],7,FALSE),"")</f>
        <v/>
      </c>
      <c r="AC19" s="232" t="str">
        <f>IFERROR(VLOOKUP(TableHandbook[[#This Row],[UDC]],TableMCAPLING[],7,FALSE),"")</f>
        <v/>
      </c>
      <c r="AD19" s="233" t="str">
        <f>IFERROR(VLOOKUP(TableHandbook[[#This Row],[UDC]],TableGCEDHE[],7,FALSE),"")</f>
        <v>Core</v>
      </c>
      <c r="AE19" s="232" t="str">
        <f>IFERROR(VLOOKUP(TableHandbook[[#This Row],[UDC]],TableGCEDUC[],7,FALSE),"")</f>
        <v/>
      </c>
      <c r="AF19" s="232" t="str">
        <f>IFERROR(VLOOKUP(TableHandbook[[#This Row],[UDC]],TableGDEDUC[],7,FALSE),"")</f>
        <v/>
      </c>
      <c r="AG19" s="232" t="str">
        <f>IFERROR(VLOOKUP(TableHandbook[[#This Row],[UDC]],TableMJRPEDUPR[],7,FALSE),"")</f>
        <v/>
      </c>
      <c r="AH19" s="232" t="str">
        <f>IFERROR(VLOOKUP(TableHandbook[[#This Row],[UDC]],TableMJRPEDUSC[],7,FALSE),"")</f>
        <v/>
      </c>
      <c r="AI19" s="233" t="str">
        <f>IFERROR(VLOOKUP(TableHandbook[[#This Row],[UDC]],TableMCEDUC[],7,FALSE),"")</f>
        <v/>
      </c>
      <c r="AJ19" s="232" t="str">
        <f>IFERROR(VLOOKUP(TableHandbook[[#This Row],[UDC]],TableSPPECULIN[],7,FALSE),"")</f>
        <v/>
      </c>
      <c r="AK19" s="232" t="str">
        <f>IFERROR(VLOOKUP(TableHandbook[[#This Row],[UDC]],TableSPPELNTCH[],7,FALSE),"")</f>
        <v/>
      </c>
      <c r="AL19" s="232" t="str">
        <f>IFERROR(VLOOKUP(TableHandbook[[#This Row],[UDC]],TableSPPESTEME[],7,FALSE),"")</f>
        <v/>
      </c>
    </row>
    <row r="20" spans="1:38" x14ac:dyDescent="0.25">
      <c r="A20" s="2" t="s">
        <v>91</v>
      </c>
      <c r="B20" s="3">
        <v>2</v>
      </c>
      <c r="C20" s="3"/>
      <c r="D20" s="2" t="s">
        <v>352</v>
      </c>
      <c r="E20" s="3">
        <v>25</v>
      </c>
      <c r="F20" s="54" t="s">
        <v>336</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31"/>
      <c r="P20" s="233" t="str">
        <f>IFERROR(VLOOKUP(TableHandbook[[#This Row],[UDC]],TableMCTEACH[],7,FALSE),"")</f>
        <v/>
      </c>
      <c r="Q20" s="232" t="str">
        <f>IFERROR(VLOOKUP(TableHandbook[[#This Row],[UDC]],TableMJRPTCHEC[],7,FALSE),"")</f>
        <v/>
      </c>
      <c r="R20" s="232" t="str">
        <f>IFERROR(VLOOKUP(TableHandbook[[#This Row],[UDC]],TableMJRPTCHPR[],7,FALSE),"")</f>
        <v>Core</v>
      </c>
      <c r="S20" s="232" t="str">
        <f>IFERROR(VLOOKUP(TableHandbook[[#This Row],[UDC]],TableMJRPTCHSC[],7,FALSE),"")</f>
        <v/>
      </c>
      <c r="T20" s="232" t="str">
        <f>IFERROR(VLOOKUP(TableHandbook[[#This Row],[UDC]],TableSTRPSCART[],7,FALSE),"")</f>
        <v/>
      </c>
      <c r="U20" s="232" t="str">
        <f>IFERROR(VLOOKUP(TableHandbook[[#This Row],[UDC]],TableSTRPSCENG[],7,FALSE),"")</f>
        <v/>
      </c>
      <c r="V20" s="232" t="str">
        <f>IFERROR(VLOOKUP(TableHandbook[[#This Row],[UDC]],TableSTRPSCHLP[],7,FALSE),"")</f>
        <v/>
      </c>
      <c r="W20" s="232" t="str">
        <f>IFERROR(VLOOKUP(TableHandbook[[#This Row],[UDC]],TableSTRPSCHUS[],7,FALSE),"")</f>
        <v/>
      </c>
      <c r="X20" s="232" t="str">
        <f>IFERROR(VLOOKUP(TableHandbook[[#This Row],[UDC]],TableSTRPSCMAT[],7,FALSE),"")</f>
        <v/>
      </c>
      <c r="Y20" s="232" t="str">
        <f>IFERROR(VLOOKUP(TableHandbook[[#This Row],[UDC]],TableSTRPSCSCI[],7,FALSE),"")</f>
        <v/>
      </c>
      <c r="Z20" s="232" t="str">
        <f>IFERROR(VLOOKUP(TableHandbook[[#This Row],[UDC]],TableSTRPSCFON[],7,FALSE),"")</f>
        <v/>
      </c>
      <c r="AA20" s="233" t="str">
        <f>IFERROR(VLOOKUP(TableHandbook[[#This Row],[UDC]],TableGCTESOL[],7,FALSE),"")</f>
        <v/>
      </c>
      <c r="AB20" s="232" t="str">
        <f>IFERROR(VLOOKUP(TableHandbook[[#This Row],[UDC]],TableMCTESOL[],7,FALSE),"")</f>
        <v/>
      </c>
      <c r="AC20" s="232" t="str">
        <f>IFERROR(VLOOKUP(TableHandbook[[#This Row],[UDC]],TableMCAPLING[],7,FALSE),"")</f>
        <v/>
      </c>
      <c r="AD20" s="233" t="str">
        <f>IFERROR(VLOOKUP(TableHandbook[[#This Row],[UDC]],TableGCEDHE[],7,FALSE),"")</f>
        <v/>
      </c>
      <c r="AE20" s="232" t="str">
        <f>IFERROR(VLOOKUP(TableHandbook[[#This Row],[UDC]],TableGCEDUC[],7,FALSE),"")</f>
        <v/>
      </c>
      <c r="AF20" s="232" t="str">
        <f>IFERROR(VLOOKUP(TableHandbook[[#This Row],[UDC]],TableGDEDUC[],7,FALSE),"")</f>
        <v/>
      </c>
      <c r="AG20" s="232" t="str">
        <f>IFERROR(VLOOKUP(TableHandbook[[#This Row],[UDC]],TableMJRPEDUPR[],7,FALSE),"")</f>
        <v>Core</v>
      </c>
      <c r="AH20" s="232" t="str">
        <f>IFERROR(VLOOKUP(TableHandbook[[#This Row],[UDC]],TableMJRPEDUSC[],7,FALSE),"")</f>
        <v/>
      </c>
      <c r="AI20" s="233" t="str">
        <f>IFERROR(VLOOKUP(TableHandbook[[#This Row],[UDC]],TableMCEDUC[],7,FALSE),"")</f>
        <v/>
      </c>
      <c r="AJ20" s="232" t="str">
        <f>IFERROR(VLOOKUP(TableHandbook[[#This Row],[UDC]],TableSPPECULIN[],7,FALSE),"")</f>
        <v/>
      </c>
      <c r="AK20" s="232" t="str">
        <f>IFERROR(VLOOKUP(TableHandbook[[#This Row],[UDC]],TableSPPELNTCH[],7,FALSE),"")</f>
        <v/>
      </c>
      <c r="AL20" s="232" t="str">
        <f>IFERROR(VLOOKUP(TableHandbook[[#This Row],[UDC]],TableSPPESTEME[],7,FALSE),"")</f>
        <v/>
      </c>
    </row>
    <row r="21" spans="1:38" x14ac:dyDescent="0.25">
      <c r="A21" s="2" t="s">
        <v>101</v>
      </c>
      <c r="B21" s="3">
        <v>1</v>
      </c>
      <c r="C21" s="3"/>
      <c r="D21" s="2" t="s">
        <v>353</v>
      </c>
      <c r="E21" s="3">
        <v>25</v>
      </c>
      <c r="F21" s="270" t="s">
        <v>91</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31"/>
      <c r="P21" s="233" t="str">
        <f>IFERROR(VLOOKUP(TableHandbook[[#This Row],[UDC]],TableMCTEACH[],7,FALSE),"")</f>
        <v/>
      </c>
      <c r="Q21" s="232" t="str">
        <f>IFERROR(VLOOKUP(TableHandbook[[#This Row],[UDC]],TableMJRPTCHEC[],7,FALSE),"")</f>
        <v/>
      </c>
      <c r="R21" s="232" t="str">
        <f>IFERROR(VLOOKUP(TableHandbook[[#This Row],[UDC]],TableMJRPTCHPR[],7,FALSE),"")</f>
        <v>Core</v>
      </c>
      <c r="S21" s="232" t="str">
        <f>IFERROR(VLOOKUP(TableHandbook[[#This Row],[UDC]],TableMJRPTCHSC[],7,FALSE),"")</f>
        <v/>
      </c>
      <c r="T21" s="232" t="str">
        <f>IFERROR(VLOOKUP(TableHandbook[[#This Row],[UDC]],TableSTRPSCART[],7,FALSE),"")</f>
        <v/>
      </c>
      <c r="U21" s="232" t="str">
        <f>IFERROR(VLOOKUP(TableHandbook[[#This Row],[UDC]],TableSTRPSCENG[],7,FALSE),"")</f>
        <v/>
      </c>
      <c r="V21" s="232" t="str">
        <f>IFERROR(VLOOKUP(TableHandbook[[#This Row],[UDC]],TableSTRPSCHLP[],7,FALSE),"")</f>
        <v/>
      </c>
      <c r="W21" s="232" t="str">
        <f>IFERROR(VLOOKUP(TableHandbook[[#This Row],[UDC]],TableSTRPSCHUS[],7,FALSE),"")</f>
        <v/>
      </c>
      <c r="X21" s="232" t="str">
        <f>IFERROR(VLOOKUP(TableHandbook[[#This Row],[UDC]],TableSTRPSCMAT[],7,FALSE),"")</f>
        <v/>
      </c>
      <c r="Y21" s="232" t="str">
        <f>IFERROR(VLOOKUP(TableHandbook[[#This Row],[UDC]],TableSTRPSCSCI[],7,FALSE),"")</f>
        <v/>
      </c>
      <c r="Z21" s="232" t="str">
        <f>IFERROR(VLOOKUP(TableHandbook[[#This Row],[UDC]],TableSTRPSCFON[],7,FALSE),"")</f>
        <v/>
      </c>
      <c r="AA21" s="233" t="str">
        <f>IFERROR(VLOOKUP(TableHandbook[[#This Row],[UDC]],TableGCTESOL[],7,FALSE),"")</f>
        <v/>
      </c>
      <c r="AB21" s="232" t="str">
        <f>IFERROR(VLOOKUP(TableHandbook[[#This Row],[UDC]],TableMCTESOL[],7,FALSE),"")</f>
        <v/>
      </c>
      <c r="AC21" s="232" t="str">
        <f>IFERROR(VLOOKUP(TableHandbook[[#This Row],[UDC]],TableMCAPLING[],7,FALSE),"")</f>
        <v/>
      </c>
      <c r="AD21" s="233" t="str">
        <f>IFERROR(VLOOKUP(TableHandbook[[#This Row],[UDC]],TableGCEDHE[],7,FALSE),"")</f>
        <v/>
      </c>
      <c r="AE21" s="232" t="str">
        <f>IFERROR(VLOOKUP(TableHandbook[[#This Row],[UDC]],TableGCEDUC[],7,FALSE),"")</f>
        <v/>
      </c>
      <c r="AF21" s="232" t="str">
        <f>IFERROR(VLOOKUP(TableHandbook[[#This Row],[UDC]],TableGDEDUC[],7,FALSE),"")</f>
        <v/>
      </c>
      <c r="AG21" s="232" t="str">
        <f>IFERROR(VLOOKUP(TableHandbook[[#This Row],[UDC]],TableMJRPEDUPR[],7,FALSE),"")</f>
        <v>Core</v>
      </c>
      <c r="AH21" s="232" t="str">
        <f>IFERROR(VLOOKUP(TableHandbook[[#This Row],[UDC]],TableMJRPEDUSC[],7,FALSE),"")</f>
        <v/>
      </c>
      <c r="AI21" s="233" t="str">
        <f>IFERROR(VLOOKUP(TableHandbook[[#This Row],[UDC]],TableMCEDUC[],7,FALSE),"")</f>
        <v/>
      </c>
      <c r="AJ21" s="232" t="str">
        <f>IFERROR(VLOOKUP(TableHandbook[[#This Row],[UDC]],TableSPPECULIN[],7,FALSE),"")</f>
        <v/>
      </c>
      <c r="AK21" s="232" t="str">
        <f>IFERROR(VLOOKUP(TableHandbook[[#This Row],[UDC]],TableSPPELNTCH[],7,FALSE),"")</f>
        <v/>
      </c>
      <c r="AL21" s="232" t="str">
        <f>IFERROR(VLOOKUP(TableHandbook[[#This Row],[UDC]],TableSPPESTEME[],7,FALSE),"")</f>
        <v/>
      </c>
    </row>
    <row r="22" spans="1:38" x14ac:dyDescent="0.25">
      <c r="A22" s="2" t="s">
        <v>87</v>
      </c>
      <c r="B22" s="3">
        <v>1</v>
      </c>
      <c r="C22" s="3"/>
      <c r="D22" s="2" t="s">
        <v>354</v>
      </c>
      <c r="E22" s="3">
        <v>25</v>
      </c>
      <c r="F22" s="54" t="s">
        <v>336</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31" t="s">
        <v>355</v>
      </c>
      <c r="P22" s="233" t="str">
        <f>IFERROR(VLOOKUP(TableHandbook[[#This Row],[UDC]],TableMCTEACH[],7,FALSE),"")</f>
        <v/>
      </c>
      <c r="Q22" s="232" t="str">
        <f>IFERROR(VLOOKUP(TableHandbook[[#This Row],[UDC]],TableMJRPTCHEC[],7,FALSE),"")</f>
        <v/>
      </c>
      <c r="R22" s="232" t="str">
        <f>IFERROR(VLOOKUP(TableHandbook[[#This Row],[UDC]],TableMJRPTCHPR[],7,FALSE),"")</f>
        <v>Core</v>
      </c>
      <c r="S22" s="232" t="str">
        <f>IFERROR(VLOOKUP(TableHandbook[[#This Row],[UDC]],TableMJRPTCHSC[],7,FALSE),"")</f>
        <v/>
      </c>
      <c r="T22" s="232" t="str">
        <f>IFERROR(VLOOKUP(TableHandbook[[#This Row],[UDC]],TableSTRPSCART[],7,FALSE),"")</f>
        <v/>
      </c>
      <c r="U22" s="232" t="str">
        <f>IFERROR(VLOOKUP(TableHandbook[[#This Row],[UDC]],TableSTRPSCENG[],7,FALSE),"")</f>
        <v/>
      </c>
      <c r="V22" s="232" t="str">
        <f>IFERROR(VLOOKUP(TableHandbook[[#This Row],[UDC]],TableSTRPSCHLP[],7,FALSE),"")</f>
        <v/>
      </c>
      <c r="W22" s="232" t="str">
        <f>IFERROR(VLOOKUP(TableHandbook[[#This Row],[UDC]],TableSTRPSCHUS[],7,FALSE),"")</f>
        <v/>
      </c>
      <c r="X22" s="232" t="str">
        <f>IFERROR(VLOOKUP(TableHandbook[[#This Row],[UDC]],TableSTRPSCMAT[],7,FALSE),"")</f>
        <v/>
      </c>
      <c r="Y22" s="232" t="str">
        <f>IFERROR(VLOOKUP(TableHandbook[[#This Row],[UDC]],TableSTRPSCSCI[],7,FALSE),"")</f>
        <v/>
      </c>
      <c r="Z22" s="232" t="str">
        <f>IFERROR(VLOOKUP(TableHandbook[[#This Row],[UDC]],TableSTRPSCFON[],7,FALSE),"")</f>
        <v/>
      </c>
      <c r="AA22" s="233" t="str">
        <f>IFERROR(VLOOKUP(TableHandbook[[#This Row],[UDC]],TableGCTESOL[],7,FALSE),"")</f>
        <v/>
      </c>
      <c r="AB22" s="232" t="str">
        <f>IFERROR(VLOOKUP(TableHandbook[[#This Row],[UDC]],TableMCTESOL[],7,FALSE),"")</f>
        <v/>
      </c>
      <c r="AC22" s="232" t="str">
        <f>IFERROR(VLOOKUP(TableHandbook[[#This Row],[UDC]],TableMCAPLING[],7,FALSE),"")</f>
        <v/>
      </c>
      <c r="AD22" s="233" t="str">
        <f>IFERROR(VLOOKUP(TableHandbook[[#This Row],[UDC]],TableGCEDHE[],7,FALSE),"")</f>
        <v/>
      </c>
      <c r="AE22" s="232" t="str">
        <f>IFERROR(VLOOKUP(TableHandbook[[#This Row],[UDC]],TableGCEDUC[],7,FALSE),"")</f>
        <v>Option</v>
      </c>
      <c r="AF22" s="232" t="str">
        <f>IFERROR(VLOOKUP(TableHandbook[[#This Row],[UDC]],TableGDEDUC[],7,FALSE),"")</f>
        <v/>
      </c>
      <c r="AG22" s="232" t="str">
        <f>IFERROR(VLOOKUP(TableHandbook[[#This Row],[UDC]],TableMJRPEDUPR[],7,FALSE),"")</f>
        <v>Core</v>
      </c>
      <c r="AH22" s="232" t="str">
        <f>IFERROR(VLOOKUP(TableHandbook[[#This Row],[UDC]],TableMJRPEDUSC[],7,FALSE),"")</f>
        <v/>
      </c>
      <c r="AI22" s="233" t="str">
        <f>IFERROR(VLOOKUP(TableHandbook[[#This Row],[UDC]],TableMCEDUC[],7,FALSE),"")</f>
        <v/>
      </c>
      <c r="AJ22" s="232" t="str">
        <f>IFERROR(VLOOKUP(TableHandbook[[#This Row],[UDC]],TableSPPECULIN[],7,FALSE),"")</f>
        <v/>
      </c>
      <c r="AK22" s="232" t="str">
        <f>IFERROR(VLOOKUP(TableHandbook[[#This Row],[UDC]],TableSPPELNTCH[],7,FALSE),"")</f>
        <v/>
      </c>
      <c r="AL22" s="232" t="str">
        <f>IFERROR(VLOOKUP(TableHandbook[[#This Row],[UDC]],TableSPPESTEME[],7,FALSE),"")</f>
        <v/>
      </c>
    </row>
    <row r="23" spans="1:38" x14ac:dyDescent="0.25">
      <c r="A23" s="2" t="s">
        <v>108</v>
      </c>
      <c r="B23" s="3">
        <v>1</v>
      </c>
      <c r="C23" s="3"/>
      <c r="D23" s="2" t="s">
        <v>356</v>
      </c>
      <c r="E23" s="3">
        <v>25</v>
      </c>
      <c r="F23" s="54" t="s">
        <v>336</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31"/>
      <c r="P23" s="233" t="str">
        <f>IFERROR(VLOOKUP(TableHandbook[[#This Row],[UDC]],TableMCTEACH[],7,FALSE),"")</f>
        <v/>
      </c>
      <c r="Q23" s="232" t="str">
        <f>IFERROR(VLOOKUP(TableHandbook[[#This Row],[UDC]],TableMJRPTCHEC[],7,FALSE),"")</f>
        <v/>
      </c>
      <c r="R23" s="232" t="str">
        <f>IFERROR(VLOOKUP(TableHandbook[[#This Row],[UDC]],TableMJRPTCHPR[],7,FALSE),"")</f>
        <v>Core</v>
      </c>
      <c r="S23" s="232" t="str">
        <f>IFERROR(VLOOKUP(TableHandbook[[#This Row],[UDC]],TableMJRPTCHSC[],7,FALSE),"")</f>
        <v/>
      </c>
      <c r="T23" s="232" t="str">
        <f>IFERROR(VLOOKUP(TableHandbook[[#This Row],[UDC]],TableSTRPSCART[],7,FALSE),"")</f>
        <v/>
      </c>
      <c r="U23" s="232" t="str">
        <f>IFERROR(VLOOKUP(TableHandbook[[#This Row],[UDC]],TableSTRPSCENG[],7,FALSE),"")</f>
        <v/>
      </c>
      <c r="V23" s="232" t="str">
        <f>IFERROR(VLOOKUP(TableHandbook[[#This Row],[UDC]],TableSTRPSCHLP[],7,FALSE),"")</f>
        <v/>
      </c>
      <c r="W23" s="232" t="str">
        <f>IFERROR(VLOOKUP(TableHandbook[[#This Row],[UDC]],TableSTRPSCHUS[],7,FALSE),"")</f>
        <v/>
      </c>
      <c r="X23" s="232" t="str">
        <f>IFERROR(VLOOKUP(TableHandbook[[#This Row],[UDC]],TableSTRPSCMAT[],7,FALSE),"")</f>
        <v/>
      </c>
      <c r="Y23" s="232" t="str">
        <f>IFERROR(VLOOKUP(TableHandbook[[#This Row],[UDC]],TableSTRPSCSCI[],7,FALSE),"")</f>
        <v/>
      </c>
      <c r="Z23" s="232" t="str">
        <f>IFERROR(VLOOKUP(TableHandbook[[#This Row],[UDC]],TableSTRPSCFON[],7,FALSE),"")</f>
        <v/>
      </c>
      <c r="AA23" s="233" t="str">
        <f>IFERROR(VLOOKUP(TableHandbook[[#This Row],[UDC]],TableGCTESOL[],7,FALSE),"")</f>
        <v/>
      </c>
      <c r="AB23" s="232" t="str">
        <f>IFERROR(VLOOKUP(TableHandbook[[#This Row],[UDC]],TableMCTESOL[],7,FALSE),"")</f>
        <v/>
      </c>
      <c r="AC23" s="232" t="str">
        <f>IFERROR(VLOOKUP(TableHandbook[[#This Row],[UDC]],TableMCAPLING[],7,FALSE),"")</f>
        <v/>
      </c>
      <c r="AD23" s="233" t="str">
        <f>IFERROR(VLOOKUP(TableHandbook[[#This Row],[UDC]],TableGCEDHE[],7,FALSE),"")</f>
        <v/>
      </c>
      <c r="AE23" s="232" t="str">
        <f>IFERROR(VLOOKUP(TableHandbook[[#This Row],[UDC]],TableGCEDUC[],7,FALSE),"")</f>
        <v>Option</v>
      </c>
      <c r="AF23" s="232" t="str">
        <f>IFERROR(VLOOKUP(TableHandbook[[#This Row],[UDC]],TableGDEDUC[],7,FALSE),"")</f>
        <v/>
      </c>
      <c r="AG23" s="232" t="str">
        <f>IFERROR(VLOOKUP(TableHandbook[[#This Row],[UDC]],TableMJRPEDUPR[],7,FALSE),"")</f>
        <v/>
      </c>
      <c r="AH23" s="232" t="str">
        <f>IFERROR(VLOOKUP(TableHandbook[[#This Row],[UDC]],TableMJRPEDUSC[],7,FALSE),"")</f>
        <v/>
      </c>
      <c r="AI23" s="233" t="str">
        <f>IFERROR(VLOOKUP(TableHandbook[[#This Row],[UDC]],TableMCEDUC[],7,FALSE),"")</f>
        <v/>
      </c>
      <c r="AJ23" s="232" t="str">
        <f>IFERROR(VLOOKUP(TableHandbook[[#This Row],[UDC]],TableSPPECULIN[],7,FALSE),"")</f>
        <v/>
      </c>
      <c r="AK23" s="232" t="str">
        <f>IFERROR(VLOOKUP(TableHandbook[[#This Row],[UDC]],TableSPPELNTCH[],7,FALSE),"")</f>
        <v/>
      </c>
      <c r="AL23" s="232" t="str">
        <f>IFERROR(VLOOKUP(TableHandbook[[#This Row],[UDC]],TableSPPESTEME[],7,FALSE),"")</f>
        <v/>
      </c>
    </row>
    <row r="24" spans="1:38" x14ac:dyDescent="0.25">
      <c r="A24" s="2" t="s">
        <v>105</v>
      </c>
      <c r="B24" s="3">
        <v>1</v>
      </c>
      <c r="C24" s="3"/>
      <c r="D24" s="2" t="s">
        <v>357</v>
      </c>
      <c r="E24" s="3">
        <v>25</v>
      </c>
      <c r="F24" s="54" t="s">
        <v>336</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31"/>
      <c r="P24" s="233" t="str">
        <f>IFERROR(VLOOKUP(TableHandbook[[#This Row],[UDC]],TableMCTEACH[],7,FALSE),"")</f>
        <v/>
      </c>
      <c r="Q24" s="232" t="str">
        <f>IFERROR(VLOOKUP(TableHandbook[[#This Row],[UDC]],TableMJRPTCHEC[],7,FALSE),"")</f>
        <v/>
      </c>
      <c r="R24" s="232" t="str">
        <f>IFERROR(VLOOKUP(TableHandbook[[#This Row],[UDC]],TableMJRPTCHPR[],7,FALSE),"")</f>
        <v>Core</v>
      </c>
      <c r="S24" s="232" t="str">
        <f>IFERROR(VLOOKUP(TableHandbook[[#This Row],[UDC]],TableMJRPTCHSC[],7,FALSE),"")</f>
        <v/>
      </c>
      <c r="T24" s="232" t="str">
        <f>IFERROR(VLOOKUP(TableHandbook[[#This Row],[UDC]],TableSTRPSCART[],7,FALSE),"")</f>
        <v/>
      </c>
      <c r="U24" s="232" t="str">
        <f>IFERROR(VLOOKUP(TableHandbook[[#This Row],[UDC]],TableSTRPSCENG[],7,FALSE),"")</f>
        <v/>
      </c>
      <c r="V24" s="232" t="str">
        <f>IFERROR(VLOOKUP(TableHandbook[[#This Row],[UDC]],TableSTRPSCHLP[],7,FALSE),"")</f>
        <v/>
      </c>
      <c r="W24" s="232" t="str">
        <f>IFERROR(VLOOKUP(TableHandbook[[#This Row],[UDC]],TableSTRPSCHUS[],7,FALSE),"")</f>
        <v/>
      </c>
      <c r="X24" s="232" t="str">
        <f>IFERROR(VLOOKUP(TableHandbook[[#This Row],[UDC]],TableSTRPSCMAT[],7,FALSE),"")</f>
        <v/>
      </c>
      <c r="Y24" s="232" t="str">
        <f>IFERROR(VLOOKUP(TableHandbook[[#This Row],[UDC]],TableSTRPSCSCI[],7,FALSE),"")</f>
        <v/>
      </c>
      <c r="Z24" s="232" t="str">
        <f>IFERROR(VLOOKUP(TableHandbook[[#This Row],[UDC]],TableSTRPSCFON[],7,FALSE),"")</f>
        <v/>
      </c>
      <c r="AA24" s="233" t="str">
        <f>IFERROR(VLOOKUP(TableHandbook[[#This Row],[UDC]],TableGCTESOL[],7,FALSE),"")</f>
        <v/>
      </c>
      <c r="AB24" s="232" t="str">
        <f>IFERROR(VLOOKUP(TableHandbook[[#This Row],[UDC]],TableMCTESOL[],7,FALSE),"")</f>
        <v/>
      </c>
      <c r="AC24" s="232" t="str">
        <f>IFERROR(VLOOKUP(TableHandbook[[#This Row],[UDC]],TableMCAPLING[],7,FALSE),"")</f>
        <v/>
      </c>
      <c r="AD24" s="233" t="str">
        <f>IFERROR(VLOOKUP(TableHandbook[[#This Row],[UDC]],TableGCEDHE[],7,FALSE),"")</f>
        <v/>
      </c>
      <c r="AE24" s="232" t="str">
        <f>IFERROR(VLOOKUP(TableHandbook[[#This Row],[UDC]],TableGCEDUC[],7,FALSE),"")</f>
        <v>Option</v>
      </c>
      <c r="AF24" s="232" t="str">
        <f>IFERROR(VLOOKUP(TableHandbook[[#This Row],[UDC]],TableGDEDUC[],7,FALSE),"")</f>
        <v/>
      </c>
      <c r="AG24" s="232" t="str">
        <f>IFERROR(VLOOKUP(TableHandbook[[#This Row],[UDC]],TableMJRPEDUPR[],7,FALSE),"")</f>
        <v>Core</v>
      </c>
      <c r="AH24" s="232" t="str">
        <f>IFERROR(VLOOKUP(TableHandbook[[#This Row],[UDC]],TableMJRPEDUSC[],7,FALSE),"")</f>
        <v/>
      </c>
      <c r="AI24" s="233" t="str">
        <f>IFERROR(VLOOKUP(TableHandbook[[#This Row],[UDC]],TableMCEDUC[],7,FALSE),"")</f>
        <v/>
      </c>
      <c r="AJ24" s="232" t="str">
        <f>IFERROR(VLOOKUP(TableHandbook[[#This Row],[UDC]],TableSPPECULIN[],7,FALSE),"")</f>
        <v/>
      </c>
      <c r="AK24" s="232" t="str">
        <f>IFERROR(VLOOKUP(TableHandbook[[#This Row],[UDC]],TableSPPELNTCH[],7,FALSE),"")</f>
        <v/>
      </c>
      <c r="AL24" s="232" t="str">
        <f>IFERROR(VLOOKUP(TableHandbook[[#This Row],[UDC]],TableSPPESTEME[],7,FALSE),"")</f>
        <v/>
      </c>
    </row>
    <row r="25" spans="1:38" x14ac:dyDescent="0.25">
      <c r="A25" s="2" t="s">
        <v>121</v>
      </c>
      <c r="B25" s="3">
        <v>2</v>
      </c>
      <c r="C25" s="3"/>
      <c r="D25" s="2" t="s">
        <v>358</v>
      </c>
      <c r="E25" s="3">
        <v>25</v>
      </c>
      <c r="F25" s="54" t="s">
        <v>336</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31"/>
      <c r="P25" s="233" t="str">
        <f>IFERROR(VLOOKUP(TableHandbook[[#This Row],[UDC]],TableMCTEACH[],7,FALSE),"")</f>
        <v/>
      </c>
      <c r="Q25" s="232" t="str">
        <f>IFERROR(VLOOKUP(TableHandbook[[#This Row],[UDC]],TableMJRPTCHEC[],7,FALSE),"")</f>
        <v/>
      </c>
      <c r="R25" s="232" t="str">
        <f>IFERROR(VLOOKUP(TableHandbook[[#This Row],[UDC]],TableMJRPTCHPR[],7,FALSE),"")</f>
        <v>Core</v>
      </c>
      <c r="S25" s="232" t="str">
        <f>IFERROR(VLOOKUP(TableHandbook[[#This Row],[UDC]],TableMJRPTCHSC[],7,FALSE),"")</f>
        <v/>
      </c>
      <c r="T25" s="232" t="str">
        <f>IFERROR(VLOOKUP(TableHandbook[[#This Row],[UDC]],TableSTRPSCART[],7,FALSE),"")</f>
        <v/>
      </c>
      <c r="U25" s="232" t="str">
        <f>IFERROR(VLOOKUP(TableHandbook[[#This Row],[UDC]],TableSTRPSCENG[],7,FALSE),"")</f>
        <v/>
      </c>
      <c r="V25" s="232" t="str">
        <f>IFERROR(VLOOKUP(TableHandbook[[#This Row],[UDC]],TableSTRPSCHLP[],7,FALSE),"")</f>
        <v/>
      </c>
      <c r="W25" s="232" t="str">
        <f>IFERROR(VLOOKUP(TableHandbook[[#This Row],[UDC]],TableSTRPSCHUS[],7,FALSE),"")</f>
        <v/>
      </c>
      <c r="X25" s="232" t="str">
        <f>IFERROR(VLOOKUP(TableHandbook[[#This Row],[UDC]],TableSTRPSCMAT[],7,FALSE),"")</f>
        <v/>
      </c>
      <c r="Y25" s="232" t="str">
        <f>IFERROR(VLOOKUP(TableHandbook[[#This Row],[UDC]],TableSTRPSCSCI[],7,FALSE),"")</f>
        <v/>
      </c>
      <c r="Z25" s="232" t="str">
        <f>IFERROR(VLOOKUP(TableHandbook[[#This Row],[UDC]],TableSTRPSCFON[],7,FALSE),"")</f>
        <v/>
      </c>
      <c r="AA25" s="233" t="str">
        <f>IFERROR(VLOOKUP(TableHandbook[[#This Row],[UDC]],TableGCTESOL[],7,FALSE),"")</f>
        <v/>
      </c>
      <c r="AB25" s="232" t="str">
        <f>IFERROR(VLOOKUP(TableHandbook[[#This Row],[UDC]],TableMCTESOL[],7,FALSE),"")</f>
        <v/>
      </c>
      <c r="AC25" s="232" t="str">
        <f>IFERROR(VLOOKUP(TableHandbook[[#This Row],[UDC]],TableMCAPLING[],7,FALSE),"")</f>
        <v/>
      </c>
      <c r="AD25" s="233" t="str">
        <f>IFERROR(VLOOKUP(TableHandbook[[#This Row],[UDC]],TableGCEDHE[],7,FALSE),"")</f>
        <v/>
      </c>
      <c r="AE25" s="232" t="str">
        <f>IFERROR(VLOOKUP(TableHandbook[[#This Row],[UDC]],TableGCEDUC[],7,FALSE),"")</f>
        <v/>
      </c>
      <c r="AF25" s="232" t="str">
        <f>IFERROR(VLOOKUP(TableHandbook[[#This Row],[UDC]],TableGDEDUC[],7,FALSE),"")</f>
        <v/>
      </c>
      <c r="AG25" s="232" t="str">
        <f>IFERROR(VLOOKUP(TableHandbook[[#This Row],[UDC]],TableMJRPEDUPR[],7,FALSE),"")</f>
        <v/>
      </c>
      <c r="AH25" s="232" t="str">
        <f>IFERROR(VLOOKUP(TableHandbook[[#This Row],[UDC]],TableMJRPEDUSC[],7,FALSE),"")</f>
        <v/>
      </c>
      <c r="AI25" s="233" t="str">
        <f>IFERROR(VLOOKUP(TableHandbook[[#This Row],[UDC]],TableMCEDUC[],7,FALSE),"")</f>
        <v/>
      </c>
      <c r="AJ25" s="232" t="str">
        <f>IFERROR(VLOOKUP(TableHandbook[[#This Row],[UDC]],TableSPPECULIN[],7,FALSE),"")</f>
        <v/>
      </c>
      <c r="AK25" s="232" t="str">
        <f>IFERROR(VLOOKUP(TableHandbook[[#This Row],[UDC]],TableSPPELNTCH[],7,FALSE),"")</f>
        <v/>
      </c>
      <c r="AL25" s="232" t="str">
        <f>IFERROR(VLOOKUP(TableHandbook[[#This Row],[UDC]],TableSPPESTEME[],7,FALSE),"")</f>
        <v/>
      </c>
    </row>
    <row r="26" spans="1:38" x14ac:dyDescent="0.25">
      <c r="A26" s="2" t="s">
        <v>113</v>
      </c>
      <c r="B26" s="3">
        <v>1</v>
      </c>
      <c r="C26" s="3"/>
      <c r="D26" s="2" t="s">
        <v>359</v>
      </c>
      <c r="E26" s="3">
        <v>25</v>
      </c>
      <c r="F26" s="54" t="s">
        <v>336</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31"/>
      <c r="P26" s="233" t="str">
        <f>IFERROR(VLOOKUP(TableHandbook[[#This Row],[UDC]],TableMCTEACH[],7,FALSE),"")</f>
        <v/>
      </c>
      <c r="Q26" s="232" t="str">
        <f>IFERROR(VLOOKUP(TableHandbook[[#This Row],[UDC]],TableMJRPTCHEC[],7,FALSE),"")</f>
        <v/>
      </c>
      <c r="R26" s="232" t="str">
        <f>IFERROR(VLOOKUP(TableHandbook[[#This Row],[UDC]],TableMJRPTCHPR[],7,FALSE),"")</f>
        <v>Core</v>
      </c>
      <c r="S26" s="232" t="str">
        <f>IFERROR(VLOOKUP(TableHandbook[[#This Row],[UDC]],TableMJRPTCHSC[],7,FALSE),"")</f>
        <v/>
      </c>
      <c r="T26" s="232" t="str">
        <f>IFERROR(VLOOKUP(TableHandbook[[#This Row],[UDC]],TableSTRPSCART[],7,FALSE),"")</f>
        <v/>
      </c>
      <c r="U26" s="232" t="str">
        <f>IFERROR(VLOOKUP(TableHandbook[[#This Row],[UDC]],TableSTRPSCENG[],7,FALSE),"")</f>
        <v/>
      </c>
      <c r="V26" s="232" t="str">
        <f>IFERROR(VLOOKUP(TableHandbook[[#This Row],[UDC]],TableSTRPSCHLP[],7,FALSE),"")</f>
        <v/>
      </c>
      <c r="W26" s="232" t="str">
        <f>IFERROR(VLOOKUP(TableHandbook[[#This Row],[UDC]],TableSTRPSCHUS[],7,FALSE),"")</f>
        <v/>
      </c>
      <c r="X26" s="232" t="str">
        <f>IFERROR(VLOOKUP(TableHandbook[[#This Row],[UDC]],TableSTRPSCMAT[],7,FALSE),"")</f>
        <v/>
      </c>
      <c r="Y26" s="232" t="str">
        <f>IFERROR(VLOOKUP(TableHandbook[[#This Row],[UDC]],TableSTRPSCSCI[],7,FALSE),"")</f>
        <v/>
      </c>
      <c r="Z26" s="232" t="str">
        <f>IFERROR(VLOOKUP(TableHandbook[[#This Row],[UDC]],TableSTRPSCFON[],7,FALSE),"")</f>
        <v/>
      </c>
      <c r="AA26" s="233" t="str">
        <f>IFERROR(VLOOKUP(TableHandbook[[#This Row],[UDC]],TableGCTESOL[],7,FALSE),"")</f>
        <v/>
      </c>
      <c r="AB26" s="232" t="str">
        <f>IFERROR(VLOOKUP(TableHandbook[[#This Row],[UDC]],TableMCTESOL[],7,FALSE),"")</f>
        <v/>
      </c>
      <c r="AC26" s="232" t="str">
        <f>IFERROR(VLOOKUP(TableHandbook[[#This Row],[UDC]],TableMCAPLING[],7,FALSE),"")</f>
        <v/>
      </c>
      <c r="AD26" s="233" t="str">
        <f>IFERROR(VLOOKUP(TableHandbook[[#This Row],[UDC]],TableGCEDHE[],7,FALSE),"")</f>
        <v/>
      </c>
      <c r="AE26" s="232" t="str">
        <f>IFERROR(VLOOKUP(TableHandbook[[#This Row],[UDC]],TableGCEDUC[],7,FALSE),"")</f>
        <v>Option</v>
      </c>
      <c r="AF26" s="232" t="str">
        <f>IFERROR(VLOOKUP(TableHandbook[[#This Row],[UDC]],TableGDEDUC[],7,FALSE),"")</f>
        <v/>
      </c>
      <c r="AG26" s="232" t="str">
        <f>IFERROR(VLOOKUP(TableHandbook[[#This Row],[UDC]],TableMJRPEDUPR[],7,FALSE),"")</f>
        <v/>
      </c>
      <c r="AH26" s="232" t="str">
        <f>IFERROR(VLOOKUP(TableHandbook[[#This Row],[UDC]],TableMJRPEDUSC[],7,FALSE),"")</f>
        <v/>
      </c>
      <c r="AI26" s="233" t="str">
        <f>IFERROR(VLOOKUP(TableHandbook[[#This Row],[UDC]],TableMCEDUC[],7,FALSE),"")</f>
        <v/>
      </c>
      <c r="AJ26" s="232" t="str">
        <f>IFERROR(VLOOKUP(TableHandbook[[#This Row],[UDC]],TableSPPECULIN[],7,FALSE),"")</f>
        <v/>
      </c>
      <c r="AK26" s="232" t="str">
        <f>IFERROR(VLOOKUP(TableHandbook[[#This Row],[UDC]],TableSPPELNTCH[],7,FALSE),"")</f>
        <v/>
      </c>
      <c r="AL26" s="232" t="str">
        <f>IFERROR(VLOOKUP(TableHandbook[[#This Row],[UDC]],TableSPPESTEME[],7,FALSE),"")</f>
        <v/>
      </c>
    </row>
    <row r="27" spans="1:38" x14ac:dyDescent="0.25">
      <c r="A27" s="2" t="s">
        <v>118</v>
      </c>
      <c r="B27" s="3">
        <v>1</v>
      </c>
      <c r="C27" s="3"/>
      <c r="D27" s="2" t="s">
        <v>360</v>
      </c>
      <c r="E27" s="3">
        <v>25</v>
      </c>
      <c r="F27" s="270" t="s">
        <v>498</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31"/>
      <c r="P27" s="233" t="str">
        <f>IFERROR(VLOOKUP(TableHandbook[[#This Row],[UDC]],TableMCTEACH[],7,FALSE),"")</f>
        <v/>
      </c>
      <c r="Q27" s="232" t="str">
        <f>IFERROR(VLOOKUP(TableHandbook[[#This Row],[UDC]],TableMJRPTCHEC[],7,FALSE),"")</f>
        <v/>
      </c>
      <c r="R27" s="232" t="str">
        <f>IFERROR(VLOOKUP(TableHandbook[[#This Row],[UDC]],TableMJRPTCHPR[],7,FALSE),"")</f>
        <v>Core</v>
      </c>
      <c r="S27" s="232" t="str">
        <f>IFERROR(VLOOKUP(TableHandbook[[#This Row],[UDC]],TableMJRPTCHSC[],7,FALSE),"")</f>
        <v/>
      </c>
      <c r="T27" s="232" t="str">
        <f>IFERROR(VLOOKUP(TableHandbook[[#This Row],[UDC]],TableSTRPSCART[],7,FALSE),"")</f>
        <v/>
      </c>
      <c r="U27" s="232" t="str">
        <f>IFERROR(VLOOKUP(TableHandbook[[#This Row],[UDC]],TableSTRPSCENG[],7,FALSE),"")</f>
        <v/>
      </c>
      <c r="V27" s="232" t="str">
        <f>IFERROR(VLOOKUP(TableHandbook[[#This Row],[UDC]],TableSTRPSCHLP[],7,FALSE),"")</f>
        <v/>
      </c>
      <c r="W27" s="232" t="str">
        <f>IFERROR(VLOOKUP(TableHandbook[[#This Row],[UDC]],TableSTRPSCHUS[],7,FALSE),"")</f>
        <v/>
      </c>
      <c r="X27" s="232" t="str">
        <f>IFERROR(VLOOKUP(TableHandbook[[#This Row],[UDC]],TableSTRPSCMAT[],7,FALSE),"")</f>
        <v/>
      </c>
      <c r="Y27" s="232" t="str">
        <f>IFERROR(VLOOKUP(TableHandbook[[#This Row],[UDC]],TableSTRPSCSCI[],7,FALSE),"")</f>
        <v/>
      </c>
      <c r="Z27" s="232" t="str">
        <f>IFERROR(VLOOKUP(TableHandbook[[#This Row],[UDC]],TableSTRPSCFON[],7,FALSE),"")</f>
        <v/>
      </c>
      <c r="AA27" s="233" t="str">
        <f>IFERROR(VLOOKUP(TableHandbook[[#This Row],[UDC]],TableGCTESOL[],7,FALSE),"")</f>
        <v/>
      </c>
      <c r="AB27" s="232" t="str">
        <f>IFERROR(VLOOKUP(TableHandbook[[#This Row],[UDC]],TableMCTESOL[],7,FALSE),"")</f>
        <v/>
      </c>
      <c r="AC27" s="232" t="str">
        <f>IFERROR(VLOOKUP(TableHandbook[[#This Row],[UDC]],TableMCAPLING[],7,FALSE),"")</f>
        <v/>
      </c>
      <c r="AD27" s="233" t="str">
        <f>IFERROR(VLOOKUP(TableHandbook[[#This Row],[UDC]],TableGCEDHE[],7,FALSE),"")</f>
        <v/>
      </c>
      <c r="AE27" s="232" t="str">
        <f>IFERROR(VLOOKUP(TableHandbook[[#This Row],[UDC]],TableGCEDUC[],7,FALSE),"")</f>
        <v/>
      </c>
      <c r="AF27" s="232" t="str">
        <f>IFERROR(VLOOKUP(TableHandbook[[#This Row],[UDC]],TableGDEDUC[],7,FALSE),"")</f>
        <v/>
      </c>
      <c r="AG27" s="232" t="str">
        <f>IFERROR(VLOOKUP(TableHandbook[[#This Row],[UDC]],TableMJRPEDUPR[],7,FALSE),"")</f>
        <v/>
      </c>
      <c r="AH27" s="232" t="str">
        <f>IFERROR(VLOOKUP(TableHandbook[[#This Row],[UDC]],TableMJRPEDUSC[],7,FALSE),"")</f>
        <v/>
      </c>
      <c r="AI27" s="233" t="str">
        <f>IFERROR(VLOOKUP(TableHandbook[[#This Row],[UDC]],TableMCEDUC[],7,FALSE),"")</f>
        <v/>
      </c>
      <c r="AJ27" s="232" t="str">
        <f>IFERROR(VLOOKUP(TableHandbook[[#This Row],[UDC]],TableSPPECULIN[],7,FALSE),"")</f>
        <v/>
      </c>
      <c r="AK27" s="232" t="str">
        <f>IFERROR(VLOOKUP(TableHandbook[[#This Row],[UDC]],TableSPPELNTCH[],7,FALSE),"")</f>
        <v/>
      </c>
      <c r="AL27" s="232" t="str">
        <f>IFERROR(VLOOKUP(TableHandbook[[#This Row],[UDC]],TableSPPESTEME[],7,FALSE),"")</f>
        <v/>
      </c>
    </row>
    <row r="28" spans="1:38" x14ac:dyDescent="0.25">
      <c r="A28" s="2" t="s">
        <v>265</v>
      </c>
      <c r="B28" s="3">
        <v>1</v>
      </c>
      <c r="C28" s="3"/>
      <c r="D28" s="2" t="s">
        <v>361</v>
      </c>
      <c r="E28" s="3">
        <v>25</v>
      </c>
      <c r="F28" s="54" t="s">
        <v>336</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31"/>
      <c r="P28" s="233" t="str">
        <f>IFERROR(VLOOKUP(TableHandbook[[#This Row],[UDC]],TableMCTEACH[],7,FALSE),"")</f>
        <v/>
      </c>
      <c r="Q28" s="232" t="str">
        <f>IFERROR(VLOOKUP(TableHandbook[[#This Row],[UDC]],TableMJRPTCHEC[],7,FALSE),"")</f>
        <v/>
      </c>
      <c r="R28" s="232" t="str">
        <f>IFERROR(VLOOKUP(TableHandbook[[#This Row],[UDC]],TableMJRPTCHPR[],7,FALSE),"")</f>
        <v/>
      </c>
      <c r="S28" s="232" t="str">
        <f>IFERROR(VLOOKUP(TableHandbook[[#This Row],[UDC]],TableMJRPTCHSC[],7,FALSE),"")</f>
        <v>Core</v>
      </c>
      <c r="T28" s="232" t="str">
        <f>IFERROR(VLOOKUP(TableHandbook[[#This Row],[UDC]],TableSTRPSCART[],7,FALSE),"")</f>
        <v/>
      </c>
      <c r="U28" s="232" t="str">
        <f>IFERROR(VLOOKUP(TableHandbook[[#This Row],[UDC]],TableSTRPSCENG[],7,FALSE),"")</f>
        <v/>
      </c>
      <c r="V28" s="232" t="str">
        <f>IFERROR(VLOOKUP(TableHandbook[[#This Row],[UDC]],TableSTRPSCHLP[],7,FALSE),"")</f>
        <v/>
      </c>
      <c r="W28" s="232" t="str">
        <f>IFERROR(VLOOKUP(TableHandbook[[#This Row],[UDC]],TableSTRPSCHUS[],7,FALSE),"")</f>
        <v/>
      </c>
      <c r="X28" s="232" t="str">
        <f>IFERROR(VLOOKUP(TableHandbook[[#This Row],[UDC]],TableSTRPSCMAT[],7,FALSE),"")</f>
        <v/>
      </c>
      <c r="Y28" s="232" t="str">
        <f>IFERROR(VLOOKUP(TableHandbook[[#This Row],[UDC]],TableSTRPSCSCI[],7,FALSE),"")</f>
        <v/>
      </c>
      <c r="Z28" s="232" t="str">
        <f>IFERROR(VLOOKUP(TableHandbook[[#This Row],[UDC]],TableSTRPSCFON[],7,FALSE),"")</f>
        <v/>
      </c>
      <c r="AA28" s="233" t="str">
        <f>IFERROR(VLOOKUP(TableHandbook[[#This Row],[UDC]],TableGCTESOL[],7,FALSE),"")</f>
        <v/>
      </c>
      <c r="AB28" s="232" t="str">
        <f>IFERROR(VLOOKUP(TableHandbook[[#This Row],[UDC]],TableMCTESOL[],7,FALSE),"")</f>
        <v/>
      </c>
      <c r="AC28" s="232" t="str">
        <f>IFERROR(VLOOKUP(TableHandbook[[#This Row],[UDC]],TableMCAPLING[],7,FALSE),"")</f>
        <v/>
      </c>
      <c r="AD28" s="233" t="str">
        <f>IFERROR(VLOOKUP(TableHandbook[[#This Row],[UDC]],TableGCEDHE[],7,FALSE),"")</f>
        <v/>
      </c>
      <c r="AE28" s="232" t="str">
        <f>IFERROR(VLOOKUP(TableHandbook[[#This Row],[UDC]],TableGCEDUC[],7,FALSE),"")</f>
        <v/>
      </c>
      <c r="AF28" s="232" t="str">
        <f>IFERROR(VLOOKUP(TableHandbook[[#This Row],[UDC]],TableGDEDUC[],7,FALSE),"")</f>
        <v/>
      </c>
      <c r="AG28" s="232" t="str">
        <f>IFERROR(VLOOKUP(TableHandbook[[#This Row],[UDC]],TableMJRPEDUPR[],7,FALSE),"")</f>
        <v/>
      </c>
      <c r="AH28" s="232" t="str">
        <f>IFERROR(VLOOKUP(TableHandbook[[#This Row],[UDC]],TableMJRPEDUSC[],7,FALSE),"")</f>
        <v/>
      </c>
      <c r="AI28" s="233" t="str">
        <f>IFERROR(VLOOKUP(TableHandbook[[#This Row],[UDC]],TableMCEDUC[],7,FALSE),"")</f>
        <v/>
      </c>
      <c r="AJ28" s="232" t="str">
        <f>IFERROR(VLOOKUP(TableHandbook[[#This Row],[UDC]],TableSPPECULIN[],7,FALSE),"")</f>
        <v/>
      </c>
      <c r="AK28" s="232" t="str">
        <f>IFERROR(VLOOKUP(TableHandbook[[#This Row],[UDC]],TableSPPELNTCH[],7,FALSE),"")</f>
        <v/>
      </c>
      <c r="AL28" s="232" t="str">
        <f>IFERROR(VLOOKUP(TableHandbook[[#This Row],[UDC]],TableSPPESTEME[],7,FALSE),"")</f>
        <v/>
      </c>
    </row>
    <row r="29" spans="1:38" x14ac:dyDescent="0.25">
      <c r="A29" s="2" t="s">
        <v>181</v>
      </c>
      <c r="B29" s="3">
        <v>1</v>
      </c>
      <c r="C29" s="3"/>
      <c r="D29" s="2" t="s">
        <v>362</v>
      </c>
      <c r="E29" s="3">
        <v>25</v>
      </c>
      <c r="F29" s="54" t="s">
        <v>336</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31"/>
      <c r="P29" s="233" t="str">
        <f>IFERROR(VLOOKUP(TableHandbook[[#This Row],[UDC]],TableMCTEACH[],7,FALSE),"")</f>
        <v/>
      </c>
      <c r="Q29" s="232" t="str">
        <f>IFERROR(VLOOKUP(TableHandbook[[#This Row],[UDC]],TableMJRPTCHEC[],7,FALSE),"")</f>
        <v/>
      </c>
      <c r="R29" s="232" t="str">
        <f>IFERROR(VLOOKUP(TableHandbook[[#This Row],[UDC]],TableMJRPTCHPR[],7,FALSE),"")</f>
        <v/>
      </c>
      <c r="S29" s="232" t="str">
        <f>IFERROR(VLOOKUP(TableHandbook[[#This Row],[UDC]],TableMJRPTCHSC[],7,FALSE),"")</f>
        <v>Core</v>
      </c>
      <c r="T29" s="232" t="str">
        <f>IFERROR(VLOOKUP(TableHandbook[[#This Row],[UDC]],TableSTRPSCART[],7,FALSE),"")</f>
        <v/>
      </c>
      <c r="U29" s="232" t="str">
        <f>IFERROR(VLOOKUP(TableHandbook[[#This Row],[UDC]],TableSTRPSCENG[],7,FALSE),"")</f>
        <v/>
      </c>
      <c r="V29" s="232" t="str">
        <f>IFERROR(VLOOKUP(TableHandbook[[#This Row],[UDC]],TableSTRPSCHLP[],7,FALSE),"")</f>
        <v/>
      </c>
      <c r="W29" s="232" t="str">
        <f>IFERROR(VLOOKUP(TableHandbook[[#This Row],[UDC]],TableSTRPSCHUS[],7,FALSE),"")</f>
        <v/>
      </c>
      <c r="X29" s="232" t="str">
        <f>IFERROR(VLOOKUP(TableHandbook[[#This Row],[UDC]],TableSTRPSCMAT[],7,FALSE),"")</f>
        <v/>
      </c>
      <c r="Y29" s="232" t="str">
        <f>IFERROR(VLOOKUP(TableHandbook[[#This Row],[UDC]],TableSTRPSCSCI[],7,FALSE),"")</f>
        <v/>
      </c>
      <c r="Z29" s="232" t="str">
        <f>IFERROR(VLOOKUP(TableHandbook[[#This Row],[UDC]],TableSTRPSCFON[],7,FALSE),"")</f>
        <v/>
      </c>
      <c r="AA29" s="233" t="str">
        <f>IFERROR(VLOOKUP(TableHandbook[[#This Row],[UDC]],TableGCTESOL[],7,FALSE),"")</f>
        <v/>
      </c>
      <c r="AB29" s="232" t="str">
        <f>IFERROR(VLOOKUP(TableHandbook[[#This Row],[UDC]],TableMCTESOL[],7,FALSE),"")</f>
        <v>Core</v>
      </c>
      <c r="AC29" s="232" t="str">
        <f>IFERROR(VLOOKUP(TableHandbook[[#This Row],[UDC]],TableMCAPLING[],7,FALSE),"")</f>
        <v/>
      </c>
      <c r="AD29" s="233" t="str">
        <f>IFERROR(VLOOKUP(TableHandbook[[#This Row],[UDC]],TableGCEDHE[],7,FALSE),"")</f>
        <v/>
      </c>
      <c r="AE29" s="232" t="str">
        <f>IFERROR(VLOOKUP(TableHandbook[[#This Row],[UDC]],TableGCEDUC[],7,FALSE),"")</f>
        <v>Option</v>
      </c>
      <c r="AF29" s="232" t="str">
        <f>IFERROR(VLOOKUP(TableHandbook[[#This Row],[UDC]],TableGDEDUC[],7,FALSE),"")</f>
        <v/>
      </c>
      <c r="AG29" s="232" t="str">
        <f>IFERROR(VLOOKUP(TableHandbook[[#This Row],[UDC]],TableMJRPEDUPR[],7,FALSE),"")</f>
        <v/>
      </c>
      <c r="AH29" s="232" t="str">
        <f>IFERROR(VLOOKUP(TableHandbook[[#This Row],[UDC]],TableMJRPEDUSC[],7,FALSE),"")</f>
        <v/>
      </c>
      <c r="AI29" s="233" t="str">
        <f>IFERROR(VLOOKUP(TableHandbook[[#This Row],[UDC]],TableMCEDUC[],7,FALSE),"")</f>
        <v/>
      </c>
      <c r="AJ29" s="232" t="str">
        <f>IFERROR(VLOOKUP(TableHandbook[[#This Row],[UDC]],TableSPPECULIN[],7,FALSE),"")</f>
        <v/>
      </c>
      <c r="AK29" s="232" t="str">
        <f>IFERROR(VLOOKUP(TableHandbook[[#This Row],[UDC]],TableSPPELNTCH[],7,FALSE),"")</f>
        <v/>
      </c>
      <c r="AL29" s="232" t="str">
        <f>IFERROR(VLOOKUP(TableHandbook[[#This Row],[UDC]],TableSPPESTEME[],7,FALSE),"")</f>
        <v/>
      </c>
    </row>
    <row r="30" spans="1:38" x14ac:dyDescent="0.25">
      <c r="A30" s="2" t="s">
        <v>290</v>
      </c>
      <c r="B30" s="3">
        <v>2</v>
      </c>
      <c r="C30" s="3"/>
      <c r="D30" s="2" t="s">
        <v>363</v>
      </c>
      <c r="E30" s="3">
        <v>25</v>
      </c>
      <c r="F30" s="54" t="s">
        <v>336</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31"/>
      <c r="P30" s="233" t="str">
        <f>IFERROR(VLOOKUP(TableHandbook[[#This Row],[UDC]],TableMCTEACH[],7,FALSE),"")</f>
        <v/>
      </c>
      <c r="Q30" s="232" t="str">
        <f>IFERROR(VLOOKUP(TableHandbook[[#This Row],[UDC]],TableMJRPTCHEC[],7,FALSE),"")</f>
        <v/>
      </c>
      <c r="R30" s="232" t="str">
        <f>IFERROR(VLOOKUP(TableHandbook[[#This Row],[UDC]],TableMJRPTCHPR[],7,FALSE),"")</f>
        <v/>
      </c>
      <c r="S30" s="232" t="str">
        <f>IFERROR(VLOOKUP(TableHandbook[[#This Row],[UDC]],TableMJRPTCHSC[],7,FALSE),"")</f>
        <v/>
      </c>
      <c r="T30" s="232" t="str">
        <f>IFERROR(VLOOKUP(TableHandbook[[#This Row],[UDC]],TableSTRPSCART[],7,FALSE),"")</f>
        <v>Core</v>
      </c>
      <c r="U30" s="232" t="str">
        <f>IFERROR(VLOOKUP(TableHandbook[[#This Row],[UDC]],TableSTRPSCENG[],7,FALSE),"")</f>
        <v/>
      </c>
      <c r="V30" s="232" t="str">
        <f>IFERROR(VLOOKUP(TableHandbook[[#This Row],[UDC]],TableSTRPSCHLP[],7,FALSE),"")</f>
        <v/>
      </c>
      <c r="W30" s="232" t="str">
        <f>IFERROR(VLOOKUP(TableHandbook[[#This Row],[UDC]],TableSTRPSCHUS[],7,FALSE),"")</f>
        <v/>
      </c>
      <c r="X30" s="232" t="str">
        <f>IFERROR(VLOOKUP(TableHandbook[[#This Row],[UDC]],TableSTRPSCMAT[],7,FALSE),"")</f>
        <v/>
      </c>
      <c r="Y30" s="232" t="str">
        <f>IFERROR(VLOOKUP(TableHandbook[[#This Row],[UDC]],TableSTRPSCSCI[],7,FALSE),"")</f>
        <v/>
      </c>
      <c r="Z30" s="232" t="str">
        <f>IFERROR(VLOOKUP(TableHandbook[[#This Row],[UDC]],TableSTRPSCFON[],7,FALSE),"")</f>
        <v/>
      </c>
      <c r="AA30" s="233" t="str">
        <f>IFERROR(VLOOKUP(TableHandbook[[#This Row],[UDC]],TableGCTESOL[],7,FALSE),"")</f>
        <v/>
      </c>
      <c r="AB30" s="232" t="str">
        <f>IFERROR(VLOOKUP(TableHandbook[[#This Row],[UDC]],TableMCTESOL[],7,FALSE),"")</f>
        <v/>
      </c>
      <c r="AC30" s="232" t="str">
        <f>IFERROR(VLOOKUP(TableHandbook[[#This Row],[UDC]],TableMCAPLING[],7,FALSE),"")</f>
        <v/>
      </c>
      <c r="AD30" s="233" t="str">
        <f>IFERROR(VLOOKUP(TableHandbook[[#This Row],[UDC]],TableGCEDHE[],7,FALSE),"")</f>
        <v/>
      </c>
      <c r="AE30" s="232" t="str">
        <f>IFERROR(VLOOKUP(TableHandbook[[#This Row],[UDC]],TableGCEDUC[],7,FALSE),"")</f>
        <v/>
      </c>
      <c r="AF30" s="232" t="str">
        <f>IFERROR(VLOOKUP(TableHandbook[[#This Row],[UDC]],TableGDEDUC[],7,FALSE),"")</f>
        <v/>
      </c>
      <c r="AG30" s="232" t="str">
        <f>IFERROR(VLOOKUP(TableHandbook[[#This Row],[UDC]],TableMJRPEDUPR[],7,FALSE),"")</f>
        <v/>
      </c>
      <c r="AH30" s="232" t="str">
        <f>IFERROR(VLOOKUP(TableHandbook[[#This Row],[UDC]],TableMJRPEDUSC[],7,FALSE),"")</f>
        <v/>
      </c>
      <c r="AI30" s="233" t="str">
        <f>IFERROR(VLOOKUP(TableHandbook[[#This Row],[UDC]],TableMCEDUC[],7,FALSE),"")</f>
        <v/>
      </c>
      <c r="AJ30" s="232" t="str">
        <f>IFERROR(VLOOKUP(TableHandbook[[#This Row],[UDC]],TableSPPECULIN[],7,FALSE),"")</f>
        <v/>
      </c>
      <c r="AK30" s="232" t="str">
        <f>IFERROR(VLOOKUP(TableHandbook[[#This Row],[UDC]],TableSPPELNTCH[],7,FALSE),"")</f>
        <v/>
      </c>
      <c r="AL30" s="232" t="str">
        <f>IFERROR(VLOOKUP(TableHandbook[[#This Row],[UDC]],TableSPPESTEME[],7,FALSE),"")</f>
        <v/>
      </c>
    </row>
    <row r="31" spans="1:38" x14ac:dyDescent="0.25">
      <c r="A31" s="2" t="s">
        <v>291</v>
      </c>
      <c r="B31" s="3">
        <v>1</v>
      </c>
      <c r="C31" s="3"/>
      <c r="D31" s="2" t="s">
        <v>364</v>
      </c>
      <c r="E31" s="3">
        <v>25</v>
      </c>
      <c r="F31" s="54" t="s">
        <v>336</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31"/>
      <c r="P31" s="233" t="str">
        <f>IFERROR(VLOOKUP(TableHandbook[[#This Row],[UDC]],TableMCTEACH[],7,FALSE),"")</f>
        <v/>
      </c>
      <c r="Q31" s="232" t="str">
        <f>IFERROR(VLOOKUP(TableHandbook[[#This Row],[UDC]],TableMJRPTCHEC[],7,FALSE),"")</f>
        <v/>
      </c>
      <c r="R31" s="232" t="str">
        <f>IFERROR(VLOOKUP(TableHandbook[[#This Row],[UDC]],TableMJRPTCHPR[],7,FALSE),"")</f>
        <v/>
      </c>
      <c r="S31" s="232" t="str">
        <f>IFERROR(VLOOKUP(TableHandbook[[#This Row],[UDC]],TableMJRPTCHSC[],7,FALSE),"")</f>
        <v/>
      </c>
      <c r="T31" s="232" t="str">
        <f>IFERROR(VLOOKUP(TableHandbook[[#This Row],[UDC]],TableSTRPSCART[],7,FALSE),"")</f>
        <v/>
      </c>
      <c r="U31" s="232" t="str">
        <f>IFERROR(VLOOKUP(TableHandbook[[#This Row],[UDC]],TableSTRPSCENG[],7,FALSE),"")</f>
        <v>Core</v>
      </c>
      <c r="V31" s="232" t="str">
        <f>IFERROR(VLOOKUP(TableHandbook[[#This Row],[UDC]],TableSTRPSCHLP[],7,FALSE),"")</f>
        <v/>
      </c>
      <c r="W31" s="232" t="str">
        <f>IFERROR(VLOOKUP(TableHandbook[[#This Row],[UDC]],TableSTRPSCHUS[],7,FALSE),"")</f>
        <v/>
      </c>
      <c r="X31" s="232" t="str">
        <f>IFERROR(VLOOKUP(TableHandbook[[#This Row],[UDC]],TableSTRPSCMAT[],7,FALSE),"")</f>
        <v/>
      </c>
      <c r="Y31" s="232" t="str">
        <f>IFERROR(VLOOKUP(TableHandbook[[#This Row],[UDC]],TableSTRPSCSCI[],7,FALSE),"")</f>
        <v/>
      </c>
      <c r="Z31" s="232" t="str">
        <f>IFERROR(VLOOKUP(TableHandbook[[#This Row],[UDC]],TableSTRPSCFON[],7,FALSE),"")</f>
        <v/>
      </c>
      <c r="AA31" s="233" t="str">
        <f>IFERROR(VLOOKUP(TableHandbook[[#This Row],[UDC]],TableGCTESOL[],7,FALSE),"")</f>
        <v/>
      </c>
      <c r="AB31" s="232" t="str">
        <f>IFERROR(VLOOKUP(TableHandbook[[#This Row],[UDC]],TableMCTESOL[],7,FALSE),"")</f>
        <v/>
      </c>
      <c r="AC31" s="232" t="str">
        <f>IFERROR(VLOOKUP(TableHandbook[[#This Row],[UDC]],TableMCAPLING[],7,FALSE),"")</f>
        <v/>
      </c>
      <c r="AD31" s="233" t="str">
        <f>IFERROR(VLOOKUP(TableHandbook[[#This Row],[UDC]],TableGCEDHE[],7,FALSE),"")</f>
        <v/>
      </c>
      <c r="AE31" s="232" t="str">
        <f>IFERROR(VLOOKUP(TableHandbook[[#This Row],[UDC]],TableGCEDUC[],7,FALSE),"")</f>
        <v/>
      </c>
      <c r="AF31" s="232" t="str">
        <f>IFERROR(VLOOKUP(TableHandbook[[#This Row],[UDC]],TableGDEDUC[],7,FALSE),"")</f>
        <v/>
      </c>
      <c r="AG31" s="232" t="str">
        <f>IFERROR(VLOOKUP(TableHandbook[[#This Row],[UDC]],TableMJRPEDUPR[],7,FALSE),"")</f>
        <v/>
      </c>
      <c r="AH31" s="232" t="str">
        <f>IFERROR(VLOOKUP(TableHandbook[[#This Row],[UDC]],TableMJRPEDUSC[],7,FALSE),"")</f>
        <v/>
      </c>
      <c r="AI31" s="233" t="str">
        <f>IFERROR(VLOOKUP(TableHandbook[[#This Row],[UDC]],TableMCEDUC[],7,FALSE),"")</f>
        <v/>
      </c>
      <c r="AJ31" s="232" t="str">
        <f>IFERROR(VLOOKUP(TableHandbook[[#This Row],[UDC]],TableSPPECULIN[],7,FALSE),"")</f>
        <v/>
      </c>
      <c r="AK31" s="232" t="str">
        <f>IFERROR(VLOOKUP(TableHandbook[[#This Row],[UDC]],TableSPPELNTCH[],7,FALSE),"")</f>
        <v/>
      </c>
      <c r="AL31" s="232" t="str">
        <f>IFERROR(VLOOKUP(TableHandbook[[#This Row],[UDC]],TableSPPESTEME[],7,FALSE),"")</f>
        <v/>
      </c>
    </row>
    <row r="32" spans="1:38" x14ac:dyDescent="0.25">
      <c r="A32" s="2" t="s">
        <v>293</v>
      </c>
      <c r="B32" s="3">
        <v>1</v>
      </c>
      <c r="C32" s="3"/>
      <c r="D32" s="2" t="s">
        <v>365</v>
      </c>
      <c r="E32" s="3">
        <v>25</v>
      </c>
      <c r="F32" s="54" t="s">
        <v>336</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31"/>
      <c r="P32" s="233" t="str">
        <f>IFERROR(VLOOKUP(TableHandbook[[#This Row],[UDC]],TableMCTEACH[],7,FALSE),"")</f>
        <v/>
      </c>
      <c r="Q32" s="232" t="str">
        <f>IFERROR(VLOOKUP(TableHandbook[[#This Row],[UDC]],TableMJRPTCHEC[],7,FALSE),"")</f>
        <v/>
      </c>
      <c r="R32" s="232" t="str">
        <f>IFERROR(VLOOKUP(TableHandbook[[#This Row],[UDC]],TableMJRPTCHPR[],7,FALSE),"")</f>
        <v/>
      </c>
      <c r="S32" s="232" t="str">
        <f>IFERROR(VLOOKUP(TableHandbook[[#This Row],[UDC]],TableMJRPTCHSC[],7,FALSE),"")</f>
        <v/>
      </c>
      <c r="T32" s="232" t="str">
        <f>IFERROR(VLOOKUP(TableHandbook[[#This Row],[UDC]],TableSTRPSCART[],7,FALSE),"")</f>
        <v/>
      </c>
      <c r="U32" s="232" t="str">
        <f>IFERROR(VLOOKUP(TableHandbook[[#This Row],[UDC]],TableSTRPSCENG[],7,FALSE),"")</f>
        <v/>
      </c>
      <c r="V32" s="232" t="str">
        <f>IFERROR(VLOOKUP(TableHandbook[[#This Row],[UDC]],TableSTRPSCHLP[],7,FALSE),"")</f>
        <v/>
      </c>
      <c r="W32" s="232" t="str">
        <f>IFERROR(VLOOKUP(TableHandbook[[#This Row],[UDC]],TableSTRPSCHUS[],7,FALSE),"")</f>
        <v>Core</v>
      </c>
      <c r="X32" s="232" t="str">
        <f>IFERROR(VLOOKUP(TableHandbook[[#This Row],[UDC]],TableSTRPSCMAT[],7,FALSE),"")</f>
        <v/>
      </c>
      <c r="Y32" s="232" t="str">
        <f>IFERROR(VLOOKUP(TableHandbook[[#This Row],[UDC]],TableSTRPSCSCI[],7,FALSE),"")</f>
        <v/>
      </c>
      <c r="Z32" s="232" t="str">
        <f>IFERROR(VLOOKUP(TableHandbook[[#This Row],[UDC]],TableSTRPSCFON[],7,FALSE),"")</f>
        <v/>
      </c>
      <c r="AA32" s="233" t="str">
        <f>IFERROR(VLOOKUP(TableHandbook[[#This Row],[UDC]],TableGCTESOL[],7,FALSE),"")</f>
        <v/>
      </c>
      <c r="AB32" s="232" t="str">
        <f>IFERROR(VLOOKUP(TableHandbook[[#This Row],[UDC]],TableMCTESOL[],7,FALSE),"")</f>
        <v/>
      </c>
      <c r="AC32" s="232" t="str">
        <f>IFERROR(VLOOKUP(TableHandbook[[#This Row],[UDC]],TableMCAPLING[],7,FALSE),"")</f>
        <v/>
      </c>
      <c r="AD32" s="233" t="str">
        <f>IFERROR(VLOOKUP(TableHandbook[[#This Row],[UDC]],TableGCEDHE[],7,FALSE),"")</f>
        <v/>
      </c>
      <c r="AE32" s="232" t="str">
        <f>IFERROR(VLOOKUP(TableHandbook[[#This Row],[UDC]],TableGCEDUC[],7,FALSE),"")</f>
        <v/>
      </c>
      <c r="AF32" s="232" t="str">
        <f>IFERROR(VLOOKUP(TableHandbook[[#This Row],[UDC]],TableGDEDUC[],7,FALSE),"")</f>
        <v/>
      </c>
      <c r="AG32" s="232" t="str">
        <f>IFERROR(VLOOKUP(TableHandbook[[#This Row],[UDC]],TableMJRPEDUPR[],7,FALSE),"")</f>
        <v/>
      </c>
      <c r="AH32" s="232" t="str">
        <f>IFERROR(VLOOKUP(TableHandbook[[#This Row],[UDC]],TableMJRPEDUSC[],7,FALSE),"")</f>
        <v/>
      </c>
      <c r="AI32" s="233" t="str">
        <f>IFERROR(VLOOKUP(TableHandbook[[#This Row],[UDC]],TableMCEDUC[],7,FALSE),"")</f>
        <v/>
      </c>
      <c r="AJ32" s="232" t="str">
        <f>IFERROR(VLOOKUP(TableHandbook[[#This Row],[UDC]],TableSPPECULIN[],7,FALSE),"")</f>
        <v/>
      </c>
      <c r="AK32" s="232" t="str">
        <f>IFERROR(VLOOKUP(TableHandbook[[#This Row],[UDC]],TableSPPELNTCH[],7,FALSE),"")</f>
        <v/>
      </c>
      <c r="AL32" s="232" t="str">
        <f>IFERROR(VLOOKUP(TableHandbook[[#This Row],[UDC]],TableSPPESTEME[],7,FALSE),"")</f>
        <v/>
      </c>
    </row>
    <row r="33" spans="1:38" x14ac:dyDescent="0.25">
      <c r="A33" s="2" t="s">
        <v>294</v>
      </c>
      <c r="B33" s="3">
        <v>1</v>
      </c>
      <c r="C33" s="3"/>
      <c r="D33" s="2" t="s">
        <v>366</v>
      </c>
      <c r="E33" s="3">
        <v>25</v>
      </c>
      <c r="F33" s="54" t="s">
        <v>336</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31"/>
      <c r="P33" s="233" t="str">
        <f>IFERROR(VLOOKUP(TableHandbook[[#This Row],[UDC]],TableMCTEACH[],7,FALSE),"")</f>
        <v/>
      </c>
      <c r="Q33" s="232" t="str">
        <f>IFERROR(VLOOKUP(TableHandbook[[#This Row],[UDC]],TableMJRPTCHEC[],7,FALSE),"")</f>
        <v/>
      </c>
      <c r="R33" s="232" t="str">
        <f>IFERROR(VLOOKUP(TableHandbook[[#This Row],[UDC]],TableMJRPTCHPR[],7,FALSE),"")</f>
        <v/>
      </c>
      <c r="S33" s="232" t="str">
        <f>IFERROR(VLOOKUP(TableHandbook[[#This Row],[UDC]],TableMJRPTCHSC[],7,FALSE),"")</f>
        <v/>
      </c>
      <c r="T33" s="232" t="str">
        <f>IFERROR(VLOOKUP(TableHandbook[[#This Row],[UDC]],TableSTRPSCART[],7,FALSE),"")</f>
        <v/>
      </c>
      <c r="U33" s="232" t="str">
        <f>IFERROR(VLOOKUP(TableHandbook[[#This Row],[UDC]],TableSTRPSCENG[],7,FALSE),"")</f>
        <v/>
      </c>
      <c r="V33" s="232" t="str">
        <f>IFERROR(VLOOKUP(TableHandbook[[#This Row],[UDC]],TableSTRPSCHLP[],7,FALSE),"")</f>
        <v/>
      </c>
      <c r="W33" s="232" t="str">
        <f>IFERROR(VLOOKUP(TableHandbook[[#This Row],[UDC]],TableSTRPSCHUS[],7,FALSE),"")</f>
        <v/>
      </c>
      <c r="X33" s="232" t="str">
        <f>IFERROR(VLOOKUP(TableHandbook[[#This Row],[UDC]],TableSTRPSCMAT[],7,FALSE),"")</f>
        <v>Core</v>
      </c>
      <c r="Y33" s="232" t="str">
        <f>IFERROR(VLOOKUP(TableHandbook[[#This Row],[UDC]],TableSTRPSCSCI[],7,FALSE),"")</f>
        <v/>
      </c>
      <c r="Z33" s="232" t="str">
        <f>IFERROR(VLOOKUP(TableHandbook[[#This Row],[UDC]],TableSTRPSCFON[],7,FALSE),"")</f>
        <v/>
      </c>
      <c r="AA33" s="233" t="str">
        <f>IFERROR(VLOOKUP(TableHandbook[[#This Row],[UDC]],TableGCTESOL[],7,FALSE),"")</f>
        <v/>
      </c>
      <c r="AB33" s="232" t="str">
        <f>IFERROR(VLOOKUP(TableHandbook[[#This Row],[UDC]],TableMCTESOL[],7,FALSE),"")</f>
        <v/>
      </c>
      <c r="AC33" s="232" t="str">
        <f>IFERROR(VLOOKUP(TableHandbook[[#This Row],[UDC]],TableMCAPLING[],7,FALSE),"")</f>
        <v/>
      </c>
      <c r="AD33" s="233" t="str">
        <f>IFERROR(VLOOKUP(TableHandbook[[#This Row],[UDC]],TableGCEDHE[],7,FALSE),"")</f>
        <v/>
      </c>
      <c r="AE33" s="232" t="str">
        <f>IFERROR(VLOOKUP(TableHandbook[[#This Row],[UDC]],TableGCEDUC[],7,FALSE),"")</f>
        <v/>
      </c>
      <c r="AF33" s="232" t="str">
        <f>IFERROR(VLOOKUP(TableHandbook[[#This Row],[UDC]],TableGDEDUC[],7,FALSE),"")</f>
        <v/>
      </c>
      <c r="AG33" s="232" t="str">
        <f>IFERROR(VLOOKUP(TableHandbook[[#This Row],[UDC]],TableMJRPEDUPR[],7,FALSE),"")</f>
        <v/>
      </c>
      <c r="AH33" s="232" t="str">
        <f>IFERROR(VLOOKUP(TableHandbook[[#This Row],[UDC]],TableMJRPEDUSC[],7,FALSE),"")</f>
        <v/>
      </c>
      <c r="AI33" s="233" t="str">
        <f>IFERROR(VLOOKUP(TableHandbook[[#This Row],[UDC]],TableMCEDUC[],7,FALSE),"")</f>
        <v/>
      </c>
      <c r="AJ33" s="232" t="str">
        <f>IFERROR(VLOOKUP(TableHandbook[[#This Row],[UDC]],TableSPPECULIN[],7,FALSE),"")</f>
        <v/>
      </c>
      <c r="AK33" s="232" t="str">
        <f>IFERROR(VLOOKUP(TableHandbook[[#This Row],[UDC]],TableSPPELNTCH[],7,FALSE),"")</f>
        <v/>
      </c>
      <c r="AL33" s="232" t="str">
        <f>IFERROR(VLOOKUP(TableHandbook[[#This Row],[UDC]],TableSPPESTEME[],7,FALSE),"")</f>
        <v/>
      </c>
    </row>
    <row r="34" spans="1:38" x14ac:dyDescent="0.25">
      <c r="A34" s="2" t="s">
        <v>295</v>
      </c>
      <c r="B34" s="3">
        <v>1</v>
      </c>
      <c r="C34" s="3"/>
      <c r="D34" s="2" t="s">
        <v>367</v>
      </c>
      <c r="E34" s="3">
        <v>25</v>
      </c>
      <c r="F34" s="54" t="s">
        <v>336</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31"/>
      <c r="P34" s="233" t="str">
        <f>IFERROR(VLOOKUP(TableHandbook[[#This Row],[UDC]],TableMCTEACH[],7,FALSE),"")</f>
        <v/>
      </c>
      <c r="Q34" s="232" t="str">
        <f>IFERROR(VLOOKUP(TableHandbook[[#This Row],[UDC]],TableMJRPTCHEC[],7,FALSE),"")</f>
        <v/>
      </c>
      <c r="R34" s="232" t="str">
        <f>IFERROR(VLOOKUP(TableHandbook[[#This Row],[UDC]],TableMJRPTCHPR[],7,FALSE),"")</f>
        <v/>
      </c>
      <c r="S34" s="232" t="str">
        <f>IFERROR(VLOOKUP(TableHandbook[[#This Row],[UDC]],TableMJRPTCHSC[],7,FALSE),"")</f>
        <v/>
      </c>
      <c r="T34" s="232" t="str">
        <f>IFERROR(VLOOKUP(TableHandbook[[#This Row],[UDC]],TableSTRPSCART[],7,FALSE),"")</f>
        <v/>
      </c>
      <c r="U34" s="232" t="str">
        <f>IFERROR(VLOOKUP(TableHandbook[[#This Row],[UDC]],TableSTRPSCENG[],7,FALSE),"")</f>
        <v/>
      </c>
      <c r="V34" s="232" t="str">
        <f>IFERROR(VLOOKUP(TableHandbook[[#This Row],[UDC]],TableSTRPSCHLP[],7,FALSE),"")</f>
        <v/>
      </c>
      <c r="W34" s="232" t="str">
        <f>IFERROR(VLOOKUP(TableHandbook[[#This Row],[UDC]],TableSTRPSCHUS[],7,FALSE),"")</f>
        <v/>
      </c>
      <c r="X34" s="232" t="str">
        <f>IFERROR(VLOOKUP(TableHandbook[[#This Row],[UDC]],TableSTRPSCMAT[],7,FALSE),"")</f>
        <v/>
      </c>
      <c r="Y34" s="232" t="str">
        <f>IFERROR(VLOOKUP(TableHandbook[[#This Row],[UDC]],TableSTRPSCSCI[],7,FALSE),"")</f>
        <v>Core</v>
      </c>
      <c r="Z34" s="232" t="str">
        <f>IFERROR(VLOOKUP(TableHandbook[[#This Row],[UDC]],TableSTRPSCFON[],7,FALSE),"")</f>
        <v/>
      </c>
      <c r="AA34" s="233" t="str">
        <f>IFERROR(VLOOKUP(TableHandbook[[#This Row],[UDC]],TableGCTESOL[],7,FALSE),"")</f>
        <v/>
      </c>
      <c r="AB34" s="232" t="str">
        <f>IFERROR(VLOOKUP(TableHandbook[[#This Row],[UDC]],TableMCTESOL[],7,FALSE),"")</f>
        <v/>
      </c>
      <c r="AC34" s="232" t="str">
        <f>IFERROR(VLOOKUP(TableHandbook[[#This Row],[UDC]],TableMCAPLING[],7,FALSE),"")</f>
        <v/>
      </c>
      <c r="AD34" s="233" t="str">
        <f>IFERROR(VLOOKUP(TableHandbook[[#This Row],[UDC]],TableGCEDHE[],7,FALSE),"")</f>
        <v/>
      </c>
      <c r="AE34" s="232" t="str">
        <f>IFERROR(VLOOKUP(TableHandbook[[#This Row],[UDC]],TableGCEDUC[],7,FALSE),"")</f>
        <v/>
      </c>
      <c r="AF34" s="232" t="str">
        <f>IFERROR(VLOOKUP(TableHandbook[[#This Row],[UDC]],TableGDEDUC[],7,FALSE),"")</f>
        <v/>
      </c>
      <c r="AG34" s="232" t="str">
        <f>IFERROR(VLOOKUP(TableHandbook[[#This Row],[UDC]],TableMJRPEDUPR[],7,FALSE),"")</f>
        <v/>
      </c>
      <c r="AH34" s="232" t="str">
        <f>IFERROR(VLOOKUP(TableHandbook[[#This Row],[UDC]],TableMJRPEDUSC[],7,FALSE),"")</f>
        <v/>
      </c>
      <c r="AI34" s="233" t="str">
        <f>IFERROR(VLOOKUP(TableHandbook[[#This Row],[UDC]],TableMCEDUC[],7,FALSE),"")</f>
        <v/>
      </c>
      <c r="AJ34" s="232" t="str">
        <f>IFERROR(VLOOKUP(TableHandbook[[#This Row],[UDC]],TableSPPECULIN[],7,FALSE),"")</f>
        <v/>
      </c>
      <c r="AK34" s="232" t="str">
        <f>IFERROR(VLOOKUP(TableHandbook[[#This Row],[UDC]],TableSPPELNTCH[],7,FALSE),"")</f>
        <v/>
      </c>
      <c r="AL34" s="232" t="str">
        <f>IFERROR(VLOOKUP(TableHandbook[[#This Row],[UDC]],TableSPPESTEME[],7,FALSE),"")</f>
        <v/>
      </c>
    </row>
    <row r="35" spans="1:38" x14ac:dyDescent="0.25">
      <c r="A35" s="2" t="s">
        <v>268</v>
      </c>
      <c r="B35" s="3">
        <v>1</v>
      </c>
      <c r="C35" s="3"/>
      <c r="D35" s="2" t="s">
        <v>368</v>
      </c>
      <c r="E35" s="3">
        <v>25</v>
      </c>
      <c r="F35" s="54" t="s">
        <v>336</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31"/>
      <c r="P35" s="233" t="str">
        <f>IFERROR(VLOOKUP(TableHandbook[[#This Row],[UDC]],TableMCTEACH[],7,FALSE),"")</f>
        <v/>
      </c>
      <c r="Q35" s="232" t="str">
        <f>IFERROR(VLOOKUP(TableHandbook[[#This Row],[UDC]],TableMJRPTCHEC[],7,FALSE),"")</f>
        <v/>
      </c>
      <c r="R35" s="232" t="str">
        <f>IFERROR(VLOOKUP(TableHandbook[[#This Row],[UDC]],TableMJRPTCHPR[],7,FALSE),"")</f>
        <v/>
      </c>
      <c r="S35" s="232" t="str">
        <f>IFERROR(VLOOKUP(TableHandbook[[#This Row],[UDC]],TableMJRPTCHSC[],7,FALSE),"")</f>
        <v>Core</v>
      </c>
      <c r="T35" s="232" t="str">
        <f>IFERROR(VLOOKUP(TableHandbook[[#This Row],[UDC]],TableSTRPSCART[],7,FALSE),"")</f>
        <v/>
      </c>
      <c r="U35" s="232" t="str">
        <f>IFERROR(VLOOKUP(TableHandbook[[#This Row],[UDC]],TableSTRPSCENG[],7,FALSE),"")</f>
        <v/>
      </c>
      <c r="V35" s="232" t="str">
        <f>IFERROR(VLOOKUP(TableHandbook[[#This Row],[UDC]],TableSTRPSCHLP[],7,FALSE),"")</f>
        <v/>
      </c>
      <c r="W35" s="232" t="str">
        <f>IFERROR(VLOOKUP(TableHandbook[[#This Row],[UDC]],TableSTRPSCHUS[],7,FALSE),"")</f>
        <v/>
      </c>
      <c r="X35" s="232" t="str">
        <f>IFERROR(VLOOKUP(TableHandbook[[#This Row],[UDC]],TableSTRPSCMAT[],7,FALSE),"")</f>
        <v/>
      </c>
      <c r="Y35" s="232" t="str">
        <f>IFERROR(VLOOKUP(TableHandbook[[#This Row],[UDC]],TableSTRPSCSCI[],7,FALSE),"")</f>
        <v/>
      </c>
      <c r="Z35" s="232" t="str">
        <f>IFERROR(VLOOKUP(TableHandbook[[#This Row],[UDC]],TableSTRPSCFON[],7,FALSE),"")</f>
        <v/>
      </c>
      <c r="AA35" s="233" t="str">
        <f>IFERROR(VLOOKUP(TableHandbook[[#This Row],[UDC]],TableGCTESOL[],7,FALSE),"")</f>
        <v/>
      </c>
      <c r="AB35" s="232" t="str">
        <f>IFERROR(VLOOKUP(TableHandbook[[#This Row],[UDC]],TableMCTESOL[],7,FALSE),"")</f>
        <v/>
      </c>
      <c r="AC35" s="232" t="str">
        <f>IFERROR(VLOOKUP(TableHandbook[[#This Row],[UDC]],TableMCAPLING[],7,FALSE),"")</f>
        <v/>
      </c>
      <c r="AD35" s="233" t="str">
        <f>IFERROR(VLOOKUP(TableHandbook[[#This Row],[UDC]],TableGCEDHE[],7,FALSE),"")</f>
        <v/>
      </c>
      <c r="AE35" s="232" t="str">
        <f>IFERROR(VLOOKUP(TableHandbook[[#This Row],[UDC]],TableGCEDUC[],7,FALSE),"")</f>
        <v/>
      </c>
      <c r="AF35" s="232" t="str">
        <f>IFERROR(VLOOKUP(TableHandbook[[#This Row],[UDC]],TableGDEDUC[],7,FALSE),"")</f>
        <v/>
      </c>
      <c r="AG35" s="232" t="str">
        <f>IFERROR(VLOOKUP(TableHandbook[[#This Row],[UDC]],TableMJRPEDUPR[],7,FALSE),"")</f>
        <v/>
      </c>
      <c r="AH35" s="232" t="str">
        <f>IFERROR(VLOOKUP(TableHandbook[[#This Row],[UDC]],TableMJRPEDUSC[],7,FALSE),"")</f>
        <v>Core</v>
      </c>
      <c r="AI35" s="233" t="str">
        <f>IFERROR(VLOOKUP(TableHandbook[[#This Row],[UDC]],TableMCEDUC[],7,FALSE),"")</f>
        <v/>
      </c>
      <c r="AJ35" s="232" t="str">
        <f>IFERROR(VLOOKUP(TableHandbook[[#This Row],[UDC]],TableSPPECULIN[],7,FALSE),"")</f>
        <v/>
      </c>
      <c r="AK35" s="232" t="str">
        <f>IFERROR(VLOOKUP(TableHandbook[[#This Row],[UDC]],TableSPPELNTCH[],7,FALSE),"")</f>
        <v/>
      </c>
      <c r="AL35" s="232" t="str">
        <f>IFERROR(VLOOKUP(TableHandbook[[#This Row],[UDC]],TableSPPESTEME[],7,FALSE),"")</f>
        <v/>
      </c>
    </row>
    <row r="36" spans="1:38" x14ac:dyDescent="0.25">
      <c r="A36" s="2" t="s">
        <v>273</v>
      </c>
      <c r="B36" s="3">
        <v>1</v>
      </c>
      <c r="C36" s="3"/>
      <c r="D36" s="2" t="s">
        <v>369</v>
      </c>
      <c r="E36" s="3">
        <v>25</v>
      </c>
      <c r="F36" s="270" t="s">
        <v>268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31"/>
      <c r="P36" s="233" t="str">
        <f>IFERROR(VLOOKUP(TableHandbook[[#This Row],[UDC]],TableMCTEACH[],7,FALSE),"")</f>
        <v/>
      </c>
      <c r="Q36" s="232" t="str">
        <f>IFERROR(VLOOKUP(TableHandbook[[#This Row],[UDC]],TableMJRPTCHEC[],7,FALSE),"")</f>
        <v/>
      </c>
      <c r="R36" s="232" t="str">
        <f>IFERROR(VLOOKUP(TableHandbook[[#This Row],[UDC]],TableMJRPTCHPR[],7,FALSE),"")</f>
        <v/>
      </c>
      <c r="S36" s="232" t="str">
        <f>IFERROR(VLOOKUP(TableHandbook[[#This Row],[UDC]],TableMJRPTCHSC[],7,FALSE),"")</f>
        <v>Core</v>
      </c>
      <c r="T36" s="232" t="str">
        <f>IFERROR(VLOOKUP(TableHandbook[[#This Row],[UDC]],TableSTRPSCART[],7,FALSE),"")</f>
        <v/>
      </c>
      <c r="U36" s="232" t="str">
        <f>IFERROR(VLOOKUP(TableHandbook[[#This Row],[UDC]],TableSTRPSCENG[],7,FALSE),"")</f>
        <v/>
      </c>
      <c r="V36" s="232" t="str">
        <f>IFERROR(VLOOKUP(TableHandbook[[#This Row],[UDC]],TableSTRPSCHLP[],7,FALSE),"")</f>
        <v/>
      </c>
      <c r="W36" s="232" t="str">
        <f>IFERROR(VLOOKUP(TableHandbook[[#This Row],[UDC]],TableSTRPSCHUS[],7,FALSE),"")</f>
        <v/>
      </c>
      <c r="X36" s="232" t="str">
        <f>IFERROR(VLOOKUP(TableHandbook[[#This Row],[UDC]],TableSTRPSCMAT[],7,FALSE),"")</f>
        <v/>
      </c>
      <c r="Y36" s="232" t="str">
        <f>IFERROR(VLOOKUP(TableHandbook[[#This Row],[UDC]],TableSTRPSCSCI[],7,FALSE),"")</f>
        <v/>
      </c>
      <c r="Z36" s="232" t="str">
        <f>IFERROR(VLOOKUP(TableHandbook[[#This Row],[UDC]],TableSTRPSCFON[],7,FALSE),"")</f>
        <v/>
      </c>
      <c r="AA36" s="233" t="str">
        <f>IFERROR(VLOOKUP(TableHandbook[[#This Row],[UDC]],TableGCTESOL[],7,FALSE),"")</f>
        <v/>
      </c>
      <c r="AB36" s="232" t="str">
        <f>IFERROR(VLOOKUP(TableHandbook[[#This Row],[UDC]],TableMCTESOL[],7,FALSE),"")</f>
        <v/>
      </c>
      <c r="AC36" s="232" t="str">
        <f>IFERROR(VLOOKUP(TableHandbook[[#This Row],[UDC]],TableMCAPLING[],7,FALSE),"")</f>
        <v/>
      </c>
      <c r="AD36" s="233" t="str">
        <f>IFERROR(VLOOKUP(TableHandbook[[#This Row],[UDC]],TableGCEDHE[],7,FALSE),"")</f>
        <v/>
      </c>
      <c r="AE36" s="232" t="str">
        <f>IFERROR(VLOOKUP(TableHandbook[[#This Row],[UDC]],TableGCEDUC[],7,FALSE),"")</f>
        <v/>
      </c>
      <c r="AF36" s="232" t="str">
        <f>IFERROR(VLOOKUP(TableHandbook[[#This Row],[UDC]],TableGDEDUC[],7,FALSE),"")</f>
        <v/>
      </c>
      <c r="AG36" s="232" t="str">
        <f>IFERROR(VLOOKUP(TableHandbook[[#This Row],[UDC]],TableMJRPEDUPR[],7,FALSE),"")</f>
        <v/>
      </c>
      <c r="AH36" s="232" t="str">
        <f>IFERROR(VLOOKUP(TableHandbook[[#This Row],[UDC]],TableMJRPEDUSC[],7,FALSE),"")</f>
        <v>Core</v>
      </c>
      <c r="AI36" s="233" t="str">
        <f>IFERROR(VLOOKUP(TableHandbook[[#This Row],[UDC]],TableMCEDUC[],7,FALSE),"")</f>
        <v/>
      </c>
      <c r="AJ36" s="232" t="str">
        <f>IFERROR(VLOOKUP(TableHandbook[[#This Row],[UDC]],TableSPPECULIN[],7,FALSE),"")</f>
        <v/>
      </c>
      <c r="AK36" s="232" t="str">
        <f>IFERROR(VLOOKUP(TableHandbook[[#This Row],[UDC]],TableSPPELNTCH[],7,FALSE),"")</f>
        <v/>
      </c>
      <c r="AL36" s="232" t="str">
        <f>IFERROR(VLOOKUP(TableHandbook[[#This Row],[UDC]],TableSPPESTEME[],7,FALSE),"")</f>
        <v/>
      </c>
    </row>
    <row r="37" spans="1:38" x14ac:dyDescent="0.25">
      <c r="A37" s="2" t="s">
        <v>298</v>
      </c>
      <c r="B37" s="3">
        <v>2</v>
      </c>
      <c r="C37" s="3"/>
      <c r="D37" s="2" t="s">
        <v>370</v>
      </c>
      <c r="E37" s="3">
        <v>25</v>
      </c>
      <c r="F37" s="54" t="s">
        <v>336</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31" t="s">
        <v>371</v>
      </c>
      <c r="P37" s="233" t="str">
        <f>IFERROR(VLOOKUP(TableHandbook[[#This Row],[UDC]],TableMCTEACH[],7,FALSE),"")</f>
        <v/>
      </c>
      <c r="Q37" s="232" t="str">
        <f>IFERROR(VLOOKUP(TableHandbook[[#This Row],[UDC]],TableMJRPTCHEC[],7,FALSE),"")</f>
        <v/>
      </c>
      <c r="R37" s="232" t="str">
        <f>IFERROR(VLOOKUP(TableHandbook[[#This Row],[UDC]],TableMJRPTCHPR[],7,FALSE),"")</f>
        <v/>
      </c>
      <c r="S37" s="232" t="str">
        <f>IFERROR(VLOOKUP(TableHandbook[[#This Row],[UDC]],TableMJRPTCHSC[],7,FALSE),"")</f>
        <v/>
      </c>
      <c r="T37" s="232" t="str">
        <f>IFERROR(VLOOKUP(TableHandbook[[#This Row],[UDC]],TableSTRPSCART[],7,FALSE),"")</f>
        <v>Core</v>
      </c>
      <c r="U37" s="232" t="str">
        <f>IFERROR(VLOOKUP(TableHandbook[[#This Row],[UDC]],TableSTRPSCENG[],7,FALSE),"")</f>
        <v/>
      </c>
      <c r="V37" s="232" t="str">
        <f>IFERROR(VLOOKUP(TableHandbook[[#This Row],[UDC]],TableSTRPSCHLP[],7,FALSE),"")</f>
        <v/>
      </c>
      <c r="W37" s="232" t="str">
        <f>IFERROR(VLOOKUP(TableHandbook[[#This Row],[UDC]],TableSTRPSCHUS[],7,FALSE),"")</f>
        <v/>
      </c>
      <c r="X37" s="232" t="str">
        <f>IFERROR(VLOOKUP(TableHandbook[[#This Row],[UDC]],TableSTRPSCMAT[],7,FALSE),"")</f>
        <v/>
      </c>
      <c r="Y37" s="232" t="str">
        <f>IFERROR(VLOOKUP(TableHandbook[[#This Row],[UDC]],TableSTRPSCSCI[],7,FALSE),"")</f>
        <v/>
      </c>
      <c r="Z37" s="232" t="str">
        <f>IFERROR(VLOOKUP(TableHandbook[[#This Row],[UDC]],TableSTRPSCFON[],7,FALSE),"")</f>
        <v/>
      </c>
      <c r="AA37" s="233" t="str">
        <f>IFERROR(VLOOKUP(TableHandbook[[#This Row],[UDC]],TableGCTESOL[],7,FALSE),"")</f>
        <v/>
      </c>
      <c r="AB37" s="232" t="str">
        <f>IFERROR(VLOOKUP(TableHandbook[[#This Row],[UDC]],TableMCTESOL[],7,FALSE),"")</f>
        <v/>
      </c>
      <c r="AC37" s="232" t="str">
        <f>IFERROR(VLOOKUP(TableHandbook[[#This Row],[UDC]],TableMCAPLING[],7,FALSE),"")</f>
        <v/>
      </c>
      <c r="AD37" s="233" t="str">
        <f>IFERROR(VLOOKUP(TableHandbook[[#This Row],[UDC]],TableGCEDHE[],7,FALSE),"")</f>
        <v/>
      </c>
      <c r="AE37" s="232" t="str">
        <f>IFERROR(VLOOKUP(TableHandbook[[#This Row],[UDC]],TableGCEDUC[],7,FALSE),"")</f>
        <v/>
      </c>
      <c r="AF37" s="232" t="str">
        <f>IFERROR(VLOOKUP(TableHandbook[[#This Row],[UDC]],TableGDEDUC[],7,FALSE),"")</f>
        <v/>
      </c>
      <c r="AG37" s="232" t="str">
        <f>IFERROR(VLOOKUP(TableHandbook[[#This Row],[UDC]],TableMJRPEDUPR[],7,FALSE),"")</f>
        <v/>
      </c>
      <c r="AH37" s="232" t="str">
        <f>IFERROR(VLOOKUP(TableHandbook[[#This Row],[UDC]],TableMJRPEDUSC[],7,FALSE),"")</f>
        <v/>
      </c>
      <c r="AI37" s="233" t="str">
        <f>IFERROR(VLOOKUP(TableHandbook[[#This Row],[UDC]],TableMCEDUC[],7,FALSE),"")</f>
        <v/>
      </c>
      <c r="AJ37" s="232" t="str">
        <f>IFERROR(VLOOKUP(TableHandbook[[#This Row],[UDC]],TableSPPECULIN[],7,FALSE),"")</f>
        <v/>
      </c>
      <c r="AK37" s="232" t="str">
        <f>IFERROR(VLOOKUP(TableHandbook[[#This Row],[UDC]],TableSPPELNTCH[],7,FALSE),"")</f>
        <v/>
      </c>
      <c r="AL37" s="232" t="str">
        <f>IFERROR(VLOOKUP(TableHandbook[[#This Row],[UDC]],TableSPPESTEME[],7,FALSE),"")</f>
        <v/>
      </c>
    </row>
    <row r="38" spans="1:38" x14ac:dyDescent="0.25">
      <c r="A38" s="2" t="s">
        <v>301</v>
      </c>
      <c r="B38" s="3">
        <v>2</v>
      </c>
      <c r="C38" s="3"/>
      <c r="D38" s="2" t="s">
        <v>372</v>
      </c>
      <c r="E38" s="3">
        <v>25</v>
      </c>
      <c r="F38" s="54" t="s">
        <v>336</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31" t="s">
        <v>371</v>
      </c>
      <c r="P38" s="233" t="str">
        <f>IFERROR(VLOOKUP(TableHandbook[[#This Row],[UDC]],TableMCTEACH[],7,FALSE),"")</f>
        <v/>
      </c>
      <c r="Q38" s="232" t="str">
        <f>IFERROR(VLOOKUP(TableHandbook[[#This Row],[UDC]],TableMJRPTCHEC[],7,FALSE),"")</f>
        <v/>
      </c>
      <c r="R38" s="232" t="str">
        <f>IFERROR(VLOOKUP(TableHandbook[[#This Row],[UDC]],TableMJRPTCHPR[],7,FALSE),"")</f>
        <v/>
      </c>
      <c r="S38" s="232" t="str">
        <f>IFERROR(VLOOKUP(TableHandbook[[#This Row],[UDC]],TableMJRPTCHSC[],7,FALSE),"")</f>
        <v/>
      </c>
      <c r="T38" s="232" t="str">
        <f>IFERROR(VLOOKUP(TableHandbook[[#This Row],[UDC]],TableSTRPSCART[],7,FALSE),"")</f>
        <v/>
      </c>
      <c r="U38" s="232" t="str">
        <f>IFERROR(VLOOKUP(TableHandbook[[#This Row],[UDC]],TableSTRPSCENG[],7,FALSE),"")</f>
        <v/>
      </c>
      <c r="V38" s="232" t="str">
        <f>IFERROR(VLOOKUP(TableHandbook[[#This Row],[UDC]],TableSTRPSCHLP[],7,FALSE),"")</f>
        <v/>
      </c>
      <c r="W38" s="232" t="str">
        <f>IFERROR(VLOOKUP(TableHandbook[[#This Row],[UDC]],TableSTRPSCHUS[],7,FALSE),"")</f>
        <v>Core</v>
      </c>
      <c r="X38" s="232" t="str">
        <f>IFERROR(VLOOKUP(TableHandbook[[#This Row],[UDC]],TableSTRPSCMAT[],7,FALSE),"")</f>
        <v/>
      </c>
      <c r="Y38" s="232" t="str">
        <f>IFERROR(VLOOKUP(TableHandbook[[#This Row],[UDC]],TableSTRPSCSCI[],7,FALSE),"")</f>
        <v/>
      </c>
      <c r="Z38" s="232" t="str">
        <f>IFERROR(VLOOKUP(TableHandbook[[#This Row],[UDC]],TableSTRPSCFON[],7,FALSE),"")</f>
        <v/>
      </c>
      <c r="AA38" s="233" t="str">
        <f>IFERROR(VLOOKUP(TableHandbook[[#This Row],[UDC]],TableGCTESOL[],7,FALSE),"")</f>
        <v/>
      </c>
      <c r="AB38" s="232" t="str">
        <f>IFERROR(VLOOKUP(TableHandbook[[#This Row],[UDC]],TableMCTESOL[],7,FALSE),"")</f>
        <v/>
      </c>
      <c r="AC38" s="232" t="str">
        <f>IFERROR(VLOOKUP(TableHandbook[[#This Row],[UDC]],TableMCAPLING[],7,FALSE),"")</f>
        <v/>
      </c>
      <c r="AD38" s="233" t="str">
        <f>IFERROR(VLOOKUP(TableHandbook[[#This Row],[UDC]],TableGCEDHE[],7,FALSE),"")</f>
        <v/>
      </c>
      <c r="AE38" s="232" t="str">
        <f>IFERROR(VLOOKUP(TableHandbook[[#This Row],[UDC]],TableGCEDUC[],7,FALSE),"")</f>
        <v/>
      </c>
      <c r="AF38" s="232" t="str">
        <f>IFERROR(VLOOKUP(TableHandbook[[#This Row],[UDC]],TableGDEDUC[],7,FALSE),"")</f>
        <v/>
      </c>
      <c r="AG38" s="232" t="str">
        <f>IFERROR(VLOOKUP(TableHandbook[[#This Row],[UDC]],TableMJRPEDUPR[],7,FALSE),"")</f>
        <v/>
      </c>
      <c r="AH38" s="232" t="str">
        <f>IFERROR(VLOOKUP(TableHandbook[[#This Row],[UDC]],TableMJRPEDUSC[],7,FALSE),"")</f>
        <v/>
      </c>
      <c r="AI38" s="233" t="str">
        <f>IFERROR(VLOOKUP(TableHandbook[[#This Row],[UDC]],TableMCEDUC[],7,FALSE),"")</f>
        <v/>
      </c>
      <c r="AJ38" s="232" t="str">
        <f>IFERROR(VLOOKUP(TableHandbook[[#This Row],[UDC]],TableSPPECULIN[],7,FALSE),"")</f>
        <v/>
      </c>
      <c r="AK38" s="232" t="str">
        <f>IFERROR(VLOOKUP(TableHandbook[[#This Row],[UDC]],TableSPPELNTCH[],7,FALSE),"")</f>
        <v/>
      </c>
      <c r="AL38" s="232" t="str">
        <f>IFERROR(VLOOKUP(TableHandbook[[#This Row],[UDC]],TableSPPESTEME[],7,FALSE),"")</f>
        <v/>
      </c>
    </row>
    <row r="39" spans="1:38" x14ac:dyDescent="0.25">
      <c r="A39" s="2" t="s">
        <v>302</v>
      </c>
      <c r="B39" s="3">
        <v>2</v>
      </c>
      <c r="C39" s="3"/>
      <c r="D39" s="2" t="s">
        <v>373</v>
      </c>
      <c r="E39" s="3">
        <v>25</v>
      </c>
      <c r="F39" s="54" t="s">
        <v>336</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31" t="s">
        <v>371</v>
      </c>
      <c r="P39" s="233" t="str">
        <f>IFERROR(VLOOKUP(TableHandbook[[#This Row],[UDC]],TableMCTEACH[],7,FALSE),"")</f>
        <v/>
      </c>
      <c r="Q39" s="232" t="str">
        <f>IFERROR(VLOOKUP(TableHandbook[[#This Row],[UDC]],TableMJRPTCHEC[],7,FALSE),"")</f>
        <v/>
      </c>
      <c r="R39" s="232" t="str">
        <f>IFERROR(VLOOKUP(TableHandbook[[#This Row],[UDC]],TableMJRPTCHPR[],7,FALSE),"")</f>
        <v/>
      </c>
      <c r="S39" s="232" t="str">
        <f>IFERROR(VLOOKUP(TableHandbook[[#This Row],[UDC]],TableMJRPTCHSC[],7,FALSE),"")</f>
        <v/>
      </c>
      <c r="T39" s="232" t="str">
        <f>IFERROR(VLOOKUP(TableHandbook[[#This Row],[UDC]],TableSTRPSCART[],7,FALSE),"")</f>
        <v/>
      </c>
      <c r="U39" s="232" t="str">
        <f>IFERROR(VLOOKUP(TableHandbook[[#This Row],[UDC]],TableSTRPSCENG[],7,FALSE),"")</f>
        <v/>
      </c>
      <c r="V39" s="232" t="str">
        <f>IFERROR(VLOOKUP(TableHandbook[[#This Row],[UDC]],TableSTRPSCHLP[],7,FALSE),"")</f>
        <v/>
      </c>
      <c r="W39" s="232" t="str">
        <f>IFERROR(VLOOKUP(TableHandbook[[#This Row],[UDC]],TableSTRPSCHUS[],7,FALSE),"")</f>
        <v/>
      </c>
      <c r="X39" s="232" t="str">
        <f>IFERROR(VLOOKUP(TableHandbook[[#This Row],[UDC]],TableSTRPSCMAT[],7,FALSE),"")</f>
        <v>Core</v>
      </c>
      <c r="Y39" s="232" t="str">
        <f>IFERROR(VLOOKUP(TableHandbook[[#This Row],[UDC]],TableSTRPSCSCI[],7,FALSE),"")</f>
        <v/>
      </c>
      <c r="Z39" s="232" t="str">
        <f>IFERROR(VLOOKUP(TableHandbook[[#This Row],[UDC]],TableSTRPSCFON[],7,FALSE),"")</f>
        <v/>
      </c>
      <c r="AA39" s="233" t="str">
        <f>IFERROR(VLOOKUP(TableHandbook[[#This Row],[UDC]],TableGCTESOL[],7,FALSE),"")</f>
        <v/>
      </c>
      <c r="AB39" s="232" t="str">
        <f>IFERROR(VLOOKUP(TableHandbook[[#This Row],[UDC]],TableMCTESOL[],7,FALSE),"")</f>
        <v/>
      </c>
      <c r="AC39" s="232" t="str">
        <f>IFERROR(VLOOKUP(TableHandbook[[#This Row],[UDC]],TableMCAPLING[],7,FALSE),"")</f>
        <v/>
      </c>
      <c r="AD39" s="233" t="str">
        <f>IFERROR(VLOOKUP(TableHandbook[[#This Row],[UDC]],TableGCEDHE[],7,FALSE),"")</f>
        <v/>
      </c>
      <c r="AE39" s="232" t="str">
        <f>IFERROR(VLOOKUP(TableHandbook[[#This Row],[UDC]],TableGCEDUC[],7,FALSE),"")</f>
        <v/>
      </c>
      <c r="AF39" s="232" t="str">
        <f>IFERROR(VLOOKUP(TableHandbook[[#This Row],[UDC]],TableGDEDUC[],7,FALSE),"")</f>
        <v/>
      </c>
      <c r="AG39" s="232" t="str">
        <f>IFERROR(VLOOKUP(TableHandbook[[#This Row],[UDC]],TableMJRPEDUPR[],7,FALSE),"")</f>
        <v/>
      </c>
      <c r="AH39" s="232" t="str">
        <f>IFERROR(VLOOKUP(TableHandbook[[#This Row],[UDC]],TableMJRPEDUSC[],7,FALSE),"")</f>
        <v/>
      </c>
      <c r="AI39" s="233" t="str">
        <f>IFERROR(VLOOKUP(TableHandbook[[#This Row],[UDC]],TableMCEDUC[],7,FALSE),"")</f>
        <v/>
      </c>
      <c r="AJ39" s="232" t="str">
        <f>IFERROR(VLOOKUP(TableHandbook[[#This Row],[UDC]],TableSPPECULIN[],7,FALSE),"")</f>
        <v/>
      </c>
      <c r="AK39" s="232" t="str">
        <f>IFERROR(VLOOKUP(TableHandbook[[#This Row],[UDC]],TableSPPELNTCH[],7,FALSE),"")</f>
        <v/>
      </c>
      <c r="AL39" s="232" t="str">
        <f>IFERROR(VLOOKUP(TableHandbook[[#This Row],[UDC]],TableSPPESTEME[],7,FALSE),"")</f>
        <v/>
      </c>
    </row>
    <row r="40" spans="1:38" x14ac:dyDescent="0.25">
      <c r="A40" s="2" t="s">
        <v>303</v>
      </c>
      <c r="B40" s="3">
        <v>2</v>
      </c>
      <c r="C40" s="3"/>
      <c r="D40" s="2" t="s">
        <v>374</v>
      </c>
      <c r="E40" s="3">
        <v>25</v>
      </c>
      <c r="F40" s="54" t="s">
        <v>336</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31" t="s">
        <v>371</v>
      </c>
      <c r="P40" s="233" t="str">
        <f>IFERROR(VLOOKUP(TableHandbook[[#This Row],[UDC]],TableMCTEACH[],7,FALSE),"")</f>
        <v/>
      </c>
      <c r="Q40" s="232" t="str">
        <f>IFERROR(VLOOKUP(TableHandbook[[#This Row],[UDC]],TableMJRPTCHEC[],7,FALSE),"")</f>
        <v/>
      </c>
      <c r="R40" s="232" t="str">
        <f>IFERROR(VLOOKUP(TableHandbook[[#This Row],[UDC]],TableMJRPTCHPR[],7,FALSE),"")</f>
        <v/>
      </c>
      <c r="S40" s="232" t="str">
        <f>IFERROR(VLOOKUP(TableHandbook[[#This Row],[UDC]],TableMJRPTCHSC[],7,FALSE),"")</f>
        <v/>
      </c>
      <c r="T40" s="232" t="str">
        <f>IFERROR(VLOOKUP(TableHandbook[[#This Row],[UDC]],TableSTRPSCART[],7,FALSE),"")</f>
        <v/>
      </c>
      <c r="U40" s="232" t="str">
        <f>IFERROR(VLOOKUP(TableHandbook[[#This Row],[UDC]],TableSTRPSCENG[],7,FALSE),"")</f>
        <v/>
      </c>
      <c r="V40" s="232" t="str">
        <f>IFERROR(VLOOKUP(TableHandbook[[#This Row],[UDC]],TableSTRPSCHLP[],7,FALSE),"")</f>
        <v/>
      </c>
      <c r="W40" s="232" t="str">
        <f>IFERROR(VLOOKUP(TableHandbook[[#This Row],[UDC]],TableSTRPSCHUS[],7,FALSE),"")</f>
        <v/>
      </c>
      <c r="X40" s="232" t="str">
        <f>IFERROR(VLOOKUP(TableHandbook[[#This Row],[UDC]],TableSTRPSCMAT[],7,FALSE),"")</f>
        <v/>
      </c>
      <c r="Y40" s="232" t="str">
        <f>IFERROR(VLOOKUP(TableHandbook[[#This Row],[UDC]],TableSTRPSCSCI[],7,FALSE),"")</f>
        <v>Core</v>
      </c>
      <c r="Z40" s="232" t="str">
        <f>IFERROR(VLOOKUP(TableHandbook[[#This Row],[UDC]],TableSTRPSCFON[],7,FALSE),"")</f>
        <v/>
      </c>
      <c r="AA40" s="233" t="str">
        <f>IFERROR(VLOOKUP(TableHandbook[[#This Row],[UDC]],TableGCTESOL[],7,FALSE),"")</f>
        <v/>
      </c>
      <c r="AB40" s="232" t="str">
        <f>IFERROR(VLOOKUP(TableHandbook[[#This Row],[UDC]],TableMCTESOL[],7,FALSE),"")</f>
        <v/>
      </c>
      <c r="AC40" s="232" t="str">
        <f>IFERROR(VLOOKUP(TableHandbook[[#This Row],[UDC]],TableMCAPLING[],7,FALSE),"")</f>
        <v/>
      </c>
      <c r="AD40" s="233" t="str">
        <f>IFERROR(VLOOKUP(TableHandbook[[#This Row],[UDC]],TableGCEDHE[],7,FALSE),"")</f>
        <v/>
      </c>
      <c r="AE40" s="232" t="str">
        <f>IFERROR(VLOOKUP(TableHandbook[[#This Row],[UDC]],TableGCEDUC[],7,FALSE),"")</f>
        <v/>
      </c>
      <c r="AF40" s="232" t="str">
        <f>IFERROR(VLOOKUP(TableHandbook[[#This Row],[UDC]],TableGDEDUC[],7,FALSE),"")</f>
        <v/>
      </c>
      <c r="AG40" s="232" t="str">
        <f>IFERROR(VLOOKUP(TableHandbook[[#This Row],[UDC]],TableMJRPEDUPR[],7,FALSE),"")</f>
        <v/>
      </c>
      <c r="AH40" s="232" t="str">
        <f>IFERROR(VLOOKUP(TableHandbook[[#This Row],[UDC]],TableMJRPEDUSC[],7,FALSE),"")</f>
        <v/>
      </c>
      <c r="AI40" s="233" t="str">
        <f>IFERROR(VLOOKUP(TableHandbook[[#This Row],[UDC]],TableMCEDUC[],7,FALSE),"")</f>
        <v/>
      </c>
      <c r="AJ40" s="232" t="str">
        <f>IFERROR(VLOOKUP(TableHandbook[[#This Row],[UDC]],TableSPPECULIN[],7,FALSE),"")</f>
        <v/>
      </c>
      <c r="AK40" s="232" t="str">
        <f>IFERROR(VLOOKUP(TableHandbook[[#This Row],[UDC]],TableSPPELNTCH[],7,FALSE),"")</f>
        <v/>
      </c>
      <c r="AL40" s="232" t="str">
        <f>IFERROR(VLOOKUP(TableHandbook[[#This Row],[UDC]],TableSPPESTEME[],7,FALSE),"")</f>
        <v/>
      </c>
    </row>
    <row r="41" spans="1:38" x14ac:dyDescent="0.25">
      <c r="A41" s="2" t="s">
        <v>259</v>
      </c>
      <c r="B41" s="3">
        <v>1</v>
      </c>
      <c r="C41" s="3"/>
      <c r="D41" s="2" t="s">
        <v>375</v>
      </c>
      <c r="E41" s="3">
        <v>25</v>
      </c>
      <c r="F41" s="54" t="s">
        <v>336</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31"/>
      <c r="P41" s="233" t="str">
        <f>IFERROR(VLOOKUP(TableHandbook[[#This Row],[UDC]],TableMCTEACH[],7,FALSE),"")</f>
        <v/>
      </c>
      <c r="Q41" s="232" t="str">
        <f>IFERROR(VLOOKUP(TableHandbook[[#This Row],[UDC]],TableMJRPTCHEC[],7,FALSE),"")</f>
        <v/>
      </c>
      <c r="R41" s="232" t="str">
        <f>IFERROR(VLOOKUP(TableHandbook[[#This Row],[UDC]],TableMJRPTCHPR[],7,FALSE),"")</f>
        <v/>
      </c>
      <c r="S41" s="232" t="str">
        <f>IFERROR(VLOOKUP(TableHandbook[[#This Row],[UDC]],TableMJRPTCHSC[],7,FALSE),"")</f>
        <v>Core</v>
      </c>
      <c r="T41" s="232" t="str">
        <f>IFERROR(VLOOKUP(TableHandbook[[#This Row],[UDC]],TableSTRPSCART[],7,FALSE),"")</f>
        <v/>
      </c>
      <c r="U41" s="232" t="str">
        <f>IFERROR(VLOOKUP(TableHandbook[[#This Row],[UDC]],TableSTRPSCENG[],7,FALSE),"")</f>
        <v/>
      </c>
      <c r="V41" s="232" t="str">
        <f>IFERROR(VLOOKUP(TableHandbook[[#This Row],[UDC]],TableSTRPSCHLP[],7,FALSE),"")</f>
        <v/>
      </c>
      <c r="W41" s="232" t="str">
        <f>IFERROR(VLOOKUP(TableHandbook[[#This Row],[UDC]],TableSTRPSCHUS[],7,FALSE),"")</f>
        <v/>
      </c>
      <c r="X41" s="232" t="str">
        <f>IFERROR(VLOOKUP(TableHandbook[[#This Row],[UDC]],TableSTRPSCMAT[],7,FALSE),"")</f>
        <v/>
      </c>
      <c r="Y41" s="232" t="str">
        <f>IFERROR(VLOOKUP(TableHandbook[[#This Row],[UDC]],TableSTRPSCSCI[],7,FALSE),"")</f>
        <v/>
      </c>
      <c r="Z41" s="232" t="str">
        <f>IFERROR(VLOOKUP(TableHandbook[[#This Row],[UDC]],TableSTRPSCFON[],7,FALSE),"")</f>
        <v/>
      </c>
      <c r="AA41" s="233" t="str">
        <f>IFERROR(VLOOKUP(TableHandbook[[#This Row],[UDC]],TableGCTESOL[],7,FALSE),"")</f>
        <v/>
      </c>
      <c r="AB41" s="232" t="str">
        <f>IFERROR(VLOOKUP(TableHandbook[[#This Row],[UDC]],TableMCTESOL[],7,FALSE),"")</f>
        <v/>
      </c>
      <c r="AC41" s="232" t="str">
        <f>IFERROR(VLOOKUP(TableHandbook[[#This Row],[UDC]],TableMCAPLING[],7,FALSE),"")</f>
        <v/>
      </c>
      <c r="AD41" s="233" t="str">
        <f>IFERROR(VLOOKUP(TableHandbook[[#This Row],[UDC]],TableGCEDHE[],7,FALSE),"")</f>
        <v/>
      </c>
      <c r="AE41" s="232" t="str">
        <f>IFERROR(VLOOKUP(TableHandbook[[#This Row],[UDC]],TableGCEDUC[],7,FALSE),"")</f>
        <v/>
      </c>
      <c r="AF41" s="232" t="str">
        <f>IFERROR(VLOOKUP(TableHandbook[[#This Row],[UDC]],TableGDEDUC[],7,FALSE),"")</f>
        <v/>
      </c>
      <c r="AG41" s="232" t="str">
        <f>IFERROR(VLOOKUP(TableHandbook[[#This Row],[UDC]],TableMJRPEDUPR[],7,FALSE),"")</f>
        <v/>
      </c>
      <c r="AH41" s="232" t="str">
        <f>IFERROR(VLOOKUP(TableHandbook[[#This Row],[UDC]],TableMJRPEDUSC[],7,FALSE),"")</f>
        <v>Core</v>
      </c>
      <c r="AI41" s="233" t="str">
        <f>IFERROR(VLOOKUP(TableHandbook[[#This Row],[UDC]],TableMCEDUC[],7,FALSE),"")</f>
        <v/>
      </c>
      <c r="AJ41" s="232" t="str">
        <f>IFERROR(VLOOKUP(TableHandbook[[#This Row],[UDC]],TableSPPECULIN[],7,FALSE),"")</f>
        <v/>
      </c>
      <c r="AK41" s="232" t="str">
        <f>IFERROR(VLOOKUP(TableHandbook[[#This Row],[UDC]],TableSPPELNTCH[],7,FALSE),"")</f>
        <v/>
      </c>
      <c r="AL41" s="232" t="str">
        <f>IFERROR(VLOOKUP(TableHandbook[[#This Row],[UDC]],TableSPPESTEME[],7,FALSE),"")</f>
        <v/>
      </c>
    </row>
    <row r="42" spans="1:38" x14ac:dyDescent="0.25">
      <c r="A42" s="2" t="s">
        <v>299</v>
      </c>
      <c r="B42" s="3">
        <v>1</v>
      </c>
      <c r="C42" s="3"/>
      <c r="D42" s="2" t="s">
        <v>376</v>
      </c>
      <c r="E42" s="3">
        <v>25</v>
      </c>
      <c r="F42" s="54" t="s">
        <v>336</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31" t="s">
        <v>371</v>
      </c>
      <c r="P42" s="233" t="str">
        <f>IFERROR(VLOOKUP(TableHandbook[[#This Row],[UDC]],TableMCTEACH[],7,FALSE),"")</f>
        <v/>
      </c>
      <c r="Q42" s="232" t="str">
        <f>IFERROR(VLOOKUP(TableHandbook[[#This Row],[UDC]],TableMJRPTCHEC[],7,FALSE),"")</f>
        <v/>
      </c>
      <c r="R42" s="232" t="str">
        <f>IFERROR(VLOOKUP(TableHandbook[[#This Row],[UDC]],TableMJRPTCHPR[],7,FALSE),"")</f>
        <v/>
      </c>
      <c r="S42" s="232" t="str">
        <f>IFERROR(VLOOKUP(TableHandbook[[#This Row],[UDC]],TableMJRPTCHSC[],7,FALSE),"")</f>
        <v/>
      </c>
      <c r="T42" s="232" t="str">
        <f>IFERROR(VLOOKUP(TableHandbook[[#This Row],[UDC]],TableSTRPSCART[],7,FALSE),"")</f>
        <v/>
      </c>
      <c r="U42" s="232" t="str">
        <f>IFERROR(VLOOKUP(TableHandbook[[#This Row],[UDC]],TableSTRPSCENG[],7,FALSE),"")</f>
        <v>Core</v>
      </c>
      <c r="V42" s="232" t="str">
        <f>IFERROR(VLOOKUP(TableHandbook[[#This Row],[UDC]],TableSTRPSCHLP[],7,FALSE),"")</f>
        <v/>
      </c>
      <c r="W42" s="232" t="str">
        <f>IFERROR(VLOOKUP(TableHandbook[[#This Row],[UDC]],TableSTRPSCHUS[],7,FALSE),"")</f>
        <v/>
      </c>
      <c r="X42" s="232" t="str">
        <f>IFERROR(VLOOKUP(TableHandbook[[#This Row],[UDC]],TableSTRPSCMAT[],7,FALSE),"")</f>
        <v/>
      </c>
      <c r="Y42" s="232" t="str">
        <f>IFERROR(VLOOKUP(TableHandbook[[#This Row],[UDC]],TableSTRPSCSCI[],7,FALSE),"")</f>
        <v/>
      </c>
      <c r="Z42" s="232" t="str">
        <f>IFERROR(VLOOKUP(TableHandbook[[#This Row],[UDC]],TableSTRPSCFON[],7,FALSE),"")</f>
        <v/>
      </c>
      <c r="AA42" s="233" t="str">
        <f>IFERROR(VLOOKUP(TableHandbook[[#This Row],[UDC]],TableGCTESOL[],7,FALSE),"")</f>
        <v/>
      </c>
      <c r="AB42" s="232" t="str">
        <f>IFERROR(VLOOKUP(TableHandbook[[#This Row],[UDC]],TableMCTESOL[],7,FALSE),"")</f>
        <v/>
      </c>
      <c r="AC42" s="232" t="str">
        <f>IFERROR(VLOOKUP(TableHandbook[[#This Row],[UDC]],TableMCAPLING[],7,FALSE),"")</f>
        <v/>
      </c>
      <c r="AD42" s="233" t="str">
        <f>IFERROR(VLOOKUP(TableHandbook[[#This Row],[UDC]],TableGCEDHE[],7,FALSE),"")</f>
        <v/>
      </c>
      <c r="AE42" s="232" t="str">
        <f>IFERROR(VLOOKUP(TableHandbook[[#This Row],[UDC]],TableGCEDUC[],7,FALSE),"")</f>
        <v/>
      </c>
      <c r="AF42" s="232" t="str">
        <f>IFERROR(VLOOKUP(TableHandbook[[#This Row],[UDC]],TableGDEDUC[],7,FALSE),"")</f>
        <v/>
      </c>
      <c r="AG42" s="232" t="str">
        <f>IFERROR(VLOOKUP(TableHandbook[[#This Row],[UDC]],TableMJRPEDUPR[],7,FALSE),"")</f>
        <v/>
      </c>
      <c r="AH42" s="232" t="str">
        <f>IFERROR(VLOOKUP(TableHandbook[[#This Row],[UDC]],TableMJRPEDUSC[],7,FALSE),"")</f>
        <v/>
      </c>
      <c r="AI42" s="233" t="str">
        <f>IFERROR(VLOOKUP(TableHandbook[[#This Row],[UDC]],TableMCEDUC[],7,FALSE),"")</f>
        <v/>
      </c>
      <c r="AJ42" s="232" t="str">
        <f>IFERROR(VLOOKUP(TableHandbook[[#This Row],[UDC]],TableSPPECULIN[],7,FALSE),"")</f>
        <v/>
      </c>
      <c r="AK42" s="232" t="str">
        <f>IFERROR(VLOOKUP(TableHandbook[[#This Row],[UDC]],TableSPPELNTCH[],7,FALSE),"")</f>
        <v/>
      </c>
      <c r="AL42" s="232" t="str">
        <f>IFERROR(VLOOKUP(TableHandbook[[#This Row],[UDC]],TableSPPESTEME[],7,FALSE),"")</f>
        <v/>
      </c>
    </row>
    <row r="43" spans="1:38" x14ac:dyDescent="0.25">
      <c r="A43" s="2" t="s">
        <v>292</v>
      </c>
      <c r="B43" s="3">
        <v>1</v>
      </c>
      <c r="C43" s="3"/>
      <c r="D43" s="2" t="s">
        <v>377</v>
      </c>
      <c r="E43" s="3">
        <v>25</v>
      </c>
      <c r="F43" s="54" t="s">
        <v>336</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31"/>
      <c r="P43" s="233" t="str">
        <f>IFERROR(VLOOKUP(TableHandbook[[#This Row],[UDC]],TableMCTEACH[],7,FALSE),"")</f>
        <v/>
      </c>
      <c r="Q43" s="232" t="str">
        <f>IFERROR(VLOOKUP(TableHandbook[[#This Row],[UDC]],TableMJRPTCHEC[],7,FALSE),"")</f>
        <v/>
      </c>
      <c r="R43" s="232" t="str">
        <f>IFERROR(VLOOKUP(TableHandbook[[#This Row],[UDC]],TableMJRPTCHPR[],7,FALSE),"")</f>
        <v/>
      </c>
      <c r="S43" s="232" t="str">
        <f>IFERROR(VLOOKUP(TableHandbook[[#This Row],[UDC]],TableMJRPTCHSC[],7,FALSE),"")</f>
        <v/>
      </c>
      <c r="T43" s="232" t="str">
        <f>IFERROR(VLOOKUP(TableHandbook[[#This Row],[UDC]],TableSTRPSCART[],7,FALSE),"")</f>
        <v/>
      </c>
      <c r="U43" s="232" t="str">
        <f>IFERROR(VLOOKUP(TableHandbook[[#This Row],[UDC]],TableSTRPSCENG[],7,FALSE),"")</f>
        <v/>
      </c>
      <c r="V43" s="232" t="str">
        <f>IFERROR(VLOOKUP(TableHandbook[[#This Row],[UDC]],TableSTRPSCHLP[],7,FALSE),"")</f>
        <v>Core</v>
      </c>
      <c r="W43" s="232" t="str">
        <f>IFERROR(VLOOKUP(TableHandbook[[#This Row],[UDC]],TableSTRPSCHUS[],7,FALSE),"")</f>
        <v/>
      </c>
      <c r="X43" s="232" t="str">
        <f>IFERROR(VLOOKUP(TableHandbook[[#This Row],[UDC]],TableSTRPSCMAT[],7,FALSE),"")</f>
        <v/>
      </c>
      <c r="Y43" s="232" t="str">
        <f>IFERROR(VLOOKUP(TableHandbook[[#This Row],[UDC]],TableSTRPSCSCI[],7,FALSE),"")</f>
        <v/>
      </c>
      <c r="Z43" s="232" t="str">
        <f>IFERROR(VLOOKUP(TableHandbook[[#This Row],[UDC]],TableSTRPSCFON[],7,FALSE),"")</f>
        <v/>
      </c>
      <c r="AA43" s="233" t="str">
        <f>IFERROR(VLOOKUP(TableHandbook[[#This Row],[UDC]],TableGCTESOL[],7,FALSE),"")</f>
        <v/>
      </c>
      <c r="AB43" s="232" t="str">
        <f>IFERROR(VLOOKUP(TableHandbook[[#This Row],[UDC]],TableMCTESOL[],7,FALSE),"")</f>
        <v/>
      </c>
      <c r="AC43" s="232" t="str">
        <f>IFERROR(VLOOKUP(TableHandbook[[#This Row],[UDC]],TableMCAPLING[],7,FALSE),"")</f>
        <v/>
      </c>
      <c r="AD43" s="233" t="str">
        <f>IFERROR(VLOOKUP(TableHandbook[[#This Row],[UDC]],TableGCEDHE[],7,FALSE),"")</f>
        <v/>
      </c>
      <c r="AE43" s="232" t="str">
        <f>IFERROR(VLOOKUP(TableHandbook[[#This Row],[UDC]],TableGCEDUC[],7,FALSE),"")</f>
        <v/>
      </c>
      <c r="AF43" s="232" t="str">
        <f>IFERROR(VLOOKUP(TableHandbook[[#This Row],[UDC]],TableGDEDUC[],7,FALSE),"")</f>
        <v/>
      </c>
      <c r="AG43" s="232" t="str">
        <f>IFERROR(VLOOKUP(TableHandbook[[#This Row],[UDC]],TableMJRPEDUPR[],7,FALSE),"")</f>
        <v/>
      </c>
      <c r="AH43" s="232" t="str">
        <f>IFERROR(VLOOKUP(TableHandbook[[#This Row],[UDC]],TableMJRPEDUSC[],7,FALSE),"")</f>
        <v/>
      </c>
      <c r="AI43" s="233" t="str">
        <f>IFERROR(VLOOKUP(TableHandbook[[#This Row],[UDC]],TableMCEDUC[],7,FALSE),"")</f>
        <v/>
      </c>
      <c r="AJ43" s="232" t="str">
        <f>IFERROR(VLOOKUP(TableHandbook[[#This Row],[UDC]],TableSPPECULIN[],7,FALSE),"")</f>
        <v/>
      </c>
      <c r="AK43" s="232" t="str">
        <f>IFERROR(VLOOKUP(TableHandbook[[#This Row],[UDC]],TableSPPELNTCH[],7,FALSE),"")</f>
        <v/>
      </c>
      <c r="AL43" s="232" t="str">
        <f>IFERROR(VLOOKUP(TableHandbook[[#This Row],[UDC]],TableSPPESTEME[],7,FALSE),"")</f>
        <v/>
      </c>
    </row>
    <row r="44" spans="1:38" x14ac:dyDescent="0.25">
      <c r="A44" s="2" t="s">
        <v>300</v>
      </c>
      <c r="B44" s="3">
        <v>1</v>
      </c>
      <c r="C44" s="3"/>
      <c r="D44" s="2" t="s">
        <v>378</v>
      </c>
      <c r="E44" s="3">
        <v>25</v>
      </c>
      <c r="F44" s="54" t="s">
        <v>336</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31" t="s">
        <v>371</v>
      </c>
      <c r="P44" s="233" t="str">
        <f>IFERROR(VLOOKUP(TableHandbook[[#This Row],[UDC]],TableMCTEACH[],7,FALSE),"")</f>
        <v/>
      </c>
      <c r="Q44" s="232" t="str">
        <f>IFERROR(VLOOKUP(TableHandbook[[#This Row],[UDC]],TableMJRPTCHEC[],7,FALSE),"")</f>
        <v/>
      </c>
      <c r="R44" s="232" t="str">
        <f>IFERROR(VLOOKUP(TableHandbook[[#This Row],[UDC]],TableMJRPTCHPR[],7,FALSE),"")</f>
        <v/>
      </c>
      <c r="S44" s="232" t="str">
        <f>IFERROR(VLOOKUP(TableHandbook[[#This Row],[UDC]],TableMJRPTCHSC[],7,FALSE),"")</f>
        <v/>
      </c>
      <c r="T44" s="232" t="str">
        <f>IFERROR(VLOOKUP(TableHandbook[[#This Row],[UDC]],TableSTRPSCART[],7,FALSE),"")</f>
        <v/>
      </c>
      <c r="U44" s="232" t="str">
        <f>IFERROR(VLOOKUP(TableHandbook[[#This Row],[UDC]],TableSTRPSCENG[],7,FALSE),"")</f>
        <v/>
      </c>
      <c r="V44" s="232" t="str">
        <f>IFERROR(VLOOKUP(TableHandbook[[#This Row],[UDC]],TableSTRPSCHLP[],7,FALSE),"")</f>
        <v>Core</v>
      </c>
      <c r="W44" s="232" t="str">
        <f>IFERROR(VLOOKUP(TableHandbook[[#This Row],[UDC]],TableSTRPSCHUS[],7,FALSE),"")</f>
        <v/>
      </c>
      <c r="X44" s="232" t="str">
        <f>IFERROR(VLOOKUP(TableHandbook[[#This Row],[UDC]],TableSTRPSCMAT[],7,FALSE),"")</f>
        <v/>
      </c>
      <c r="Y44" s="232" t="str">
        <f>IFERROR(VLOOKUP(TableHandbook[[#This Row],[UDC]],TableSTRPSCSCI[],7,FALSE),"")</f>
        <v/>
      </c>
      <c r="Z44" s="232" t="str">
        <f>IFERROR(VLOOKUP(TableHandbook[[#This Row],[UDC]],TableSTRPSCFON[],7,FALSE),"")</f>
        <v/>
      </c>
      <c r="AA44" s="233" t="str">
        <f>IFERROR(VLOOKUP(TableHandbook[[#This Row],[UDC]],TableGCTESOL[],7,FALSE),"")</f>
        <v/>
      </c>
      <c r="AB44" s="232" t="str">
        <f>IFERROR(VLOOKUP(TableHandbook[[#This Row],[UDC]],TableMCTESOL[],7,FALSE),"")</f>
        <v/>
      </c>
      <c r="AC44" s="232" t="str">
        <f>IFERROR(VLOOKUP(TableHandbook[[#This Row],[UDC]],TableMCAPLING[],7,FALSE),"")</f>
        <v/>
      </c>
      <c r="AD44" s="233" t="str">
        <f>IFERROR(VLOOKUP(TableHandbook[[#This Row],[UDC]],TableGCEDHE[],7,FALSE),"")</f>
        <v/>
      </c>
      <c r="AE44" s="232" t="str">
        <f>IFERROR(VLOOKUP(TableHandbook[[#This Row],[UDC]],TableGCEDUC[],7,FALSE),"")</f>
        <v/>
      </c>
      <c r="AF44" s="232" t="str">
        <f>IFERROR(VLOOKUP(TableHandbook[[#This Row],[UDC]],TableGDEDUC[],7,FALSE),"")</f>
        <v/>
      </c>
      <c r="AG44" s="232" t="str">
        <f>IFERROR(VLOOKUP(TableHandbook[[#This Row],[UDC]],TableMJRPEDUPR[],7,FALSE),"")</f>
        <v/>
      </c>
      <c r="AH44" s="232" t="str">
        <f>IFERROR(VLOOKUP(TableHandbook[[#This Row],[UDC]],TableMJRPEDUSC[],7,FALSE),"")</f>
        <v/>
      </c>
      <c r="AI44" s="233" t="str">
        <f>IFERROR(VLOOKUP(TableHandbook[[#This Row],[UDC]],TableMCEDUC[],7,FALSE),"")</f>
        <v/>
      </c>
      <c r="AJ44" s="232" t="str">
        <f>IFERROR(VLOOKUP(TableHandbook[[#This Row],[UDC]],TableSPPECULIN[],7,FALSE),"")</f>
        <v/>
      </c>
      <c r="AK44" s="232" t="str">
        <f>IFERROR(VLOOKUP(TableHandbook[[#This Row],[UDC]],TableSPPELNTCH[],7,FALSE),"")</f>
        <v/>
      </c>
      <c r="AL44" s="232" t="str">
        <f>IFERROR(VLOOKUP(TableHandbook[[#This Row],[UDC]],TableSPPESTEME[],7,FALSE),"")</f>
        <v/>
      </c>
    </row>
    <row r="45" spans="1:38" x14ac:dyDescent="0.25">
      <c r="A45" s="2" t="s">
        <v>309</v>
      </c>
      <c r="B45" s="3">
        <v>1</v>
      </c>
      <c r="C45" s="3"/>
      <c r="D45" s="2" t="s">
        <v>379</v>
      </c>
      <c r="E45" s="3">
        <v>25</v>
      </c>
      <c r="F45" s="54" t="s">
        <v>336</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31"/>
      <c r="P45" s="233" t="str">
        <f>IFERROR(VLOOKUP(TableHandbook[[#This Row],[UDC]],TableMCTEACH[],7,FALSE),"")</f>
        <v/>
      </c>
      <c r="Q45" s="232" t="str">
        <f>IFERROR(VLOOKUP(TableHandbook[[#This Row],[UDC]],TableMJRPTCHEC[],7,FALSE),"")</f>
        <v/>
      </c>
      <c r="R45" s="232" t="str">
        <f>IFERROR(VLOOKUP(TableHandbook[[#This Row],[UDC]],TableMJRPTCHPR[],7,FALSE),"")</f>
        <v/>
      </c>
      <c r="S45" s="232" t="str">
        <f>IFERROR(VLOOKUP(TableHandbook[[#This Row],[UDC]],TableMJRPTCHSC[],7,FALSE),"")</f>
        <v/>
      </c>
      <c r="T45" s="232" t="str">
        <f>IFERROR(VLOOKUP(TableHandbook[[#This Row],[UDC]],TableSTRPSCART[],7,FALSE),"")</f>
        <v/>
      </c>
      <c r="U45" s="232" t="str">
        <f>IFERROR(VLOOKUP(TableHandbook[[#This Row],[UDC]],TableSTRPSCENG[],7,FALSE),"")</f>
        <v/>
      </c>
      <c r="V45" s="232" t="str">
        <f>IFERROR(VLOOKUP(TableHandbook[[#This Row],[UDC]],TableSTRPSCHLP[],7,FALSE),"")</f>
        <v/>
      </c>
      <c r="W45" s="232" t="str">
        <f>IFERROR(VLOOKUP(TableHandbook[[#This Row],[UDC]],TableSTRPSCHUS[],7,FALSE),"")</f>
        <v/>
      </c>
      <c r="X45" s="232" t="str">
        <f>IFERROR(VLOOKUP(TableHandbook[[#This Row],[UDC]],TableSTRPSCMAT[],7,FALSE),"")</f>
        <v/>
      </c>
      <c r="Y45" s="232" t="str">
        <f>IFERROR(VLOOKUP(TableHandbook[[#This Row],[UDC]],TableSTRPSCSCI[],7,FALSE),"")</f>
        <v/>
      </c>
      <c r="Z45" s="232" t="str">
        <f>IFERROR(VLOOKUP(TableHandbook[[#This Row],[UDC]],TableSTRPSCFON[],7,FALSE),"")</f>
        <v>Core</v>
      </c>
      <c r="AA45" s="233" t="str">
        <f>IFERROR(VLOOKUP(TableHandbook[[#This Row],[UDC]],TableGCTESOL[],7,FALSE),"")</f>
        <v/>
      </c>
      <c r="AB45" s="232" t="str">
        <f>IFERROR(VLOOKUP(TableHandbook[[#This Row],[UDC]],TableMCTESOL[],7,FALSE),"")</f>
        <v/>
      </c>
      <c r="AC45" s="232" t="str">
        <f>IFERROR(VLOOKUP(TableHandbook[[#This Row],[UDC]],TableMCAPLING[],7,FALSE),"")</f>
        <v/>
      </c>
      <c r="AD45" s="233" t="str">
        <f>IFERROR(VLOOKUP(TableHandbook[[#This Row],[UDC]],TableGCEDHE[],7,FALSE),"")</f>
        <v/>
      </c>
      <c r="AE45" s="232" t="str">
        <f>IFERROR(VLOOKUP(TableHandbook[[#This Row],[UDC]],TableGCEDUC[],7,FALSE),"")</f>
        <v/>
      </c>
      <c r="AF45" s="232" t="str">
        <f>IFERROR(VLOOKUP(TableHandbook[[#This Row],[UDC]],TableGDEDUC[],7,FALSE),"")</f>
        <v/>
      </c>
      <c r="AG45" s="232" t="str">
        <f>IFERROR(VLOOKUP(TableHandbook[[#This Row],[UDC]],TableMJRPEDUPR[],7,FALSE),"")</f>
        <v/>
      </c>
      <c r="AH45" s="232" t="str">
        <f>IFERROR(VLOOKUP(TableHandbook[[#This Row],[UDC]],TableMJRPEDUSC[],7,FALSE),"")</f>
        <v/>
      </c>
      <c r="AI45" s="233" t="str">
        <f>IFERROR(VLOOKUP(TableHandbook[[#This Row],[UDC]],TableMCEDUC[],7,FALSE),"")</f>
        <v/>
      </c>
      <c r="AJ45" s="232" t="str">
        <f>IFERROR(VLOOKUP(TableHandbook[[#This Row],[UDC]],TableSPPECULIN[],7,FALSE),"")</f>
        <v/>
      </c>
      <c r="AK45" s="232" t="str">
        <f>IFERROR(VLOOKUP(TableHandbook[[#This Row],[UDC]],TableSPPELNTCH[],7,FALSE),"")</f>
        <v/>
      </c>
      <c r="AL45" s="232" t="str">
        <f>IFERROR(VLOOKUP(TableHandbook[[#This Row],[UDC]],TableSPPESTEME[],7,FALSE),"")</f>
        <v/>
      </c>
    </row>
    <row r="46" spans="1:38" x14ac:dyDescent="0.25">
      <c r="A46" s="2" t="s">
        <v>281</v>
      </c>
      <c r="B46" s="3">
        <v>1</v>
      </c>
      <c r="C46" s="3"/>
      <c r="D46" s="2" t="s">
        <v>380</v>
      </c>
      <c r="E46" s="3">
        <v>25</v>
      </c>
      <c r="F46" s="54" t="s">
        <v>336</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31"/>
      <c r="P46" s="233" t="str">
        <f>IFERROR(VLOOKUP(TableHandbook[[#This Row],[UDC]],TableMCTEACH[],7,FALSE),"")</f>
        <v/>
      </c>
      <c r="Q46" s="232" t="str">
        <f>IFERROR(VLOOKUP(TableHandbook[[#This Row],[UDC]],TableMJRPTCHEC[],7,FALSE),"")</f>
        <v/>
      </c>
      <c r="R46" s="232" t="str">
        <f>IFERROR(VLOOKUP(TableHandbook[[#This Row],[UDC]],TableMJRPTCHPR[],7,FALSE),"")</f>
        <v/>
      </c>
      <c r="S46" s="232" t="str">
        <f>IFERROR(VLOOKUP(TableHandbook[[#This Row],[UDC]],TableMJRPTCHSC[],7,FALSE),"")</f>
        <v>Core</v>
      </c>
      <c r="T46" s="232" t="str">
        <f>IFERROR(VLOOKUP(TableHandbook[[#This Row],[UDC]],TableSTRPSCART[],7,FALSE),"")</f>
        <v/>
      </c>
      <c r="U46" s="232" t="str">
        <f>IFERROR(VLOOKUP(TableHandbook[[#This Row],[UDC]],TableSTRPSCENG[],7,FALSE),"")</f>
        <v/>
      </c>
      <c r="V46" s="232" t="str">
        <f>IFERROR(VLOOKUP(TableHandbook[[#This Row],[UDC]],TableSTRPSCHLP[],7,FALSE),"")</f>
        <v/>
      </c>
      <c r="W46" s="232" t="str">
        <f>IFERROR(VLOOKUP(TableHandbook[[#This Row],[UDC]],TableSTRPSCHUS[],7,FALSE),"")</f>
        <v/>
      </c>
      <c r="X46" s="232" t="str">
        <f>IFERROR(VLOOKUP(TableHandbook[[#This Row],[UDC]],TableSTRPSCMAT[],7,FALSE),"")</f>
        <v/>
      </c>
      <c r="Y46" s="232" t="str">
        <f>IFERROR(VLOOKUP(TableHandbook[[#This Row],[UDC]],TableSTRPSCSCI[],7,FALSE),"")</f>
        <v/>
      </c>
      <c r="Z46" s="232" t="str">
        <f>IFERROR(VLOOKUP(TableHandbook[[#This Row],[UDC]],TableSTRPSCFON[],7,FALSE),"")</f>
        <v/>
      </c>
      <c r="AA46" s="233" t="str">
        <f>IFERROR(VLOOKUP(TableHandbook[[#This Row],[UDC]],TableGCTESOL[],7,FALSE),"")</f>
        <v/>
      </c>
      <c r="AB46" s="232" t="str">
        <f>IFERROR(VLOOKUP(TableHandbook[[#This Row],[UDC]],TableMCTESOL[],7,FALSE),"")</f>
        <v/>
      </c>
      <c r="AC46" s="232" t="str">
        <f>IFERROR(VLOOKUP(TableHandbook[[#This Row],[UDC]],TableMCAPLING[],7,FALSE),"")</f>
        <v/>
      </c>
      <c r="AD46" s="233" t="str">
        <f>IFERROR(VLOOKUP(TableHandbook[[#This Row],[UDC]],TableGCEDHE[],7,FALSE),"")</f>
        <v/>
      </c>
      <c r="AE46" s="232" t="str">
        <f>IFERROR(VLOOKUP(TableHandbook[[#This Row],[UDC]],TableGCEDUC[],7,FALSE),"")</f>
        <v/>
      </c>
      <c r="AF46" s="232" t="str">
        <f>IFERROR(VLOOKUP(TableHandbook[[#This Row],[UDC]],TableGDEDUC[],7,FALSE),"")</f>
        <v/>
      </c>
      <c r="AG46" s="232" t="str">
        <f>IFERROR(VLOOKUP(TableHandbook[[#This Row],[UDC]],TableMJRPEDUPR[],7,FALSE),"")</f>
        <v/>
      </c>
      <c r="AH46" s="232" t="str">
        <f>IFERROR(VLOOKUP(TableHandbook[[#This Row],[UDC]],TableMJRPEDUSC[],7,FALSE),"")</f>
        <v/>
      </c>
      <c r="AI46" s="233" t="str">
        <f>IFERROR(VLOOKUP(TableHandbook[[#This Row],[UDC]],TableMCEDUC[],7,FALSE),"")</f>
        <v/>
      </c>
      <c r="AJ46" s="232" t="str">
        <f>IFERROR(VLOOKUP(TableHandbook[[#This Row],[UDC]],TableSPPECULIN[],7,FALSE),"")</f>
        <v/>
      </c>
      <c r="AK46" s="232" t="str">
        <f>IFERROR(VLOOKUP(TableHandbook[[#This Row],[UDC]],TableSPPELNTCH[],7,FALSE),"")</f>
        <v/>
      </c>
      <c r="AL46" s="232" t="str">
        <f>IFERROR(VLOOKUP(TableHandbook[[#This Row],[UDC]],TableSPPESTEME[],7,FALSE),"")</f>
        <v/>
      </c>
    </row>
    <row r="47" spans="1:38" x14ac:dyDescent="0.25">
      <c r="A47" s="2" t="s">
        <v>72</v>
      </c>
      <c r="B47" s="3">
        <v>2</v>
      </c>
      <c r="C47" s="3"/>
      <c r="D47" s="2" t="s">
        <v>381</v>
      </c>
      <c r="E47" s="3">
        <v>25</v>
      </c>
      <c r="F47" s="54" t="s">
        <v>336</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31"/>
      <c r="P47" s="233" t="str">
        <f>IFERROR(VLOOKUP(TableHandbook[[#This Row],[UDC]],TableMCTEACH[],7,FALSE),"")</f>
        <v/>
      </c>
      <c r="Q47" s="232" t="str">
        <f>IFERROR(VLOOKUP(TableHandbook[[#This Row],[UDC]],TableMJRPTCHEC[],7,FALSE),"")</f>
        <v>Core</v>
      </c>
      <c r="R47" s="232" t="str">
        <f>IFERROR(VLOOKUP(TableHandbook[[#This Row],[UDC]],TableMJRPTCHPR[],7,FALSE),"")</f>
        <v>Core</v>
      </c>
      <c r="S47" s="232" t="str">
        <f>IFERROR(VLOOKUP(TableHandbook[[#This Row],[UDC]],TableMJRPTCHSC[],7,FALSE),"")</f>
        <v>Core</v>
      </c>
      <c r="T47" s="232" t="str">
        <f>IFERROR(VLOOKUP(TableHandbook[[#This Row],[UDC]],TableSTRPSCART[],7,FALSE),"")</f>
        <v/>
      </c>
      <c r="U47" s="232" t="str">
        <f>IFERROR(VLOOKUP(TableHandbook[[#This Row],[UDC]],TableSTRPSCENG[],7,FALSE),"")</f>
        <v/>
      </c>
      <c r="V47" s="232" t="str">
        <f>IFERROR(VLOOKUP(TableHandbook[[#This Row],[UDC]],TableSTRPSCHLP[],7,FALSE),"")</f>
        <v/>
      </c>
      <c r="W47" s="232" t="str">
        <f>IFERROR(VLOOKUP(TableHandbook[[#This Row],[UDC]],TableSTRPSCHUS[],7,FALSE),"")</f>
        <v/>
      </c>
      <c r="X47" s="232" t="str">
        <f>IFERROR(VLOOKUP(TableHandbook[[#This Row],[UDC]],TableSTRPSCMAT[],7,FALSE),"")</f>
        <v/>
      </c>
      <c r="Y47" s="232" t="str">
        <f>IFERROR(VLOOKUP(TableHandbook[[#This Row],[UDC]],TableSTRPSCSCI[],7,FALSE),"")</f>
        <v/>
      </c>
      <c r="Z47" s="232" t="str">
        <f>IFERROR(VLOOKUP(TableHandbook[[#This Row],[UDC]],TableSTRPSCFON[],7,FALSE),"")</f>
        <v/>
      </c>
      <c r="AA47" s="233" t="str">
        <f>IFERROR(VLOOKUP(TableHandbook[[#This Row],[UDC]],TableGCTESOL[],7,FALSE),"")</f>
        <v/>
      </c>
      <c r="AB47" s="232" t="str">
        <f>IFERROR(VLOOKUP(TableHandbook[[#This Row],[UDC]],TableMCTESOL[],7,FALSE),"")</f>
        <v>Core</v>
      </c>
      <c r="AC47" s="232" t="str">
        <f>IFERROR(VLOOKUP(TableHandbook[[#This Row],[UDC]],TableMCAPLING[],7,FALSE),"")</f>
        <v/>
      </c>
      <c r="AD47" s="233" t="str">
        <f>IFERROR(VLOOKUP(TableHandbook[[#This Row],[UDC]],TableGCEDHE[],7,FALSE),"")</f>
        <v/>
      </c>
      <c r="AE47" s="232" t="str">
        <f>IFERROR(VLOOKUP(TableHandbook[[#This Row],[UDC]],TableGCEDUC[],7,FALSE),"")</f>
        <v>Option</v>
      </c>
      <c r="AF47" s="232" t="str">
        <f>IFERROR(VLOOKUP(TableHandbook[[#This Row],[UDC]],TableGDEDUC[],7,FALSE),"")</f>
        <v/>
      </c>
      <c r="AG47" s="232" t="str">
        <f>IFERROR(VLOOKUP(TableHandbook[[#This Row],[UDC]],TableMJRPEDUPR[],7,FALSE),"")</f>
        <v>Core</v>
      </c>
      <c r="AH47" s="232" t="str">
        <f>IFERROR(VLOOKUP(TableHandbook[[#This Row],[UDC]],TableMJRPEDUSC[],7,FALSE),"")</f>
        <v/>
      </c>
      <c r="AI47" s="233" t="str">
        <f>IFERROR(VLOOKUP(TableHandbook[[#This Row],[UDC]],TableMCEDUC[],7,FALSE),"")</f>
        <v/>
      </c>
      <c r="AJ47" s="232" t="str">
        <f>IFERROR(VLOOKUP(TableHandbook[[#This Row],[UDC]],TableSPPECULIN[],7,FALSE),"")</f>
        <v/>
      </c>
      <c r="AK47" s="232" t="str">
        <f>IFERROR(VLOOKUP(TableHandbook[[#This Row],[UDC]],TableSPPELNTCH[],7,FALSE),"")</f>
        <v/>
      </c>
      <c r="AL47" s="232" t="str">
        <f>IFERROR(VLOOKUP(TableHandbook[[#This Row],[UDC]],TableSPPESTEME[],7,FALSE),"")</f>
        <v/>
      </c>
    </row>
    <row r="48" spans="1:38" x14ac:dyDescent="0.25">
      <c r="A48" s="2" t="s">
        <v>95</v>
      </c>
      <c r="B48" s="3">
        <v>1</v>
      </c>
      <c r="C48" s="3"/>
      <c r="D48" s="2" t="s">
        <v>382</v>
      </c>
      <c r="E48" s="3">
        <v>25</v>
      </c>
      <c r="F48" s="54" t="s">
        <v>336</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31"/>
      <c r="P48" s="233" t="str">
        <f>IFERROR(VLOOKUP(TableHandbook[[#This Row],[UDC]],TableMCTEACH[],7,FALSE),"")</f>
        <v/>
      </c>
      <c r="Q48" s="232" t="str">
        <f>IFERROR(VLOOKUP(TableHandbook[[#This Row],[UDC]],TableMJRPTCHEC[],7,FALSE),"")</f>
        <v>Core</v>
      </c>
      <c r="R48" s="232" t="str">
        <f>IFERROR(VLOOKUP(TableHandbook[[#This Row],[UDC]],TableMJRPTCHPR[],7,FALSE),"")</f>
        <v>Core</v>
      </c>
      <c r="S48" s="232" t="str">
        <f>IFERROR(VLOOKUP(TableHandbook[[#This Row],[UDC]],TableMJRPTCHSC[],7,FALSE),"")</f>
        <v>Core</v>
      </c>
      <c r="T48" s="232" t="str">
        <f>IFERROR(VLOOKUP(TableHandbook[[#This Row],[UDC]],TableSTRPSCART[],7,FALSE),"")</f>
        <v/>
      </c>
      <c r="U48" s="232" t="str">
        <f>IFERROR(VLOOKUP(TableHandbook[[#This Row],[UDC]],TableSTRPSCENG[],7,FALSE),"")</f>
        <v/>
      </c>
      <c r="V48" s="232" t="str">
        <f>IFERROR(VLOOKUP(TableHandbook[[#This Row],[UDC]],TableSTRPSCHLP[],7,FALSE),"")</f>
        <v/>
      </c>
      <c r="W48" s="232" t="str">
        <f>IFERROR(VLOOKUP(TableHandbook[[#This Row],[UDC]],TableSTRPSCHUS[],7,FALSE),"")</f>
        <v/>
      </c>
      <c r="X48" s="232" t="str">
        <f>IFERROR(VLOOKUP(TableHandbook[[#This Row],[UDC]],TableSTRPSCMAT[],7,FALSE),"")</f>
        <v/>
      </c>
      <c r="Y48" s="232" t="str">
        <f>IFERROR(VLOOKUP(TableHandbook[[#This Row],[UDC]],TableSTRPSCSCI[],7,FALSE),"")</f>
        <v/>
      </c>
      <c r="Z48" s="232" t="str">
        <f>IFERROR(VLOOKUP(TableHandbook[[#This Row],[UDC]],TableSTRPSCFON[],7,FALSE),"")</f>
        <v/>
      </c>
      <c r="AA48" s="233" t="str">
        <f>IFERROR(VLOOKUP(TableHandbook[[#This Row],[UDC]],TableGCTESOL[],7,FALSE),"")</f>
        <v/>
      </c>
      <c r="AB48" s="232" t="str">
        <f>IFERROR(VLOOKUP(TableHandbook[[#This Row],[UDC]],TableMCTESOL[],7,FALSE),"")</f>
        <v>Core</v>
      </c>
      <c r="AC48" s="232" t="str">
        <f>IFERROR(VLOOKUP(TableHandbook[[#This Row],[UDC]],TableMCAPLING[],7,FALSE),"")</f>
        <v/>
      </c>
      <c r="AD48" s="233" t="str">
        <f>IFERROR(VLOOKUP(TableHandbook[[#This Row],[UDC]],TableGCEDHE[],7,FALSE),"")</f>
        <v/>
      </c>
      <c r="AE48" s="232" t="str">
        <f>IFERROR(VLOOKUP(TableHandbook[[#This Row],[UDC]],TableGCEDUC[],7,FALSE),"")</f>
        <v>Option</v>
      </c>
      <c r="AF48" s="232" t="str">
        <f>IFERROR(VLOOKUP(TableHandbook[[#This Row],[UDC]],TableGDEDUC[],7,FALSE),"")</f>
        <v/>
      </c>
      <c r="AG48" s="232" t="str">
        <f>IFERROR(VLOOKUP(TableHandbook[[#This Row],[UDC]],TableMJRPEDUPR[],7,FALSE),"")</f>
        <v>Core</v>
      </c>
      <c r="AH48" s="232" t="str">
        <f>IFERROR(VLOOKUP(TableHandbook[[#This Row],[UDC]],TableMJRPEDUSC[],7,FALSE),"")</f>
        <v>Core</v>
      </c>
      <c r="AI48" s="233" t="str">
        <f>IFERROR(VLOOKUP(TableHandbook[[#This Row],[UDC]],TableMCEDUC[],7,FALSE),"")</f>
        <v/>
      </c>
      <c r="AJ48" s="232" t="str">
        <f>IFERROR(VLOOKUP(TableHandbook[[#This Row],[UDC]],TableSPPECULIN[],7,FALSE),"")</f>
        <v/>
      </c>
      <c r="AK48" s="232" t="str">
        <f>IFERROR(VLOOKUP(TableHandbook[[#This Row],[UDC]],TableSPPELNTCH[],7,FALSE),"")</f>
        <v/>
      </c>
      <c r="AL48" s="232" t="str">
        <f>IFERROR(VLOOKUP(TableHandbook[[#This Row],[UDC]],TableSPPESTEME[],7,FALSE),"")</f>
        <v/>
      </c>
    </row>
    <row r="49" spans="1:38" x14ac:dyDescent="0.25">
      <c r="A49" s="2" t="s">
        <v>96</v>
      </c>
      <c r="B49" s="3">
        <v>1</v>
      </c>
      <c r="C49" s="3"/>
      <c r="D49" s="2" t="s">
        <v>383</v>
      </c>
      <c r="E49" s="3">
        <v>25</v>
      </c>
      <c r="F49" s="54" t="s">
        <v>336</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31"/>
      <c r="P49" s="233" t="str">
        <f>IFERROR(VLOOKUP(TableHandbook[[#This Row],[UDC]],TableMCTEACH[],7,FALSE),"")</f>
        <v/>
      </c>
      <c r="Q49" s="232" t="str">
        <f>IFERROR(VLOOKUP(TableHandbook[[#This Row],[UDC]],TableMJRPTCHEC[],7,FALSE),"")</f>
        <v/>
      </c>
      <c r="R49" s="232" t="str">
        <f>IFERROR(VLOOKUP(TableHandbook[[#This Row],[UDC]],TableMJRPTCHPR[],7,FALSE),"")</f>
        <v>Core</v>
      </c>
      <c r="S49" s="232" t="str">
        <f>IFERROR(VLOOKUP(TableHandbook[[#This Row],[UDC]],TableMJRPTCHSC[],7,FALSE),"")</f>
        <v>Core</v>
      </c>
      <c r="T49" s="232" t="str">
        <f>IFERROR(VLOOKUP(TableHandbook[[#This Row],[UDC]],TableSTRPSCART[],7,FALSE),"")</f>
        <v/>
      </c>
      <c r="U49" s="232" t="str">
        <f>IFERROR(VLOOKUP(TableHandbook[[#This Row],[UDC]],TableSTRPSCENG[],7,FALSE),"")</f>
        <v/>
      </c>
      <c r="V49" s="232" t="str">
        <f>IFERROR(VLOOKUP(TableHandbook[[#This Row],[UDC]],TableSTRPSCHLP[],7,FALSE),"")</f>
        <v/>
      </c>
      <c r="W49" s="232" t="str">
        <f>IFERROR(VLOOKUP(TableHandbook[[#This Row],[UDC]],TableSTRPSCHUS[],7,FALSE),"")</f>
        <v/>
      </c>
      <c r="X49" s="232" t="str">
        <f>IFERROR(VLOOKUP(TableHandbook[[#This Row],[UDC]],TableSTRPSCMAT[],7,FALSE),"")</f>
        <v/>
      </c>
      <c r="Y49" s="232" t="str">
        <f>IFERROR(VLOOKUP(TableHandbook[[#This Row],[UDC]],TableSTRPSCSCI[],7,FALSE),"")</f>
        <v/>
      </c>
      <c r="Z49" s="232" t="str">
        <f>IFERROR(VLOOKUP(TableHandbook[[#This Row],[UDC]],TableSTRPSCFON[],7,FALSE),"")</f>
        <v/>
      </c>
      <c r="AA49" s="233" t="str">
        <f>IFERROR(VLOOKUP(TableHandbook[[#This Row],[UDC]],TableGCTESOL[],7,FALSE),"")</f>
        <v/>
      </c>
      <c r="AB49" s="232" t="str">
        <f>IFERROR(VLOOKUP(TableHandbook[[#This Row],[UDC]],TableMCTESOL[],7,FALSE),"")</f>
        <v/>
      </c>
      <c r="AC49" s="232" t="str">
        <f>IFERROR(VLOOKUP(TableHandbook[[#This Row],[UDC]],TableMCAPLING[],7,FALSE),"")</f>
        <v/>
      </c>
      <c r="AD49" s="233" t="str">
        <f>IFERROR(VLOOKUP(TableHandbook[[#This Row],[UDC]],TableGCEDHE[],7,FALSE),"")</f>
        <v/>
      </c>
      <c r="AE49" s="232" t="str">
        <f>IFERROR(VLOOKUP(TableHandbook[[#This Row],[UDC]],TableGCEDUC[],7,FALSE),"")</f>
        <v>Option</v>
      </c>
      <c r="AF49" s="232" t="str">
        <f>IFERROR(VLOOKUP(TableHandbook[[#This Row],[UDC]],TableGDEDUC[],7,FALSE),"")</f>
        <v/>
      </c>
      <c r="AG49" s="232" t="str">
        <f>IFERROR(VLOOKUP(TableHandbook[[#This Row],[UDC]],TableMJRPEDUPR[],7,FALSE),"")</f>
        <v/>
      </c>
      <c r="AH49" s="232" t="str">
        <f>IFERROR(VLOOKUP(TableHandbook[[#This Row],[UDC]],TableMJRPEDUSC[],7,FALSE),"")</f>
        <v>Core</v>
      </c>
      <c r="AI49" s="233" t="str">
        <f>IFERROR(VLOOKUP(TableHandbook[[#This Row],[UDC]],TableMCEDUC[],7,FALSE),"")</f>
        <v/>
      </c>
      <c r="AJ49" s="232" t="str">
        <f>IFERROR(VLOOKUP(TableHandbook[[#This Row],[UDC]],TableSPPECULIN[],7,FALSE),"")</f>
        <v/>
      </c>
      <c r="AK49" s="232" t="str">
        <f>IFERROR(VLOOKUP(TableHandbook[[#This Row],[UDC]],TableSPPELNTCH[],7,FALSE),"")</f>
        <v/>
      </c>
      <c r="AL49" s="232" t="str">
        <f>IFERROR(VLOOKUP(TableHandbook[[#This Row],[UDC]],TableSPPESTEME[],7,FALSE),"")</f>
        <v/>
      </c>
    </row>
    <row r="50" spans="1:38" x14ac:dyDescent="0.25">
      <c r="A50" s="2" t="s">
        <v>86</v>
      </c>
      <c r="B50" s="3">
        <v>1</v>
      </c>
      <c r="C50" s="3"/>
      <c r="D50" s="2" t="s">
        <v>384</v>
      </c>
      <c r="E50" s="3">
        <v>25</v>
      </c>
      <c r="F50" s="54" t="s">
        <v>336</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31"/>
      <c r="P50" s="233" t="str">
        <f>IFERROR(VLOOKUP(TableHandbook[[#This Row],[UDC]],TableMCTEACH[],7,FALSE),"")</f>
        <v/>
      </c>
      <c r="Q50" s="232" t="str">
        <f>IFERROR(VLOOKUP(TableHandbook[[#This Row],[UDC]],TableMJRPTCHEC[],7,FALSE),"")</f>
        <v>Core</v>
      </c>
      <c r="R50" s="232" t="str">
        <f>IFERROR(VLOOKUP(TableHandbook[[#This Row],[UDC]],TableMJRPTCHPR[],7,FALSE),"")</f>
        <v>Core</v>
      </c>
      <c r="S50" s="232" t="str">
        <f>IFERROR(VLOOKUP(TableHandbook[[#This Row],[UDC]],TableMJRPTCHSC[],7,FALSE),"")</f>
        <v/>
      </c>
      <c r="T50" s="232" t="str">
        <f>IFERROR(VLOOKUP(TableHandbook[[#This Row],[UDC]],TableSTRPSCART[],7,FALSE),"")</f>
        <v/>
      </c>
      <c r="U50" s="232" t="str">
        <f>IFERROR(VLOOKUP(TableHandbook[[#This Row],[UDC]],TableSTRPSCENG[],7,FALSE),"")</f>
        <v/>
      </c>
      <c r="V50" s="232" t="str">
        <f>IFERROR(VLOOKUP(TableHandbook[[#This Row],[UDC]],TableSTRPSCHLP[],7,FALSE),"")</f>
        <v/>
      </c>
      <c r="W50" s="232" t="str">
        <f>IFERROR(VLOOKUP(TableHandbook[[#This Row],[UDC]],TableSTRPSCHUS[],7,FALSE),"")</f>
        <v/>
      </c>
      <c r="X50" s="232" t="str">
        <f>IFERROR(VLOOKUP(TableHandbook[[#This Row],[UDC]],TableSTRPSCMAT[],7,FALSE),"")</f>
        <v/>
      </c>
      <c r="Y50" s="232" t="str">
        <f>IFERROR(VLOOKUP(TableHandbook[[#This Row],[UDC]],TableSTRPSCSCI[],7,FALSE),"")</f>
        <v/>
      </c>
      <c r="Z50" s="232" t="str">
        <f>IFERROR(VLOOKUP(TableHandbook[[#This Row],[UDC]],TableSTRPSCFON[],7,FALSE),"")</f>
        <v/>
      </c>
      <c r="AA50" s="233" t="str">
        <f>IFERROR(VLOOKUP(TableHandbook[[#This Row],[UDC]],TableGCTESOL[],7,FALSE),"")</f>
        <v/>
      </c>
      <c r="AB50" s="232" t="str">
        <f>IFERROR(VLOOKUP(TableHandbook[[#This Row],[UDC]],TableMCTESOL[],7,FALSE),"")</f>
        <v/>
      </c>
      <c r="AC50" s="232" t="str">
        <f>IFERROR(VLOOKUP(TableHandbook[[#This Row],[UDC]],TableMCAPLING[],7,FALSE),"")</f>
        <v/>
      </c>
      <c r="AD50" s="233" t="str">
        <f>IFERROR(VLOOKUP(TableHandbook[[#This Row],[UDC]],TableGCEDHE[],7,FALSE),"")</f>
        <v/>
      </c>
      <c r="AE50" s="232" t="str">
        <f>IFERROR(VLOOKUP(TableHandbook[[#This Row],[UDC]],TableGCEDUC[],7,FALSE),"")</f>
        <v>Option</v>
      </c>
      <c r="AF50" s="232" t="str">
        <f>IFERROR(VLOOKUP(TableHandbook[[#This Row],[UDC]],TableGDEDUC[],7,FALSE),"")</f>
        <v/>
      </c>
      <c r="AG50" s="232" t="str">
        <f>IFERROR(VLOOKUP(TableHandbook[[#This Row],[UDC]],TableMJRPEDUPR[],7,FALSE),"")</f>
        <v/>
      </c>
      <c r="AH50" s="232" t="str">
        <f>IFERROR(VLOOKUP(TableHandbook[[#This Row],[UDC]],TableMJRPEDUSC[],7,FALSE),"")</f>
        <v/>
      </c>
      <c r="AI50" s="233" t="str">
        <f>IFERROR(VLOOKUP(TableHandbook[[#This Row],[UDC]],TableMCEDUC[],7,FALSE),"")</f>
        <v/>
      </c>
      <c r="AJ50" s="232" t="str">
        <f>IFERROR(VLOOKUP(TableHandbook[[#This Row],[UDC]],TableSPPECULIN[],7,FALSE),"")</f>
        <v/>
      </c>
      <c r="AK50" s="232" t="str">
        <f>IFERROR(VLOOKUP(TableHandbook[[#This Row],[UDC]],TableSPPELNTCH[],7,FALSE),"")</f>
        <v/>
      </c>
      <c r="AL50" s="232" t="str">
        <f>IFERROR(VLOOKUP(TableHandbook[[#This Row],[UDC]],TableSPPESTEME[],7,FALSE),"")</f>
        <v/>
      </c>
    </row>
    <row r="51" spans="1:38" x14ac:dyDescent="0.25">
      <c r="A51" s="2" t="s">
        <v>168</v>
      </c>
      <c r="B51" s="3">
        <v>1</v>
      </c>
      <c r="C51" s="3"/>
      <c r="D51" s="2" t="s">
        <v>385</v>
      </c>
      <c r="E51" s="3">
        <v>25</v>
      </c>
      <c r="F51" s="54" t="s">
        <v>336</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31"/>
      <c r="P51" s="233" t="str">
        <f>IFERROR(VLOOKUP(TableHandbook[[#This Row],[UDC]],TableMCTEACH[],7,FALSE),"")</f>
        <v/>
      </c>
      <c r="Q51" s="232" t="str">
        <f>IFERROR(VLOOKUP(TableHandbook[[#This Row],[UDC]],TableMJRPTCHEC[],7,FALSE),"")</f>
        <v/>
      </c>
      <c r="R51" s="232" t="str">
        <f>IFERROR(VLOOKUP(TableHandbook[[#This Row],[UDC]],TableMJRPTCHPR[],7,FALSE),"")</f>
        <v/>
      </c>
      <c r="S51" s="232" t="str">
        <f>IFERROR(VLOOKUP(TableHandbook[[#This Row],[UDC]],TableMJRPTCHSC[],7,FALSE),"")</f>
        <v/>
      </c>
      <c r="T51" s="232" t="str">
        <f>IFERROR(VLOOKUP(TableHandbook[[#This Row],[UDC]],TableSTRPSCART[],7,FALSE),"")</f>
        <v/>
      </c>
      <c r="U51" s="232" t="str">
        <f>IFERROR(VLOOKUP(TableHandbook[[#This Row],[UDC]],TableSTRPSCENG[],7,FALSE),"")</f>
        <v/>
      </c>
      <c r="V51" s="232" t="str">
        <f>IFERROR(VLOOKUP(TableHandbook[[#This Row],[UDC]],TableSTRPSCHLP[],7,FALSE),"")</f>
        <v/>
      </c>
      <c r="W51" s="232" t="str">
        <f>IFERROR(VLOOKUP(TableHandbook[[#This Row],[UDC]],TableSTRPSCHUS[],7,FALSE),"")</f>
        <v/>
      </c>
      <c r="X51" s="232" t="str">
        <f>IFERROR(VLOOKUP(TableHandbook[[#This Row],[UDC]],TableSTRPSCMAT[],7,FALSE),"")</f>
        <v/>
      </c>
      <c r="Y51" s="232" t="str">
        <f>IFERROR(VLOOKUP(TableHandbook[[#This Row],[UDC]],TableSTRPSCSCI[],7,FALSE),"")</f>
        <v/>
      </c>
      <c r="Z51" s="232" t="str">
        <f>IFERROR(VLOOKUP(TableHandbook[[#This Row],[UDC]],TableSTRPSCFON[],7,FALSE),"")</f>
        <v/>
      </c>
      <c r="AA51" s="233" t="str">
        <f>IFERROR(VLOOKUP(TableHandbook[[#This Row],[UDC]],TableGCTESOL[],7,FALSE),"")</f>
        <v>Core</v>
      </c>
      <c r="AB51" s="232" t="str">
        <f>IFERROR(VLOOKUP(TableHandbook[[#This Row],[UDC]],TableMCTESOL[],7,FALSE),"")</f>
        <v>Core</v>
      </c>
      <c r="AC51" s="232" t="str">
        <f>IFERROR(VLOOKUP(TableHandbook[[#This Row],[UDC]],TableMCAPLING[],7,FALSE),"")</f>
        <v/>
      </c>
      <c r="AD51" s="233" t="str">
        <f>IFERROR(VLOOKUP(TableHandbook[[#This Row],[UDC]],TableGCEDHE[],7,FALSE),"")</f>
        <v/>
      </c>
      <c r="AE51" s="232" t="str">
        <f>IFERROR(VLOOKUP(TableHandbook[[#This Row],[UDC]],TableGCEDUC[],7,FALSE),"")</f>
        <v/>
      </c>
      <c r="AF51" s="232" t="str">
        <f>IFERROR(VLOOKUP(TableHandbook[[#This Row],[UDC]],TableGDEDUC[],7,FALSE),"")</f>
        <v/>
      </c>
      <c r="AG51" s="232" t="str">
        <f>IFERROR(VLOOKUP(TableHandbook[[#This Row],[UDC]],TableMJRPEDUPR[],7,FALSE),"")</f>
        <v/>
      </c>
      <c r="AH51" s="232" t="str">
        <f>IFERROR(VLOOKUP(TableHandbook[[#This Row],[UDC]],TableMJRPEDUSC[],7,FALSE),"")</f>
        <v/>
      </c>
      <c r="AI51" s="233" t="str">
        <f>IFERROR(VLOOKUP(TableHandbook[[#This Row],[UDC]],TableMCEDUC[],7,FALSE),"")</f>
        <v/>
      </c>
      <c r="AJ51" s="232" t="str">
        <f>IFERROR(VLOOKUP(TableHandbook[[#This Row],[UDC]],TableSPPECULIN[],7,FALSE),"")</f>
        <v/>
      </c>
      <c r="AK51" s="232" t="str">
        <f>IFERROR(VLOOKUP(TableHandbook[[#This Row],[UDC]],TableSPPELNTCH[],7,FALSE),"")</f>
        <v/>
      </c>
      <c r="AL51" s="232" t="str">
        <f>IFERROR(VLOOKUP(TableHandbook[[#This Row],[UDC]],TableSPPESTEME[],7,FALSE),"")</f>
        <v/>
      </c>
    </row>
    <row r="52" spans="1:38" x14ac:dyDescent="0.25">
      <c r="A52" s="2" t="s">
        <v>156</v>
      </c>
      <c r="B52" s="3">
        <v>1</v>
      </c>
      <c r="C52" s="3"/>
      <c r="D52" s="2" t="s">
        <v>386</v>
      </c>
      <c r="E52" s="3">
        <v>25</v>
      </c>
      <c r="F52" s="54" t="s">
        <v>336</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31"/>
      <c r="P52" s="233" t="str">
        <f>IFERROR(VLOOKUP(TableHandbook[[#This Row],[UDC]],TableMCTEACH[],7,FALSE),"")</f>
        <v/>
      </c>
      <c r="Q52" s="232" t="str">
        <f>IFERROR(VLOOKUP(TableHandbook[[#This Row],[UDC]],TableMJRPTCHEC[],7,FALSE),"")</f>
        <v/>
      </c>
      <c r="R52" s="232" t="str">
        <f>IFERROR(VLOOKUP(TableHandbook[[#This Row],[UDC]],TableMJRPTCHPR[],7,FALSE),"")</f>
        <v/>
      </c>
      <c r="S52" s="232" t="str">
        <f>IFERROR(VLOOKUP(TableHandbook[[#This Row],[UDC]],TableMJRPTCHSC[],7,FALSE),"")</f>
        <v/>
      </c>
      <c r="T52" s="232" t="str">
        <f>IFERROR(VLOOKUP(TableHandbook[[#This Row],[UDC]],TableSTRPSCART[],7,FALSE),"")</f>
        <v/>
      </c>
      <c r="U52" s="232" t="str">
        <f>IFERROR(VLOOKUP(TableHandbook[[#This Row],[UDC]],TableSTRPSCENG[],7,FALSE),"")</f>
        <v/>
      </c>
      <c r="V52" s="232" t="str">
        <f>IFERROR(VLOOKUP(TableHandbook[[#This Row],[UDC]],TableSTRPSCHLP[],7,FALSE),"")</f>
        <v/>
      </c>
      <c r="W52" s="232" t="str">
        <f>IFERROR(VLOOKUP(TableHandbook[[#This Row],[UDC]],TableSTRPSCHUS[],7,FALSE),"")</f>
        <v/>
      </c>
      <c r="X52" s="232" t="str">
        <f>IFERROR(VLOOKUP(TableHandbook[[#This Row],[UDC]],TableSTRPSCMAT[],7,FALSE),"")</f>
        <v/>
      </c>
      <c r="Y52" s="232" t="str">
        <f>IFERROR(VLOOKUP(TableHandbook[[#This Row],[UDC]],TableSTRPSCSCI[],7,FALSE),"")</f>
        <v/>
      </c>
      <c r="Z52" s="232" t="str">
        <f>IFERROR(VLOOKUP(TableHandbook[[#This Row],[UDC]],TableSTRPSCFON[],7,FALSE),"")</f>
        <v/>
      </c>
      <c r="AA52" s="233" t="str">
        <f>IFERROR(VLOOKUP(TableHandbook[[#This Row],[UDC]],TableGCTESOL[],7,FALSE),"")</f>
        <v>Core</v>
      </c>
      <c r="AB52" s="232" t="str">
        <f>IFERROR(VLOOKUP(TableHandbook[[#This Row],[UDC]],TableMCTESOL[],7,FALSE),"")</f>
        <v>Core</v>
      </c>
      <c r="AC52" s="232" t="str">
        <f>IFERROR(VLOOKUP(TableHandbook[[#This Row],[UDC]],TableMCAPLING[],7,FALSE),"")</f>
        <v/>
      </c>
      <c r="AD52" s="233" t="str">
        <f>IFERROR(VLOOKUP(TableHandbook[[#This Row],[UDC]],TableGCEDHE[],7,FALSE),"")</f>
        <v/>
      </c>
      <c r="AE52" s="232" t="str">
        <f>IFERROR(VLOOKUP(TableHandbook[[#This Row],[UDC]],TableGCEDUC[],7,FALSE),"")</f>
        <v/>
      </c>
      <c r="AF52" s="232" t="str">
        <f>IFERROR(VLOOKUP(TableHandbook[[#This Row],[UDC]],TableGDEDUC[],7,FALSE),"")</f>
        <v/>
      </c>
      <c r="AG52" s="232" t="str">
        <f>IFERROR(VLOOKUP(TableHandbook[[#This Row],[UDC]],TableMJRPEDUPR[],7,FALSE),"")</f>
        <v/>
      </c>
      <c r="AH52" s="232" t="str">
        <f>IFERROR(VLOOKUP(TableHandbook[[#This Row],[UDC]],TableMJRPEDUSC[],7,FALSE),"")</f>
        <v/>
      </c>
      <c r="AI52" s="233" t="str">
        <f>IFERROR(VLOOKUP(TableHandbook[[#This Row],[UDC]],TableMCEDUC[],7,FALSE),"")</f>
        <v/>
      </c>
      <c r="AJ52" s="232" t="str">
        <f>IFERROR(VLOOKUP(TableHandbook[[#This Row],[UDC]],TableSPPECULIN[],7,FALSE),"")</f>
        <v/>
      </c>
      <c r="AK52" s="232" t="str">
        <f>IFERROR(VLOOKUP(TableHandbook[[#This Row],[UDC]],TableSPPELNTCH[],7,FALSE),"")</f>
        <v/>
      </c>
      <c r="AL52" s="232" t="str">
        <f>IFERROR(VLOOKUP(TableHandbook[[#This Row],[UDC]],TableSPPESTEME[],7,FALSE),"")</f>
        <v/>
      </c>
    </row>
    <row r="53" spans="1:38" x14ac:dyDescent="0.25">
      <c r="A53" s="2" t="s">
        <v>161</v>
      </c>
      <c r="B53" s="3">
        <v>1</v>
      </c>
      <c r="C53" s="3"/>
      <c r="D53" s="2" t="s">
        <v>387</v>
      </c>
      <c r="E53" s="3">
        <v>25</v>
      </c>
      <c r="F53" s="54" t="s">
        <v>336</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31"/>
      <c r="P53" s="233" t="str">
        <f>IFERROR(VLOOKUP(TableHandbook[[#This Row],[UDC]],TableMCTEACH[],7,FALSE),"")</f>
        <v/>
      </c>
      <c r="Q53" s="232" t="str">
        <f>IFERROR(VLOOKUP(TableHandbook[[#This Row],[UDC]],TableMJRPTCHEC[],7,FALSE),"")</f>
        <v/>
      </c>
      <c r="R53" s="232" t="str">
        <f>IFERROR(VLOOKUP(TableHandbook[[#This Row],[UDC]],TableMJRPTCHPR[],7,FALSE),"")</f>
        <v/>
      </c>
      <c r="S53" s="232" t="str">
        <f>IFERROR(VLOOKUP(TableHandbook[[#This Row],[UDC]],TableMJRPTCHSC[],7,FALSE),"")</f>
        <v/>
      </c>
      <c r="T53" s="232" t="str">
        <f>IFERROR(VLOOKUP(TableHandbook[[#This Row],[UDC]],TableSTRPSCART[],7,FALSE),"")</f>
        <v/>
      </c>
      <c r="U53" s="232" t="str">
        <f>IFERROR(VLOOKUP(TableHandbook[[#This Row],[UDC]],TableSTRPSCENG[],7,FALSE),"")</f>
        <v/>
      </c>
      <c r="V53" s="232" t="str">
        <f>IFERROR(VLOOKUP(TableHandbook[[#This Row],[UDC]],TableSTRPSCHLP[],7,FALSE),"")</f>
        <v/>
      </c>
      <c r="W53" s="232" t="str">
        <f>IFERROR(VLOOKUP(TableHandbook[[#This Row],[UDC]],TableSTRPSCHUS[],7,FALSE),"")</f>
        <v/>
      </c>
      <c r="X53" s="232" t="str">
        <f>IFERROR(VLOOKUP(TableHandbook[[#This Row],[UDC]],TableSTRPSCMAT[],7,FALSE),"")</f>
        <v/>
      </c>
      <c r="Y53" s="232" t="str">
        <f>IFERROR(VLOOKUP(TableHandbook[[#This Row],[UDC]],TableSTRPSCSCI[],7,FALSE),"")</f>
        <v/>
      </c>
      <c r="Z53" s="232" t="str">
        <f>IFERROR(VLOOKUP(TableHandbook[[#This Row],[UDC]],TableSTRPSCFON[],7,FALSE),"")</f>
        <v/>
      </c>
      <c r="AA53" s="233" t="str">
        <f>IFERROR(VLOOKUP(TableHandbook[[#This Row],[UDC]],TableGCTESOL[],7,FALSE),"")</f>
        <v>Core</v>
      </c>
      <c r="AB53" s="232" t="str">
        <f>IFERROR(VLOOKUP(TableHandbook[[#This Row],[UDC]],TableMCTESOL[],7,FALSE),"")</f>
        <v>Core</v>
      </c>
      <c r="AC53" s="232" t="str">
        <f>IFERROR(VLOOKUP(TableHandbook[[#This Row],[UDC]],TableMCAPLING[],7,FALSE),"")</f>
        <v/>
      </c>
      <c r="AD53" s="233" t="str">
        <f>IFERROR(VLOOKUP(TableHandbook[[#This Row],[UDC]],TableGCEDHE[],7,FALSE),"")</f>
        <v/>
      </c>
      <c r="AE53" s="232" t="str">
        <f>IFERROR(VLOOKUP(TableHandbook[[#This Row],[UDC]],TableGCEDUC[],7,FALSE),"")</f>
        <v/>
      </c>
      <c r="AF53" s="232" t="str">
        <f>IFERROR(VLOOKUP(TableHandbook[[#This Row],[UDC]],TableGDEDUC[],7,FALSE),"")</f>
        <v/>
      </c>
      <c r="AG53" s="232" t="str">
        <f>IFERROR(VLOOKUP(TableHandbook[[#This Row],[UDC]],TableMJRPEDUPR[],7,FALSE),"")</f>
        <v/>
      </c>
      <c r="AH53" s="232" t="str">
        <f>IFERROR(VLOOKUP(TableHandbook[[#This Row],[UDC]],TableMJRPEDUSC[],7,FALSE),"")</f>
        <v/>
      </c>
      <c r="AI53" s="233" t="str">
        <f>IFERROR(VLOOKUP(TableHandbook[[#This Row],[UDC]],TableMCEDUC[],7,FALSE),"")</f>
        <v/>
      </c>
      <c r="AJ53" s="232" t="str">
        <f>IFERROR(VLOOKUP(TableHandbook[[#This Row],[UDC]],TableSPPECULIN[],7,FALSE),"")</f>
        <v/>
      </c>
      <c r="AK53" s="232" t="str">
        <f>IFERROR(VLOOKUP(TableHandbook[[#This Row],[UDC]],TableSPPELNTCH[],7,FALSE),"")</f>
        <v/>
      </c>
      <c r="AL53" s="232" t="str">
        <f>IFERROR(VLOOKUP(TableHandbook[[#This Row],[UDC]],TableSPPESTEME[],7,FALSE),"")</f>
        <v/>
      </c>
    </row>
    <row r="54" spans="1:38" x14ac:dyDescent="0.25">
      <c r="A54" s="2" t="s">
        <v>175</v>
      </c>
      <c r="B54" s="3">
        <v>1</v>
      </c>
      <c r="C54" s="3"/>
      <c r="D54" s="2" t="s">
        <v>388</v>
      </c>
      <c r="E54" s="3">
        <v>25</v>
      </c>
      <c r="F54" s="54" t="s">
        <v>336</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31"/>
      <c r="P54" s="233" t="str">
        <f>IFERROR(VLOOKUP(TableHandbook[[#This Row],[UDC]],TableMCTEACH[],7,FALSE),"")</f>
        <v/>
      </c>
      <c r="Q54" s="232" t="str">
        <f>IFERROR(VLOOKUP(TableHandbook[[#This Row],[UDC]],TableMJRPTCHEC[],7,FALSE),"")</f>
        <v/>
      </c>
      <c r="R54" s="232" t="str">
        <f>IFERROR(VLOOKUP(TableHandbook[[#This Row],[UDC]],TableMJRPTCHPR[],7,FALSE),"")</f>
        <v/>
      </c>
      <c r="S54" s="232" t="str">
        <f>IFERROR(VLOOKUP(TableHandbook[[#This Row],[UDC]],TableMJRPTCHSC[],7,FALSE),"")</f>
        <v/>
      </c>
      <c r="T54" s="232" t="str">
        <f>IFERROR(VLOOKUP(TableHandbook[[#This Row],[UDC]],TableSTRPSCART[],7,FALSE),"")</f>
        <v/>
      </c>
      <c r="U54" s="232" t="str">
        <f>IFERROR(VLOOKUP(TableHandbook[[#This Row],[UDC]],TableSTRPSCENG[],7,FALSE),"")</f>
        <v/>
      </c>
      <c r="V54" s="232" t="str">
        <f>IFERROR(VLOOKUP(TableHandbook[[#This Row],[UDC]],TableSTRPSCHLP[],7,FALSE),"")</f>
        <v/>
      </c>
      <c r="W54" s="232" t="str">
        <f>IFERROR(VLOOKUP(TableHandbook[[#This Row],[UDC]],TableSTRPSCHUS[],7,FALSE),"")</f>
        <v/>
      </c>
      <c r="X54" s="232" t="str">
        <f>IFERROR(VLOOKUP(TableHandbook[[#This Row],[UDC]],TableSTRPSCMAT[],7,FALSE),"")</f>
        <v/>
      </c>
      <c r="Y54" s="232" t="str">
        <f>IFERROR(VLOOKUP(TableHandbook[[#This Row],[UDC]],TableSTRPSCSCI[],7,FALSE),"")</f>
        <v/>
      </c>
      <c r="Z54" s="232" t="str">
        <f>IFERROR(VLOOKUP(TableHandbook[[#This Row],[UDC]],TableSTRPSCFON[],7,FALSE),"")</f>
        <v/>
      </c>
      <c r="AA54" s="233" t="str">
        <f>IFERROR(VLOOKUP(TableHandbook[[#This Row],[UDC]],TableGCTESOL[],7,FALSE),"")</f>
        <v>Core</v>
      </c>
      <c r="AB54" s="232" t="str">
        <f>IFERROR(VLOOKUP(TableHandbook[[#This Row],[UDC]],TableMCTESOL[],7,FALSE),"")</f>
        <v>Core</v>
      </c>
      <c r="AC54" s="232" t="str">
        <f>IFERROR(VLOOKUP(TableHandbook[[#This Row],[UDC]],TableMCAPLING[],7,FALSE),"")</f>
        <v/>
      </c>
      <c r="AD54" s="233" t="str">
        <f>IFERROR(VLOOKUP(TableHandbook[[#This Row],[UDC]],TableGCEDHE[],7,FALSE),"")</f>
        <v/>
      </c>
      <c r="AE54" s="232" t="str">
        <f>IFERROR(VLOOKUP(TableHandbook[[#This Row],[UDC]],TableGCEDUC[],7,FALSE),"")</f>
        <v/>
      </c>
      <c r="AF54" s="232" t="str">
        <f>IFERROR(VLOOKUP(TableHandbook[[#This Row],[UDC]],TableGDEDUC[],7,FALSE),"")</f>
        <v/>
      </c>
      <c r="AG54" s="232" t="str">
        <f>IFERROR(VLOOKUP(TableHandbook[[#This Row],[UDC]],TableMJRPEDUPR[],7,FALSE),"")</f>
        <v/>
      </c>
      <c r="AH54" s="232" t="str">
        <f>IFERROR(VLOOKUP(TableHandbook[[#This Row],[UDC]],TableMJRPEDUSC[],7,FALSE),"")</f>
        <v/>
      </c>
      <c r="AI54" s="233" t="str">
        <f>IFERROR(VLOOKUP(TableHandbook[[#This Row],[UDC]],TableMCEDUC[],7,FALSE),"")</f>
        <v/>
      </c>
      <c r="AJ54" s="232" t="str">
        <f>IFERROR(VLOOKUP(TableHandbook[[#This Row],[UDC]],TableSPPECULIN[],7,FALSE),"")</f>
        <v/>
      </c>
      <c r="AK54" s="232" t="str">
        <f>IFERROR(VLOOKUP(TableHandbook[[#This Row],[UDC]],TableSPPELNTCH[],7,FALSE),"")</f>
        <v/>
      </c>
      <c r="AL54" s="232" t="str">
        <f>IFERROR(VLOOKUP(TableHandbook[[#This Row],[UDC]],TableSPPESTEME[],7,FALSE),"")</f>
        <v/>
      </c>
    </row>
    <row r="55" spans="1:38" x14ac:dyDescent="0.25">
      <c r="A55" s="2" t="s">
        <v>77</v>
      </c>
      <c r="B55" s="3">
        <v>1</v>
      </c>
      <c r="C55" s="3"/>
      <c r="D55" s="2" t="s">
        <v>389</v>
      </c>
      <c r="E55" s="3">
        <v>25</v>
      </c>
      <c r="F55" s="54" t="s">
        <v>336</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31"/>
      <c r="P55" s="233" t="str">
        <f>IFERROR(VLOOKUP(TableHandbook[[#This Row],[UDC]],TableMCTEACH[],7,FALSE),"")</f>
        <v/>
      </c>
      <c r="Q55" s="232" t="str">
        <f>IFERROR(VLOOKUP(TableHandbook[[#This Row],[UDC]],TableMJRPTCHEC[],7,FALSE),"")</f>
        <v>Core</v>
      </c>
      <c r="R55" s="232" t="str">
        <f>IFERROR(VLOOKUP(TableHandbook[[#This Row],[UDC]],TableMJRPTCHPR[],7,FALSE),"")</f>
        <v>Core</v>
      </c>
      <c r="S55" s="232" t="str">
        <f>IFERROR(VLOOKUP(TableHandbook[[#This Row],[UDC]],TableMJRPTCHSC[],7,FALSE),"")</f>
        <v/>
      </c>
      <c r="T55" s="232" t="str">
        <f>IFERROR(VLOOKUP(TableHandbook[[#This Row],[UDC]],TableSTRPSCART[],7,FALSE),"")</f>
        <v/>
      </c>
      <c r="U55" s="232" t="str">
        <f>IFERROR(VLOOKUP(TableHandbook[[#This Row],[UDC]],TableSTRPSCENG[],7,FALSE),"")</f>
        <v/>
      </c>
      <c r="V55" s="232" t="str">
        <f>IFERROR(VLOOKUP(TableHandbook[[#This Row],[UDC]],TableSTRPSCHLP[],7,FALSE),"")</f>
        <v/>
      </c>
      <c r="W55" s="232" t="str">
        <f>IFERROR(VLOOKUP(TableHandbook[[#This Row],[UDC]],TableSTRPSCHUS[],7,FALSE),"")</f>
        <v/>
      </c>
      <c r="X55" s="232" t="str">
        <f>IFERROR(VLOOKUP(TableHandbook[[#This Row],[UDC]],TableSTRPSCMAT[],7,FALSE),"")</f>
        <v/>
      </c>
      <c r="Y55" s="232" t="str">
        <f>IFERROR(VLOOKUP(TableHandbook[[#This Row],[UDC]],TableSTRPSCSCI[],7,FALSE),"")</f>
        <v/>
      </c>
      <c r="Z55" s="232" t="str">
        <f>IFERROR(VLOOKUP(TableHandbook[[#This Row],[UDC]],TableSTRPSCFON[],7,FALSE),"")</f>
        <v/>
      </c>
      <c r="AA55" s="233" t="str">
        <f>IFERROR(VLOOKUP(TableHandbook[[#This Row],[UDC]],TableGCTESOL[],7,FALSE),"")</f>
        <v/>
      </c>
      <c r="AB55" s="232" t="str">
        <f>IFERROR(VLOOKUP(TableHandbook[[#This Row],[UDC]],TableMCTESOL[],7,FALSE),"")</f>
        <v/>
      </c>
      <c r="AC55" s="232" t="str">
        <f>IFERROR(VLOOKUP(TableHandbook[[#This Row],[UDC]],TableMCAPLING[],7,FALSE),"")</f>
        <v/>
      </c>
      <c r="AD55" s="233" t="str">
        <f>IFERROR(VLOOKUP(TableHandbook[[#This Row],[UDC]],TableGCEDHE[],7,FALSE),"")</f>
        <v/>
      </c>
      <c r="AE55" s="232" t="str">
        <f>IFERROR(VLOOKUP(TableHandbook[[#This Row],[UDC]],TableGCEDUC[],7,FALSE),"")</f>
        <v/>
      </c>
      <c r="AF55" s="232" t="str">
        <f>IFERROR(VLOOKUP(TableHandbook[[#This Row],[UDC]],TableGDEDUC[],7,FALSE),"")</f>
        <v/>
      </c>
      <c r="AG55" s="232" t="str">
        <f>IFERROR(VLOOKUP(TableHandbook[[#This Row],[UDC]],TableMJRPEDUPR[],7,FALSE),"")</f>
        <v>Core</v>
      </c>
      <c r="AH55" s="232" t="str">
        <f>IFERROR(VLOOKUP(TableHandbook[[#This Row],[UDC]],TableMJRPEDUSC[],7,FALSE),"")</f>
        <v/>
      </c>
      <c r="AI55" s="233" t="str">
        <f>IFERROR(VLOOKUP(TableHandbook[[#This Row],[UDC]],TableMCEDUC[],7,FALSE),"")</f>
        <v/>
      </c>
      <c r="AJ55" s="232" t="str">
        <f>IFERROR(VLOOKUP(TableHandbook[[#This Row],[UDC]],TableSPPECULIN[],7,FALSE),"")</f>
        <v/>
      </c>
      <c r="AK55" s="232" t="str">
        <f>IFERROR(VLOOKUP(TableHandbook[[#This Row],[UDC]],TableSPPELNTCH[],7,FALSE),"")</f>
        <v/>
      </c>
      <c r="AL55" s="232" t="str">
        <f>IFERROR(VLOOKUP(TableHandbook[[#This Row],[UDC]],TableSPPESTEME[],7,FALSE),"")</f>
        <v/>
      </c>
    </row>
    <row r="56" spans="1:38" x14ac:dyDescent="0.25">
      <c r="A56" s="2" t="s">
        <v>178</v>
      </c>
      <c r="B56" s="3">
        <v>1</v>
      </c>
      <c r="C56" s="3"/>
      <c r="D56" s="2" t="s">
        <v>390</v>
      </c>
      <c r="E56" s="3">
        <v>25</v>
      </c>
      <c r="F56" s="54" t="s">
        <v>336</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31"/>
      <c r="P56" s="233" t="str">
        <f>IFERROR(VLOOKUP(TableHandbook[[#This Row],[UDC]],TableMCTEACH[],7,FALSE),"")</f>
        <v/>
      </c>
      <c r="Q56" s="232" t="str">
        <f>IFERROR(VLOOKUP(TableHandbook[[#This Row],[UDC]],TableMJRPTCHEC[],7,FALSE),"")</f>
        <v/>
      </c>
      <c r="R56" s="232" t="str">
        <f>IFERROR(VLOOKUP(TableHandbook[[#This Row],[UDC]],TableMJRPTCHPR[],7,FALSE),"")</f>
        <v/>
      </c>
      <c r="S56" s="232" t="str">
        <f>IFERROR(VLOOKUP(TableHandbook[[#This Row],[UDC]],TableMJRPTCHSC[],7,FALSE),"")</f>
        <v/>
      </c>
      <c r="T56" s="232" t="str">
        <f>IFERROR(VLOOKUP(TableHandbook[[#This Row],[UDC]],TableSTRPSCART[],7,FALSE),"")</f>
        <v/>
      </c>
      <c r="U56" s="232" t="str">
        <f>IFERROR(VLOOKUP(TableHandbook[[#This Row],[UDC]],TableSTRPSCENG[],7,FALSE),"")</f>
        <v/>
      </c>
      <c r="V56" s="232" t="str">
        <f>IFERROR(VLOOKUP(TableHandbook[[#This Row],[UDC]],TableSTRPSCHLP[],7,FALSE),"")</f>
        <v/>
      </c>
      <c r="W56" s="232" t="str">
        <f>IFERROR(VLOOKUP(TableHandbook[[#This Row],[UDC]],TableSTRPSCHUS[],7,FALSE),"")</f>
        <v/>
      </c>
      <c r="X56" s="232" t="str">
        <f>IFERROR(VLOOKUP(TableHandbook[[#This Row],[UDC]],TableSTRPSCMAT[],7,FALSE),"")</f>
        <v/>
      </c>
      <c r="Y56" s="232" t="str">
        <f>IFERROR(VLOOKUP(TableHandbook[[#This Row],[UDC]],TableSTRPSCSCI[],7,FALSE),"")</f>
        <v/>
      </c>
      <c r="Z56" s="232" t="str">
        <f>IFERROR(VLOOKUP(TableHandbook[[#This Row],[UDC]],TableSTRPSCFON[],7,FALSE),"")</f>
        <v>Core</v>
      </c>
      <c r="AA56" s="233" t="str">
        <f>IFERROR(VLOOKUP(TableHandbook[[#This Row],[UDC]],TableGCTESOL[],7,FALSE),"")</f>
        <v/>
      </c>
      <c r="AB56" s="232" t="str">
        <f>IFERROR(VLOOKUP(TableHandbook[[#This Row],[UDC]],TableMCTESOL[],7,FALSE),"")</f>
        <v>Core</v>
      </c>
      <c r="AC56" s="232" t="str">
        <f>IFERROR(VLOOKUP(TableHandbook[[#This Row],[UDC]],TableMCAPLING[],7,FALSE),"")</f>
        <v/>
      </c>
      <c r="AD56" s="233" t="str">
        <f>IFERROR(VLOOKUP(TableHandbook[[#This Row],[UDC]],TableGCEDHE[],7,FALSE),"")</f>
        <v/>
      </c>
      <c r="AE56" s="232" t="str">
        <f>IFERROR(VLOOKUP(TableHandbook[[#This Row],[UDC]],TableGCEDUC[],7,FALSE),"")</f>
        <v>Option</v>
      </c>
      <c r="AF56" s="232" t="str">
        <f>IFERROR(VLOOKUP(TableHandbook[[#This Row],[UDC]],TableGDEDUC[],7,FALSE),"")</f>
        <v/>
      </c>
      <c r="AG56" s="232" t="str">
        <f>IFERROR(VLOOKUP(TableHandbook[[#This Row],[UDC]],TableMJRPEDUPR[],7,FALSE),"")</f>
        <v/>
      </c>
      <c r="AH56" s="232" t="str">
        <f>IFERROR(VLOOKUP(TableHandbook[[#This Row],[UDC]],TableMJRPEDUSC[],7,FALSE),"")</f>
        <v/>
      </c>
      <c r="AI56" s="233" t="str">
        <f>IFERROR(VLOOKUP(TableHandbook[[#This Row],[UDC]],TableMCEDUC[],7,FALSE),"")</f>
        <v/>
      </c>
      <c r="AJ56" s="232" t="str">
        <f>IFERROR(VLOOKUP(TableHandbook[[#This Row],[UDC]],TableSPPECULIN[],7,FALSE),"")</f>
        <v/>
      </c>
      <c r="AK56" s="232" t="str">
        <f>IFERROR(VLOOKUP(TableHandbook[[#This Row],[UDC]],TableSPPELNTCH[],7,FALSE),"")</f>
        <v/>
      </c>
      <c r="AL56" s="232" t="str">
        <f>IFERROR(VLOOKUP(TableHandbook[[#This Row],[UDC]],TableSPPESTEME[],7,FALSE),"")</f>
        <v/>
      </c>
    </row>
    <row r="57" spans="1:38" x14ac:dyDescent="0.25">
      <c r="A57" s="2" t="s">
        <v>206</v>
      </c>
      <c r="B57" s="3">
        <v>3</v>
      </c>
      <c r="C57" s="3"/>
      <c r="D57" s="2" t="s">
        <v>391</v>
      </c>
      <c r="E57" s="3">
        <v>25</v>
      </c>
      <c r="F57" s="54" t="s">
        <v>336</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31"/>
      <c r="P57" s="233" t="str">
        <f>IFERROR(VLOOKUP(TableHandbook[[#This Row],[UDC]],TableMCTEACH[],7,FALSE),"")</f>
        <v/>
      </c>
      <c r="Q57" s="232" t="str">
        <f>IFERROR(VLOOKUP(TableHandbook[[#This Row],[UDC]],TableMJRPTCHEC[],7,FALSE),"")</f>
        <v/>
      </c>
      <c r="R57" s="232" t="str">
        <f>IFERROR(VLOOKUP(TableHandbook[[#This Row],[UDC]],TableMJRPTCHPR[],7,FALSE),"")</f>
        <v/>
      </c>
      <c r="S57" s="232" t="str">
        <f>IFERROR(VLOOKUP(TableHandbook[[#This Row],[UDC]],TableMJRPTCHSC[],7,FALSE),"")</f>
        <v/>
      </c>
      <c r="T57" s="232" t="str">
        <f>IFERROR(VLOOKUP(TableHandbook[[#This Row],[UDC]],TableSTRPSCART[],7,FALSE),"")</f>
        <v/>
      </c>
      <c r="U57" s="232" t="str">
        <f>IFERROR(VLOOKUP(TableHandbook[[#This Row],[UDC]],TableSTRPSCENG[],7,FALSE),"")</f>
        <v/>
      </c>
      <c r="V57" s="232" t="str">
        <f>IFERROR(VLOOKUP(TableHandbook[[#This Row],[UDC]],TableSTRPSCHLP[],7,FALSE),"")</f>
        <v/>
      </c>
      <c r="W57" s="232" t="str">
        <f>IFERROR(VLOOKUP(TableHandbook[[#This Row],[UDC]],TableSTRPSCHUS[],7,FALSE),"")</f>
        <v/>
      </c>
      <c r="X57" s="232" t="str">
        <f>IFERROR(VLOOKUP(TableHandbook[[#This Row],[UDC]],TableSTRPSCMAT[],7,FALSE),"")</f>
        <v/>
      </c>
      <c r="Y57" s="232" t="str">
        <f>IFERROR(VLOOKUP(TableHandbook[[#This Row],[UDC]],TableSTRPSCSCI[],7,FALSE),"")</f>
        <v/>
      </c>
      <c r="Z57" s="232" t="str">
        <f>IFERROR(VLOOKUP(TableHandbook[[#This Row],[UDC]],TableSTRPSCFON[],7,FALSE),"")</f>
        <v/>
      </c>
      <c r="AA57" s="233" t="str">
        <f>IFERROR(VLOOKUP(TableHandbook[[#This Row],[UDC]],TableGCTESOL[],7,FALSE),"")</f>
        <v/>
      </c>
      <c r="AB57" s="232" t="str">
        <f>IFERROR(VLOOKUP(TableHandbook[[#This Row],[UDC]],TableMCTESOL[],7,FALSE),"")</f>
        <v/>
      </c>
      <c r="AC57" s="232" t="str">
        <f>IFERROR(VLOOKUP(TableHandbook[[#This Row],[UDC]],TableMCAPLING[],7,FALSE),"")</f>
        <v/>
      </c>
      <c r="AD57" s="233" t="str">
        <f>IFERROR(VLOOKUP(TableHandbook[[#This Row],[UDC]],TableGCEDHE[],7,FALSE),"")</f>
        <v/>
      </c>
      <c r="AE57" s="232" t="str">
        <f>IFERROR(VLOOKUP(TableHandbook[[#This Row],[UDC]],TableGCEDUC[],7,FALSE),"")</f>
        <v/>
      </c>
      <c r="AF57" s="232" t="str">
        <f>IFERROR(VLOOKUP(TableHandbook[[#This Row],[UDC]],TableGDEDUC[],7,FALSE),"")</f>
        <v/>
      </c>
      <c r="AG57" s="232" t="str">
        <f>IFERROR(VLOOKUP(TableHandbook[[#This Row],[UDC]],TableMJRPEDUPR[],7,FALSE),"")</f>
        <v/>
      </c>
      <c r="AH57" s="232" t="str">
        <f>IFERROR(VLOOKUP(TableHandbook[[#This Row],[UDC]],TableMJRPEDUSC[],7,FALSE),"")</f>
        <v/>
      </c>
      <c r="AI57" s="233" t="str">
        <f>IFERROR(VLOOKUP(TableHandbook[[#This Row],[UDC]],TableMCEDUC[],7,FALSE),"")</f>
        <v>Core</v>
      </c>
      <c r="AJ57" s="232" t="str">
        <f>IFERROR(VLOOKUP(TableHandbook[[#This Row],[UDC]],TableSPPECULIN[],7,FALSE),"")</f>
        <v/>
      </c>
      <c r="AK57" s="232" t="str">
        <f>IFERROR(VLOOKUP(TableHandbook[[#This Row],[UDC]],TableSPPELNTCH[],7,FALSE),"")</f>
        <v/>
      </c>
      <c r="AL57" s="232" t="str">
        <f>IFERROR(VLOOKUP(TableHandbook[[#This Row],[UDC]],TableSPPESTEME[],7,FALSE),"")</f>
        <v/>
      </c>
    </row>
    <row r="58" spans="1:38" x14ac:dyDescent="0.25">
      <c r="A58" s="2" t="s">
        <v>184</v>
      </c>
      <c r="B58" s="3">
        <v>2</v>
      </c>
      <c r="C58" s="3"/>
      <c r="D58" s="2" t="s">
        <v>392</v>
      </c>
      <c r="E58" s="3">
        <v>50</v>
      </c>
      <c r="F58" s="270" t="s">
        <v>393</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31"/>
      <c r="P58" s="233" t="str">
        <f>IFERROR(VLOOKUP(TableHandbook[[#This Row],[UDC]],TableMCTEACH[],7,FALSE),"")</f>
        <v/>
      </c>
      <c r="Q58" s="232" t="str">
        <f>IFERROR(VLOOKUP(TableHandbook[[#This Row],[UDC]],TableMJRPTCHEC[],7,FALSE),"")</f>
        <v/>
      </c>
      <c r="R58" s="232" t="str">
        <f>IFERROR(VLOOKUP(TableHandbook[[#This Row],[UDC]],TableMJRPTCHPR[],7,FALSE),"")</f>
        <v/>
      </c>
      <c r="S58" s="232" t="str">
        <f>IFERROR(VLOOKUP(TableHandbook[[#This Row],[UDC]],TableMJRPTCHSC[],7,FALSE),"")</f>
        <v/>
      </c>
      <c r="T58" s="232" t="str">
        <f>IFERROR(VLOOKUP(TableHandbook[[#This Row],[UDC]],TableSTRPSCART[],7,FALSE),"")</f>
        <v/>
      </c>
      <c r="U58" s="232" t="str">
        <f>IFERROR(VLOOKUP(TableHandbook[[#This Row],[UDC]],TableSTRPSCENG[],7,FALSE),"")</f>
        <v/>
      </c>
      <c r="V58" s="232" t="str">
        <f>IFERROR(VLOOKUP(TableHandbook[[#This Row],[UDC]],TableSTRPSCHLP[],7,FALSE),"")</f>
        <v/>
      </c>
      <c r="W58" s="232" t="str">
        <f>IFERROR(VLOOKUP(TableHandbook[[#This Row],[UDC]],TableSTRPSCHUS[],7,FALSE),"")</f>
        <v/>
      </c>
      <c r="X58" s="232" t="str">
        <f>IFERROR(VLOOKUP(TableHandbook[[#This Row],[UDC]],TableSTRPSCMAT[],7,FALSE),"")</f>
        <v/>
      </c>
      <c r="Y58" s="232" t="str">
        <f>IFERROR(VLOOKUP(TableHandbook[[#This Row],[UDC]],TableSTRPSCSCI[],7,FALSE),"")</f>
        <v/>
      </c>
      <c r="Z58" s="232" t="str">
        <f>IFERROR(VLOOKUP(TableHandbook[[#This Row],[UDC]],TableSTRPSCFON[],7,FALSE),"")</f>
        <v/>
      </c>
      <c r="AA58" s="233" t="str">
        <f>IFERROR(VLOOKUP(TableHandbook[[#This Row],[UDC]],TableGCTESOL[],7,FALSE),"")</f>
        <v/>
      </c>
      <c r="AB58" s="232" t="str">
        <f>IFERROR(VLOOKUP(TableHandbook[[#This Row],[UDC]],TableMCTESOL[],7,FALSE),"")</f>
        <v>Core</v>
      </c>
      <c r="AC58" s="232" t="str">
        <f>IFERROR(VLOOKUP(TableHandbook[[#This Row],[UDC]],TableMCAPLING[],7,FALSE),"")</f>
        <v>Core</v>
      </c>
      <c r="AD58" s="233" t="str">
        <f>IFERROR(VLOOKUP(TableHandbook[[#This Row],[UDC]],TableGCEDHE[],7,FALSE),"")</f>
        <v/>
      </c>
      <c r="AE58" s="232" t="str">
        <f>IFERROR(VLOOKUP(TableHandbook[[#This Row],[UDC]],TableGCEDUC[],7,FALSE),"")</f>
        <v/>
      </c>
      <c r="AF58" s="232" t="str">
        <f>IFERROR(VLOOKUP(TableHandbook[[#This Row],[UDC]],TableGDEDUC[],7,FALSE),"")</f>
        <v/>
      </c>
      <c r="AG58" s="232" t="str">
        <f>IFERROR(VLOOKUP(TableHandbook[[#This Row],[UDC]],TableMJRPEDUPR[],7,FALSE),"")</f>
        <v/>
      </c>
      <c r="AH58" s="232" t="str">
        <f>IFERROR(VLOOKUP(TableHandbook[[#This Row],[UDC]],TableMJRPEDUSC[],7,FALSE),"")</f>
        <v/>
      </c>
      <c r="AI58" s="233" t="str">
        <f>IFERROR(VLOOKUP(TableHandbook[[#This Row],[UDC]],TableMCEDUC[],7,FALSE),"")</f>
        <v>Core</v>
      </c>
      <c r="AJ58" s="232" t="str">
        <f>IFERROR(VLOOKUP(TableHandbook[[#This Row],[UDC]],TableSPPECULIN[],7,FALSE),"")</f>
        <v/>
      </c>
      <c r="AK58" s="232" t="str">
        <f>IFERROR(VLOOKUP(TableHandbook[[#This Row],[UDC]],TableSPPELNTCH[],7,FALSE),"")</f>
        <v/>
      </c>
      <c r="AL58" s="232" t="str">
        <f>IFERROR(VLOOKUP(TableHandbook[[#This Row],[UDC]],TableSPPESTEME[],7,FALSE),"")</f>
        <v/>
      </c>
    </row>
    <row r="59" spans="1:38" x14ac:dyDescent="0.25">
      <c r="A59" s="2" t="s">
        <v>163</v>
      </c>
      <c r="B59" s="3">
        <v>2</v>
      </c>
      <c r="C59" s="3"/>
      <c r="D59" s="2" t="s">
        <v>394</v>
      </c>
      <c r="E59" s="3">
        <v>25</v>
      </c>
      <c r="F59" s="54" t="s">
        <v>336</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31"/>
      <c r="P59" s="233" t="str">
        <f>IFERROR(VLOOKUP(TableHandbook[[#This Row],[UDC]],TableMCTEACH[],7,FALSE),"")</f>
        <v/>
      </c>
      <c r="Q59" s="232" t="str">
        <f>IFERROR(VLOOKUP(TableHandbook[[#This Row],[UDC]],TableMJRPTCHEC[],7,FALSE),"")</f>
        <v/>
      </c>
      <c r="R59" s="232" t="str">
        <f>IFERROR(VLOOKUP(TableHandbook[[#This Row],[UDC]],TableMJRPTCHPR[],7,FALSE),"")</f>
        <v/>
      </c>
      <c r="S59" s="232" t="str">
        <f>IFERROR(VLOOKUP(TableHandbook[[#This Row],[UDC]],TableMJRPTCHSC[],7,FALSE),"")</f>
        <v/>
      </c>
      <c r="T59" s="232" t="str">
        <f>IFERROR(VLOOKUP(TableHandbook[[#This Row],[UDC]],TableSTRPSCART[],7,FALSE),"")</f>
        <v/>
      </c>
      <c r="U59" s="232" t="str">
        <f>IFERROR(VLOOKUP(TableHandbook[[#This Row],[UDC]],TableSTRPSCENG[],7,FALSE),"")</f>
        <v/>
      </c>
      <c r="V59" s="232" t="str">
        <f>IFERROR(VLOOKUP(TableHandbook[[#This Row],[UDC]],TableSTRPSCHLP[],7,FALSE),"")</f>
        <v/>
      </c>
      <c r="W59" s="232" t="str">
        <f>IFERROR(VLOOKUP(TableHandbook[[#This Row],[UDC]],TableSTRPSCHUS[],7,FALSE),"")</f>
        <v/>
      </c>
      <c r="X59" s="232" t="str">
        <f>IFERROR(VLOOKUP(TableHandbook[[#This Row],[UDC]],TableSTRPSCMAT[],7,FALSE),"")</f>
        <v/>
      </c>
      <c r="Y59" s="232" t="str">
        <f>IFERROR(VLOOKUP(TableHandbook[[#This Row],[UDC]],TableSTRPSCSCI[],7,FALSE),"")</f>
        <v/>
      </c>
      <c r="Z59" s="232" t="str">
        <f>IFERROR(VLOOKUP(TableHandbook[[#This Row],[UDC]],TableSTRPSCFON[],7,FALSE),"")</f>
        <v/>
      </c>
      <c r="AA59" s="233" t="str">
        <f>IFERROR(VLOOKUP(TableHandbook[[#This Row],[UDC]],TableGCTESOL[],7,FALSE),"")</f>
        <v/>
      </c>
      <c r="AB59" s="232" t="str">
        <f>IFERROR(VLOOKUP(TableHandbook[[#This Row],[UDC]],TableMCTESOL[],7,FALSE),"")</f>
        <v>Core</v>
      </c>
      <c r="AC59" s="232" t="str">
        <f>IFERROR(VLOOKUP(TableHandbook[[#This Row],[UDC]],TableMCAPLING[],7,FALSE),"")</f>
        <v>Core</v>
      </c>
      <c r="AD59" s="233" t="str">
        <f>IFERROR(VLOOKUP(TableHandbook[[#This Row],[UDC]],TableGCEDHE[],7,FALSE),"")</f>
        <v/>
      </c>
      <c r="AE59" s="232" t="str">
        <f>IFERROR(VLOOKUP(TableHandbook[[#This Row],[UDC]],TableGCEDUC[],7,FALSE),"")</f>
        <v/>
      </c>
      <c r="AF59" s="232" t="str">
        <f>IFERROR(VLOOKUP(TableHandbook[[#This Row],[UDC]],TableGDEDUC[],7,FALSE),"")</f>
        <v/>
      </c>
      <c r="AG59" s="232" t="str">
        <f>IFERROR(VLOOKUP(TableHandbook[[#This Row],[UDC]],TableMJRPEDUPR[],7,FALSE),"")</f>
        <v/>
      </c>
      <c r="AH59" s="232" t="str">
        <f>IFERROR(VLOOKUP(TableHandbook[[#This Row],[UDC]],TableMJRPEDUSC[],7,FALSE),"")</f>
        <v/>
      </c>
      <c r="AI59" s="233" t="str">
        <f>IFERROR(VLOOKUP(TableHandbook[[#This Row],[UDC]],TableMCEDUC[],7,FALSE),"")</f>
        <v>Option</v>
      </c>
      <c r="AJ59" s="232" t="str">
        <f>IFERROR(VLOOKUP(TableHandbook[[#This Row],[UDC]],TableSPPECULIN[],7,FALSE),"")</f>
        <v>Core</v>
      </c>
      <c r="AK59" s="232" t="str">
        <f>IFERROR(VLOOKUP(TableHandbook[[#This Row],[UDC]],TableSPPELNTCH[],7,FALSE),"")</f>
        <v/>
      </c>
      <c r="AL59" s="232" t="str">
        <f>IFERROR(VLOOKUP(TableHandbook[[#This Row],[UDC]],TableSPPESTEME[],7,FALSE),"")</f>
        <v/>
      </c>
    </row>
    <row r="60" spans="1:38" x14ac:dyDescent="0.25">
      <c r="A60" s="2" t="s">
        <v>177</v>
      </c>
      <c r="B60" s="3">
        <v>1</v>
      </c>
      <c r="C60" s="3"/>
      <c r="D60" s="2" t="s">
        <v>395</v>
      </c>
      <c r="E60" s="3">
        <v>25</v>
      </c>
      <c r="F60" s="54" t="s">
        <v>336</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31"/>
      <c r="P60" s="233" t="str">
        <f>IFERROR(VLOOKUP(TableHandbook[[#This Row],[UDC]],TableMCTEACH[],7,FALSE),"")</f>
        <v/>
      </c>
      <c r="Q60" s="232" t="str">
        <f>IFERROR(VLOOKUP(TableHandbook[[#This Row],[UDC]],TableMJRPTCHEC[],7,FALSE),"")</f>
        <v/>
      </c>
      <c r="R60" s="232" t="str">
        <f>IFERROR(VLOOKUP(TableHandbook[[#This Row],[UDC]],TableMJRPTCHPR[],7,FALSE),"")</f>
        <v/>
      </c>
      <c r="S60" s="232" t="str">
        <f>IFERROR(VLOOKUP(TableHandbook[[#This Row],[UDC]],TableMJRPTCHSC[],7,FALSE),"")</f>
        <v/>
      </c>
      <c r="T60" s="232" t="str">
        <f>IFERROR(VLOOKUP(TableHandbook[[#This Row],[UDC]],TableSTRPSCART[],7,FALSE),"")</f>
        <v/>
      </c>
      <c r="U60" s="232" t="str">
        <f>IFERROR(VLOOKUP(TableHandbook[[#This Row],[UDC]],TableSTRPSCENG[],7,FALSE),"")</f>
        <v/>
      </c>
      <c r="V60" s="232" t="str">
        <f>IFERROR(VLOOKUP(TableHandbook[[#This Row],[UDC]],TableSTRPSCHLP[],7,FALSE),"")</f>
        <v/>
      </c>
      <c r="W60" s="232" t="str">
        <f>IFERROR(VLOOKUP(TableHandbook[[#This Row],[UDC]],TableSTRPSCHUS[],7,FALSE),"")</f>
        <v/>
      </c>
      <c r="X60" s="232" t="str">
        <f>IFERROR(VLOOKUP(TableHandbook[[#This Row],[UDC]],TableSTRPSCMAT[],7,FALSE),"")</f>
        <v/>
      </c>
      <c r="Y60" s="232" t="str">
        <f>IFERROR(VLOOKUP(TableHandbook[[#This Row],[UDC]],TableSTRPSCSCI[],7,FALSE),"")</f>
        <v/>
      </c>
      <c r="Z60" s="232" t="str">
        <f>IFERROR(VLOOKUP(TableHandbook[[#This Row],[UDC]],TableSTRPSCFON[],7,FALSE),"")</f>
        <v/>
      </c>
      <c r="AA60" s="233" t="str">
        <f>IFERROR(VLOOKUP(TableHandbook[[#This Row],[UDC]],TableGCTESOL[],7,FALSE),"")</f>
        <v/>
      </c>
      <c r="AB60" s="232" t="str">
        <f>IFERROR(VLOOKUP(TableHandbook[[#This Row],[UDC]],TableMCTESOL[],7,FALSE),"")</f>
        <v>Core</v>
      </c>
      <c r="AC60" s="232" t="str">
        <f>IFERROR(VLOOKUP(TableHandbook[[#This Row],[UDC]],TableMCAPLING[],7,FALSE),"")</f>
        <v>Core</v>
      </c>
      <c r="AD60" s="233" t="str">
        <f>IFERROR(VLOOKUP(TableHandbook[[#This Row],[UDC]],TableGCEDHE[],7,FALSE),"")</f>
        <v/>
      </c>
      <c r="AE60" s="232" t="str">
        <f>IFERROR(VLOOKUP(TableHandbook[[#This Row],[UDC]],TableGCEDUC[],7,FALSE),"")</f>
        <v/>
      </c>
      <c r="AF60" s="232" t="str">
        <f>IFERROR(VLOOKUP(TableHandbook[[#This Row],[UDC]],TableGDEDUC[],7,FALSE),"")</f>
        <v/>
      </c>
      <c r="AG60" s="232" t="str">
        <f>IFERROR(VLOOKUP(TableHandbook[[#This Row],[UDC]],TableMJRPEDUPR[],7,FALSE),"")</f>
        <v/>
      </c>
      <c r="AH60" s="232" t="str">
        <f>IFERROR(VLOOKUP(TableHandbook[[#This Row],[UDC]],TableMJRPEDUSC[],7,FALSE),"")</f>
        <v/>
      </c>
      <c r="AI60" s="233" t="str">
        <f>IFERROR(VLOOKUP(TableHandbook[[#This Row],[UDC]],TableMCEDUC[],7,FALSE),"")</f>
        <v/>
      </c>
      <c r="AJ60" s="232" t="str">
        <f>IFERROR(VLOOKUP(TableHandbook[[#This Row],[UDC]],TableSPPECULIN[],7,FALSE),"")</f>
        <v/>
      </c>
      <c r="AK60" s="232" t="str">
        <f>IFERROR(VLOOKUP(TableHandbook[[#This Row],[UDC]],TableSPPELNTCH[],7,FALSE),"")</f>
        <v/>
      </c>
      <c r="AL60" s="232" t="str">
        <f>IFERROR(VLOOKUP(TableHandbook[[#This Row],[UDC]],TableSPPESTEME[],7,FALSE),"")</f>
        <v/>
      </c>
    </row>
    <row r="61" spans="1:38" x14ac:dyDescent="0.25">
      <c r="A61" s="2" t="s">
        <v>169</v>
      </c>
      <c r="B61" s="3">
        <v>1</v>
      </c>
      <c r="C61" s="3"/>
      <c r="D61" s="2" t="s">
        <v>396</v>
      </c>
      <c r="E61" s="3">
        <v>25</v>
      </c>
      <c r="F61" s="54" t="s">
        <v>336</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31"/>
      <c r="P61" s="233" t="str">
        <f>IFERROR(VLOOKUP(TableHandbook[[#This Row],[UDC]],TableMCTEACH[],7,FALSE),"")</f>
        <v/>
      </c>
      <c r="Q61" s="232" t="str">
        <f>IFERROR(VLOOKUP(TableHandbook[[#This Row],[UDC]],TableMJRPTCHEC[],7,FALSE),"")</f>
        <v/>
      </c>
      <c r="R61" s="232" t="str">
        <f>IFERROR(VLOOKUP(TableHandbook[[#This Row],[UDC]],TableMJRPTCHPR[],7,FALSE),"")</f>
        <v/>
      </c>
      <c r="S61" s="232" t="str">
        <f>IFERROR(VLOOKUP(TableHandbook[[#This Row],[UDC]],TableMJRPTCHSC[],7,FALSE),"")</f>
        <v/>
      </c>
      <c r="T61" s="232" t="str">
        <f>IFERROR(VLOOKUP(TableHandbook[[#This Row],[UDC]],TableSTRPSCART[],7,FALSE),"")</f>
        <v/>
      </c>
      <c r="U61" s="232" t="str">
        <f>IFERROR(VLOOKUP(TableHandbook[[#This Row],[UDC]],TableSTRPSCENG[],7,FALSE),"")</f>
        <v/>
      </c>
      <c r="V61" s="232" t="str">
        <f>IFERROR(VLOOKUP(TableHandbook[[#This Row],[UDC]],TableSTRPSCHLP[],7,FALSE),"")</f>
        <v/>
      </c>
      <c r="W61" s="232" t="str">
        <f>IFERROR(VLOOKUP(TableHandbook[[#This Row],[UDC]],TableSTRPSCHUS[],7,FALSE),"")</f>
        <v/>
      </c>
      <c r="X61" s="232" t="str">
        <f>IFERROR(VLOOKUP(TableHandbook[[#This Row],[UDC]],TableSTRPSCMAT[],7,FALSE),"")</f>
        <v/>
      </c>
      <c r="Y61" s="232" t="str">
        <f>IFERROR(VLOOKUP(TableHandbook[[#This Row],[UDC]],TableSTRPSCSCI[],7,FALSE),"")</f>
        <v/>
      </c>
      <c r="Z61" s="232" t="str">
        <f>IFERROR(VLOOKUP(TableHandbook[[#This Row],[UDC]],TableSTRPSCFON[],7,FALSE),"")</f>
        <v/>
      </c>
      <c r="AA61" s="233" t="str">
        <f>IFERROR(VLOOKUP(TableHandbook[[#This Row],[UDC]],TableGCTESOL[],7,FALSE),"")</f>
        <v/>
      </c>
      <c r="AB61" s="232" t="str">
        <f>IFERROR(VLOOKUP(TableHandbook[[#This Row],[UDC]],TableMCTESOL[],7,FALSE),"")</f>
        <v>Core</v>
      </c>
      <c r="AC61" s="232" t="str">
        <f>IFERROR(VLOOKUP(TableHandbook[[#This Row],[UDC]],TableMCAPLING[],7,FALSE),"")</f>
        <v>Core</v>
      </c>
      <c r="AD61" s="233" t="str">
        <f>IFERROR(VLOOKUP(TableHandbook[[#This Row],[UDC]],TableGCEDHE[],7,FALSE),"")</f>
        <v/>
      </c>
      <c r="AE61" s="232" t="str">
        <f>IFERROR(VLOOKUP(TableHandbook[[#This Row],[UDC]],TableGCEDUC[],7,FALSE),"")</f>
        <v/>
      </c>
      <c r="AF61" s="232" t="str">
        <f>IFERROR(VLOOKUP(TableHandbook[[#This Row],[UDC]],TableGDEDUC[],7,FALSE),"")</f>
        <v/>
      </c>
      <c r="AG61" s="232" t="str">
        <f>IFERROR(VLOOKUP(TableHandbook[[#This Row],[UDC]],TableMJRPEDUPR[],7,FALSE),"")</f>
        <v/>
      </c>
      <c r="AH61" s="232" t="str">
        <f>IFERROR(VLOOKUP(TableHandbook[[#This Row],[UDC]],TableMJRPEDUSC[],7,FALSE),"")</f>
        <v/>
      </c>
      <c r="AI61" s="233" t="str">
        <f>IFERROR(VLOOKUP(TableHandbook[[#This Row],[UDC]],TableMCEDUC[],7,FALSE),"")</f>
        <v/>
      </c>
      <c r="AJ61" s="232" t="str">
        <f>IFERROR(VLOOKUP(TableHandbook[[#This Row],[UDC]],TableSPPECULIN[],7,FALSE),"")</f>
        <v/>
      </c>
      <c r="AK61" s="232" t="str">
        <f>IFERROR(VLOOKUP(TableHandbook[[#This Row],[UDC]],TableSPPELNTCH[],7,FALSE),"")</f>
        <v/>
      </c>
      <c r="AL61" s="232" t="str">
        <f>IFERROR(VLOOKUP(TableHandbook[[#This Row],[UDC]],TableSPPESTEME[],7,FALSE),"")</f>
        <v/>
      </c>
    </row>
    <row r="62" spans="1:38" x14ac:dyDescent="0.25">
      <c r="A62" s="2" t="s">
        <v>158</v>
      </c>
      <c r="B62" s="3">
        <v>1</v>
      </c>
      <c r="C62" s="3"/>
      <c r="D62" s="2" t="s">
        <v>397</v>
      </c>
      <c r="E62" s="3">
        <v>25</v>
      </c>
      <c r="F62" s="54" t="s">
        <v>336</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31"/>
      <c r="P62" s="233" t="str">
        <f>IFERROR(VLOOKUP(TableHandbook[[#This Row],[UDC]],TableMCTEACH[],7,FALSE),"")</f>
        <v/>
      </c>
      <c r="Q62" s="232" t="str">
        <f>IFERROR(VLOOKUP(TableHandbook[[#This Row],[UDC]],TableMJRPTCHEC[],7,FALSE),"")</f>
        <v/>
      </c>
      <c r="R62" s="232" t="str">
        <f>IFERROR(VLOOKUP(TableHandbook[[#This Row],[UDC]],TableMJRPTCHPR[],7,FALSE),"")</f>
        <v/>
      </c>
      <c r="S62" s="232" t="str">
        <f>IFERROR(VLOOKUP(TableHandbook[[#This Row],[UDC]],TableMJRPTCHSC[],7,FALSE),"")</f>
        <v/>
      </c>
      <c r="T62" s="232" t="str">
        <f>IFERROR(VLOOKUP(TableHandbook[[#This Row],[UDC]],TableSTRPSCART[],7,FALSE),"")</f>
        <v/>
      </c>
      <c r="U62" s="232" t="str">
        <f>IFERROR(VLOOKUP(TableHandbook[[#This Row],[UDC]],TableSTRPSCENG[],7,FALSE),"")</f>
        <v/>
      </c>
      <c r="V62" s="232" t="str">
        <f>IFERROR(VLOOKUP(TableHandbook[[#This Row],[UDC]],TableSTRPSCHLP[],7,FALSE),"")</f>
        <v/>
      </c>
      <c r="W62" s="232" t="str">
        <f>IFERROR(VLOOKUP(TableHandbook[[#This Row],[UDC]],TableSTRPSCHUS[],7,FALSE),"")</f>
        <v/>
      </c>
      <c r="X62" s="232" t="str">
        <f>IFERROR(VLOOKUP(TableHandbook[[#This Row],[UDC]],TableSTRPSCMAT[],7,FALSE),"")</f>
        <v/>
      </c>
      <c r="Y62" s="232" t="str">
        <f>IFERROR(VLOOKUP(TableHandbook[[#This Row],[UDC]],TableSTRPSCSCI[],7,FALSE),"")</f>
        <v/>
      </c>
      <c r="Z62" s="232" t="str">
        <f>IFERROR(VLOOKUP(TableHandbook[[#This Row],[UDC]],TableSTRPSCFON[],7,FALSE),"")</f>
        <v/>
      </c>
      <c r="AA62" s="233" t="str">
        <f>IFERROR(VLOOKUP(TableHandbook[[#This Row],[UDC]],TableGCTESOL[],7,FALSE),"")</f>
        <v/>
      </c>
      <c r="AB62" s="232" t="str">
        <f>IFERROR(VLOOKUP(TableHandbook[[#This Row],[UDC]],TableMCTESOL[],7,FALSE),"")</f>
        <v>Core</v>
      </c>
      <c r="AC62" s="232" t="str">
        <f>IFERROR(VLOOKUP(TableHandbook[[#This Row],[UDC]],TableMCAPLING[],7,FALSE),"")</f>
        <v>Core</v>
      </c>
      <c r="AD62" s="233" t="str">
        <f>IFERROR(VLOOKUP(TableHandbook[[#This Row],[UDC]],TableGCEDHE[],7,FALSE),"")</f>
        <v/>
      </c>
      <c r="AE62" s="232" t="str">
        <f>IFERROR(VLOOKUP(TableHandbook[[#This Row],[UDC]],TableGCEDUC[],7,FALSE),"")</f>
        <v/>
      </c>
      <c r="AF62" s="232" t="str">
        <f>IFERROR(VLOOKUP(TableHandbook[[#This Row],[UDC]],TableGDEDUC[],7,FALSE),"")</f>
        <v/>
      </c>
      <c r="AG62" s="232" t="str">
        <f>IFERROR(VLOOKUP(TableHandbook[[#This Row],[UDC]],TableMJRPEDUPR[],7,FALSE),"")</f>
        <v/>
      </c>
      <c r="AH62" s="232" t="str">
        <f>IFERROR(VLOOKUP(TableHandbook[[#This Row],[UDC]],TableMJRPEDUSC[],7,FALSE),"")</f>
        <v/>
      </c>
      <c r="AI62" s="233" t="str">
        <f>IFERROR(VLOOKUP(TableHandbook[[#This Row],[UDC]],TableMCEDUC[],7,FALSE),"")</f>
        <v/>
      </c>
      <c r="AJ62" s="232" t="str">
        <f>IFERROR(VLOOKUP(TableHandbook[[#This Row],[UDC]],TableSPPECULIN[],7,FALSE),"")</f>
        <v/>
      </c>
      <c r="AK62" s="232" t="str">
        <f>IFERROR(VLOOKUP(TableHandbook[[#This Row],[UDC]],TableSPPELNTCH[],7,FALSE),"")</f>
        <v/>
      </c>
      <c r="AL62" s="232" t="str">
        <f>IFERROR(VLOOKUP(TableHandbook[[#This Row],[UDC]],TableSPPESTEME[],7,FALSE),"")</f>
        <v/>
      </c>
    </row>
    <row r="63" spans="1:38" x14ac:dyDescent="0.25">
      <c r="A63" s="2" t="s">
        <v>214</v>
      </c>
      <c r="B63" s="3">
        <v>1</v>
      </c>
      <c r="C63" s="3"/>
      <c r="D63" s="2" t="s">
        <v>398</v>
      </c>
      <c r="E63" s="3">
        <v>25</v>
      </c>
      <c r="F63" s="54" t="s">
        <v>336</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31"/>
      <c r="P63" s="233" t="str">
        <f>IFERROR(VLOOKUP(TableHandbook[[#This Row],[UDC]],TableMCTEACH[],7,FALSE),"")</f>
        <v/>
      </c>
      <c r="Q63" s="232" t="str">
        <f>IFERROR(VLOOKUP(TableHandbook[[#This Row],[UDC]],TableMJRPTCHEC[],7,FALSE),"")</f>
        <v/>
      </c>
      <c r="R63" s="232" t="str">
        <f>IFERROR(VLOOKUP(TableHandbook[[#This Row],[UDC]],TableMJRPTCHPR[],7,FALSE),"")</f>
        <v/>
      </c>
      <c r="S63" s="232" t="str">
        <f>IFERROR(VLOOKUP(TableHandbook[[#This Row],[UDC]],TableMJRPTCHSC[],7,FALSE),"")</f>
        <v/>
      </c>
      <c r="T63" s="232" t="str">
        <f>IFERROR(VLOOKUP(TableHandbook[[#This Row],[UDC]],TableSTRPSCART[],7,FALSE),"")</f>
        <v/>
      </c>
      <c r="U63" s="232" t="str">
        <f>IFERROR(VLOOKUP(TableHandbook[[#This Row],[UDC]],TableSTRPSCENG[],7,FALSE),"")</f>
        <v/>
      </c>
      <c r="V63" s="232" t="str">
        <f>IFERROR(VLOOKUP(TableHandbook[[#This Row],[UDC]],TableSTRPSCHLP[],7,FALSE),"")</f>
        <v/>
      </c>
      <c r="W63" s="232" t="str">
        <f>IFERROR(VLOOKUP(TableHandbook[[#This Row],[UDC]],TableSTRPSCHUS[],7,FALSE),"")</f>
        <v/>
      </c>
      <c r="X63" s="232" t="str">
        <f>IFERROR(VLOOKUP(TableHandbook[[#This Row],[UDC]],TableSTRPSCMAT[],7,FALSE),"")</f>
        <v/>
      </c>
      <c r="Y63" s="232" t="str">
        <f>IFERROR(VLOOKUP(TableHandbook[[#This Row],[UDC]],TableSTRPSCSCI[],7,FALSE),"")</f>
        <v/>
      </c>
      <c r="Z63" s="232" t="str">
        <f>IFERROR(VLOOKUP(TableHandbook[[#This Row],[UDC]],TableSTRPSCFON[],7,FALSE),"")</f>
        <v/>
      </c>
      <c r="AA63" s="233" t="str">
        <f>IFERROR(VLOOKUP(TableHandbook[[#This Row],[UDC]],TableGCTESOL[],7,FALSE),"")</f>
        <v/>
      </c>
      <c r="AB63" s="232" t="str">
        <f>IFERROR(VLOOKUP(TableHandbook[[#This Row],[UDC]],TableMCTESOL[],7,FALSE),"")</f>
        <v/>
      </c>
      <c r="AC63" s="232" t="str">
        <f>IFERROR(VLOOKUP(TableHandbook[[#This Row],[UDC]],TableMCAPLING[],7,FALSE),"")</f>
        <v/>
      </c>
      <c r="AD63" s="233" t="str">
        <f>IFERROR(VLOOKUP(TableHandbook[[#This Row],[UDC]],TableGCEDHE[],7,FALSE),"")</f>
        <v/>
      </c>
      <c r="AE63" s="232" t="str">
        <f>IFERROR(VLOOKUP(TableHandbook[[#This Row],[UDC]],TableGCEDUC[],7,FALSE),"")</f>
        <v/>
      </c>
      <c r="AF63" s="232" t="str">
        <f>IFERROR(VLOOKUP(TableHandbook[[#This Row],[UDC]],TableGDEDUC[],7,FALSE),"")</f>
        <v/>
      </c>
      <c r="AG63" s="232" t="str">
        <f>IFERROR(VLOOKUP(TableHandbook[[#This Row],[UDC]],TableMJRPEDUPR[],7,FALSE),"")</f>
        <v/>
      </c>
      <c r="AH63" s="232" t="str">
        <f>IFERROR(VLOOKUP(TableHandbook[[#This Row],[UDC]],TableMJRPEDUSC[],7,FALSE),"")</f>
        <v/>
      </c>
      <c r="AI63" s="233" t="str">
        <f>IFERROR(VLOOKUP(TableHandbook[[#This Row],[UDC]],TableMCEDUC[],7,FALSE),"")</f>
        <v>Core</v>
      </c>
      <c r="AJ63" s="232" t="str">
        <f>IFERROR(VLOOKUP(TableHandbook[[#This Row],[UDC]],TableSPPECULIN[],7,FALSE),"")</f>
        <v/>
      </c>
      <c r="AK63" s="232" t="str">
        <f>IFERROR(VLOOKUP(TableHandbook[[#This Row],[UDC]],TableSPPELNTCH[],7,FALSE),"")</f>
        <v/>
      </c>
      <c r="AL63" s="232" t="str">
        <f>IFERROR(VLOOKUP(TableHandbook[[#This Row],[UDC]],TableSPPESTEME[],7,FALSE),"")</f>
        <v/>
      </c>
    </row>
    <row r="64" spans="1:38" x14ac:dyDescent="0.25">
      <c r="A64" s="2" t="s">
        <v>212</v>
      </c>
      <c r="B64" s="3">
        <v>1</v>
      </c>
      <c r="C64" s="3"/>
      <c r="D64" s="2" t="s">
        <v>399</v>
      </c>
      <c r="E64" s="3">
        <v>25</v>
      </c>
      <c r="F64" s="54" t="s">
        <v>336</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31"/>
      <c r="P64" s="233" t="str">
        <f>IFERROR(VLOOKUP(TableHandbook[[#This Row],[UDC]],TableMCTEACH[],7,FALSE),"")</f>
        <v/>
      </c>
      <c r="Q64" s="232" t="str">
        <f>IFERROR(VLOOKUP(TableHandbook[[#This Row],[UDC]],TableMJRPTCHEC[],7,FALSE),"")</f>
        <v/>
      </c>
      <c r="R64" s="232" t="str">
        <f>IFERROR(VLOOKUP(TableHandbook[[#This Row],[UDC]],TableMJRPTCHPR[],7,FALSE),"")</f>
        <v/>
      </c>
      <c r="S64" s="232" t="str">
        <f>IFERROR(VLOOKUP(TableHandbook[[#This Row],[UDC]],TableMJRPTCHSC[],7,FALSE),"")</f>
        <v/>
      </c>
      <c r="T64" s="232" t="str">
        <f>IFERROR(VLOOKUP(TableHandbook[[#This Row],[UDC]],TableSTRPSCART[],7,FALSE),"")</f>
        <v/>
      </c>
      <c r="U64" s="232" t="str">
        <f>IFERROR(VLOOKUP(TableHandbook[[#This Row],[UDC]],TableSTRPSCENG[],7,FALSE),"")</f>
        <v/>
      </c>
      <c r="V64" s="232" t="str">
        <f>IFERROR(VLOOKUP(TableHandbook[[#This Row],[UDC]],TableSTRPSCHLP[],7,FALSE),"")</f>
        <v/>
      </c>
      <c r="W64" s="232" t="str">
        <f>IFERROR(VLOOKUP(TableHandbook[[#This Row],[UDC]],TableSTRPSCHUS[],7,FALSE),"")</f>
        <v/>
      </c>
      <c r="X64" s="232" t="str">
        <f>IFERROR(VLOOKUP(TableHandbook[[#This Row],[UDC]],TableSTRPSCMAT[],7,FALSE),"")</f>
        <v/>
      </c>
      <c r="Y64" s="232" t="str">
        <f>IFERROR(VLOOKUP(TableHandbook[[#This Row],[UDC]],TableSTRPSCSCI[],7,FALSE),"")</f>
        <v/>
      </c>
      <c r="Z64" s="232" t="str">
        <f>IFERROR(VLOOKUP(TableHandbook[[#This Row],[UDC]],TableSTRPSCFON[],7,FALSE),"")</f>
        <v/>
      </c>
      <c r="AA64" s="233" t="str">
        <f>IFERROR(VLOOKUP(TableHandbook[[#This Row],[UDC]],TableGCTESOL[],7,FALSE),"")</f>
        <v/>
      </c>
      <c r="AB64" s="232" t="str">
        <f>IFERROR(VLOOKUP(TableHandbook[[#This Row],[UDC]],TableMCTESOL[],7,FALSE),"")</f>
        <v/>
      </c>
      <c r="AC64" s="232" t="str">
        <f>IFERROR(VLOOKUP(TableHandbook[[#This Row],[UDC]],TableMCAPLING[],7,FALSE),"")</f>
        <v/>
      </c>
      <c r="AD64" s="233" t="str">
        <f>IFERROR(VLOOKUP(TableHandbook[[#This Row],[UDC]],TableGCEDHE[],7,FALSE),"")</f>
        <v/>
      </c>
      <c r="AE64" s="232" t="str">
        <f>IFERROR(VLOOKUP(TableHandbook[[#This Row],[UDC]],TableGCEDUC[],7,FALSE),"")</f>
        <v/>
      </c>
      <c r="AF64" s="232" t="str">
        <f>IFERROR(VLOOKUP(TableHandbook[[#This Row],[UDC]],TableGDEDUC[],7,FALSE),"")</f>
        <v/>
      </c>
      <c r="AG64" s="232" t="str">
        <f>IFERROR(VLOOKUP(TableHandbook[[#This Row],[UDC]],TableMJRPEDUPR[],7,FALSE),"")</f>
        <v/>
      </c>
      <c r="AH64" s="232" t="str">
        <f>IFERROR(VLOOKUP(TableHandbook[[#This Row],[UDC]],TableMJRPEDUSC[],7,FALSE),"")</f>
        <v/>
      </c>
      <c r="AI64" s="233" t="str">
        <f>IFERROR(VLOOKUP(TableHandbook[[#This Row],[UDC]],TableMCEDUC[],7,FALSE),"")</f>
        <v>Option</v>
      </c>
      <c r="AJ64" s="232" t="str">
        <f>IFERROR(VLOOKUP(TableHandbook[[#This Row],[UDC]],TableSPPECULIN[],7,FALSE),"")</f>
        <v/>
      </c>
      <c r="AK64" s="232" t="str">
        <f>IFERROR(VLOOKUP(TableHandbook[[#This Row],[UDC]],TableSPPELNTCH[],7,FALSE),"")</f>
        <v/>
      </c>
      <c r="AL64" s="232" t="str">
        <f>IFERROR(VLOOKUP(TableHandbook[[#This Row],[UDC]],TableSPPESTEME[],7,FALSE),"")</f>
        <v>Core</v>
      </c>
    </row>
    <row r="65" spans="1:38" x14ac:dyDescent="0.25">
      <c r="A65" s="2" t="s">
        <v>216</v>
      </c>
      <c r="B65" s="3">
        <v>1</v>
      </c>
      <c r="C65" s="3"/>
      <c r="D65" s="2" t="s">
        <v>400</v>
      </c>
      <c r="E65" s="3">
        <v>25</v>
      </c>
      <c r="F65" s="54" t="s">
        <v>336</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31"/>
      <c r="P65" s="233" t="str">
        <f>IFERROR(VLOOKUP(TableHandbook[[#This Row],[UDC]],TableMCTEACH[],7,FALSE),"")</f>
        <v/>
      </c>
      <c r="Q65" s="232" t="str">
        <f>IFERROR(VLOOKUP(TableHandbook[[#This Row],[UDC]],TableMJRPTCHEC[],7,FALSE),"")</f>
        <v/>
      </c>
      <c r="R65" s="232" t="str">
        <f>IFERROR(VLOOKUP(TableHandbook[[#This Row],[UDC]],TableMJRPTCHPR[],7,FALSE),"")</f>
        <v/>
      </c>
      <c r="S65" s="232" t="str">
        <f>IFERROR(VLOOKUP(TableHandbook[[#This Row],[UDC]],TableMJRPTCHSC[],7,FALSE),"")</f>
        <v/>
      </c>
      <c r="T65" s="232" t="str">
        <f>IFERROR(VLOOKUP(TableHandbook[[#This Row],[UDC]],TableSTRPSCART[],7,FALSE),"")</f>
        <v/>
      </c>
      <c r="U65" s="232" t="str">
        <f>IFERROR(VLOOKUP(TableHandbook[[#This Row],[UDC]],TableSTRPSCENG[],7,FALSE),"")</f>
        <v/>
      </c>
      <c r="V65" s="232" t="str">
        <f>IFERROR(VLOOKUP(TableHandbook[[#This Row],[UDC]],TableSTRPSCHLP[],7,FALSE),"")</f>
        <v/>
      </c>
      <c r="W65" s="232" t="str">
        <f>IFERROR(VLOOKUP(TableHandbook[[#This Row],[UDC]],TableSTRPSCHUS[],7,FALSE),"")</f>
        <v/>
      </c>
      <c r="X65" s="232" t="str">
        <f>IFERROR(VLOOKUP(TableHandbook[[#This Row],[UDC]],TableSTRPSCMAT[],7,FALSE),"")</f>
        <v/>
      </c>
      <c r="Y65" s="232" t="str">
        <f>IFERROR(VLOOKUP(TableHandbook[[#This Row],[UDC]],TableSTRPSCSCI[],7,FALSE),"")</f>
        <v/>
      </c>
      <c r="Z65" s="232" t="str">
        <f>IFERROR(VLOOKUP(TableHandbook[[#This Row],[UDC]],TableSTRPSCFON[],7,FALSE),"")</f>
        <v/>
      </c>
      <c r="AA65" s="233" t="str">
        <f>IFERROR(VLOOKUP(TableHandbook[[#This Row],[UDC]],TableGCTESOL[],7,FALSE),"")</f>
        <v/>
      </c>
      <c r="AB65" s="232" t="str">
        <f>IFERROR(VLOOKUP(TableHandbook[[#This Row],[UDC]],TableMCTESOL[],7,FALSE),"")</f>
        <v/>
      </c>
      <c r="AC65" s="232" t="str">
        <f>IFERROR(VLOOKUP(TableHandbook[[#This Row],[UDC]],TableMCAPLING[],7,FALSE),"")</f>
        <v/>
      </c>
      <c r="AD65" s="233" t="str">
        <f>IFERROR(VLOOKUP(TableHandbook[[#This Row],[UDC]],TableGCEDHE[],7,FALSE),"")</f>
        <v/>
      </c>
      <c r="AE65" s="232" t="str">
        <f>IFERROR(VLOOKUP(TableHandbook[[#This Row],[UDC]],TableGCEDUC[],7,FALSE),"")</f>
        <v/>
      </c>
      <c r="AF65" s="232" t="str">
        <f>IFERROR(VLOOKUP(TableHandbook[[#This Row],[UDC]],TableGDEDUC[],7,FALSE),"")</f>
        <v/>
      </c>
      <c r="AG65" s="232" t="str">
        <f>IFERROR(VLOOKUP(TableHandbook[[#This Row],[UDC]],TableMJRPEDUPR[],7,FALSE),"")</f>
        <v/>
      </c>
      <c r="AH65" s="232" t="str">
        <f>IFERROR(VLOOKUP(TableHandbook[[#This Row],[UDC]],TableMJRPEDUSC[],7,FALSE),"")</f>
        <v/>
      </c>
      <c r="AI65" s="233" t="str">
        <f>IFERROR(VLOOKUP(TableHandbook[[#This Row],[UDC]],TableMCEDUC[],7,FALSE),"")</f>
        <v>Option</v>
      </c>
      <c r="AJ65" s="232" t="str">
        <f>IFERROR(VLOOKUP(TableHandbook[[#This Row],[UDC]],TableSPPECULIN[],7,FALSE),"")</f>
        <v/>
      </c>
      <c r="AK65" s="232" t="str">
        <f>IFERROR(VLOOKUP(TableHandbook[[#This Row],[UDC]],TableSPPELNTCH[],7,FALSE),"")</f>
        <v>Core</v>
      </c>
      <c r="AL65" s="232" t="str">
        <f>IFERROR(VLOOKUP(TableHandbook[[#This Row],[UDC]],TableSPPESTEME[],7,FALSE),"")</f>
        <v>Core</v>
      </c>
    </row>
    <row r="66" spans="1:38" x14ac:dyDescent="0.25">
      <c r="A66" s="2" t="s">
        <v>215</v>
      </c>
      <c r="B66" s="3">
        <v>1</v>
      </c>
      <c r="C66" s="3"/>
      <c r="D66" s="2" t="s">
        <v>401</v>
      </c>
      <c r="E66" s="3">
        <v>25</v>
      </c>
      <c r="F66" s="54" t="s">
        <v>336</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31"/>
      <c r="P66" s="233" t="str">
        <f>IFERROR(VLOOKUP(TableHandbook[[#This Row],[UDC]],TableMCTEACH[],7,FALSE),"")</f>
        <v/>
      </c>
      <c r="Q66" s="232" t="str">
        <f>IFERROR(VLOOKUP(TableHandbook[[#This Row],[UDC]],TableMJRPTCHEC[],7,FALSE),"")</f>
        <v/>
      </c>
      <c r="R66" s="232" t="str">
        <f>IFERROR(VLOOKUP(TableHandbook[[#This Row],[UDC]],TableMJRPTCHPR[],7,FALSE),"")</f>
        <v/>
      </c>
      <c r="S66" s="232" t="str">
        <f>IFERROR(VLOOKUP(TableHandbook[[#This Row],[UDC]],TableMJRPTCHSC[],7,FALSE),"")</f>
        <v/>
      </c>
      <c r="T66" s="232" t="str">
        <f>IFERROR(VLOOKUP(TableHandbook[[#This Row],[UDC]],TableSTRPSCART[],7,FALSE),"")</f>
        <v/>
      </c>
      <c r="U66" s="232" t="str">
        <f>IFERROR(VLOOKUP(TableHandbook[[#This Row],[UDC]],TableSTRPSCENG[],7,FALSE),"")</f>
        <v/>
      </c>
      <c r="V66" s="232" t="str">
        <f>IFERROR(VLOOKUP(TableHandbook[[#This Row],[UDC]],TableSTRPSCHLP[],7,FALSE),"")</f>
        <v/>
      </c>
      <c r="W66" s="232" t="str">
        <f>IFERROR(VLOOKUP(TableHandbook[[#This Row],[UDC]],TableSTRPSCHUS[],7,FALSE),"")</f>
        <v/>
      </c>
      <c r="X66" s="232" t="str">
        <f>IFERROR(VLOOKUP(TableHandbook[[#This Row],[UDC]],TableSTRPSCMAT[],7,FALSE),"")</f>
        <v/>
      </c>
      <c r="Y66" s="232" t="str">
        <f>IFERROR(VLOOKUP(TableHandbook[[#This Row],[UDC]],TableSTRPSCSCI[],7,FALSE),"")</f>
        <v/>
      </c>
      <c r="Z66" s="232" t="str">
        <f>IFERROR(VLOOKUP(TableHandbook[[#This Row],[UDC]],TableSTRPSCFON[],7,FALSE),"")</f>
        <v/>
      </c>
      <c r="AA66" s="233" t="str">
        <f>IFERROR(VLOOKUP(TableHandbook[[#This Row],[UDC]],TableGCTESOL[],7,FALSE),"")</f>
        <v/>
      </c>
      <c r="AB66" s="232" t="str">
        <f>IFERROR(VLOOKUP(TableHandbook[[#This Row],[UDC]],TableMCTESOL[],7,FALSE),"")</f>
        <v/>
      </c>
      <c r="AC66" s="232" t="str">
        <f>IFERROR(VLOOKUP(TableHandbook[[#This Row],[UDC]],TableMCAPLING[],7,FALSE),"")</f>
        <v/>
      </c>
      <c r="AD66" s="233" t="str">
        <f>IFERROR(VLOOKUP(TableHandbook[[#This Row],[UDC]],TableGCEDHE[],7,FALSE),"")</f>
        <v/>
      </c>
      <c r="AE66" s="232" t="str">
        <f>IFERROR(VLOOKUP(TableHandbook[[#This Row],[UDC]],TableGCEDUC[],7,FALSE),"")</f>
        <v/>
      </c>
      <c r="AF66" s="232" t="str">
        <f>IFERROR(VLOOKUP(TableHandbook[[#This Row],[UDC]],TableGDEDUC[],7,FALSE),"")</f>
        <v/>
      </c>
      <c r="AG66" s="232" t="str">
        <f>IFERROR(VLOOKUP(TableHandbook[[#This Row],[UDC]],TableMJRPEDUPR[],7,FALSE),"")</f>
        <v/>
      </c>
      <c r="AH66" s="232" t="str">
        <f>IFERROR(VLOOKUP(TableHandbook[[#This Row],[UDC]],TableMJRPEDUSC[],7,FALSE),"")</f>
        <v/>
      </c>
      <c r="AI66" s="233" t="str">
        <f>IFERROR(VLOOKUP(TableHandbook[[#This Row],[UDC]],TableMCEDUC[],7,FALSE),"")</f>
        <v>Option</v>
      </c>
      <c r="AJ66" s="232" t="str">
        <f>IFERROR(VLOOKUP(TableHandbook[[#This Row],[UDC]],TableSPPECULIN[],7,FALSE),"")</f>
        <v>Core</v>
      </c>
      <c r="AK66" s="232" t="str">
        <f>IFERROR(VLOOKUP(TableHandbook[[#This Row],[UDC]],TableSPPELNTCH[],7,FALSE),"")</f>
        <v>Core</v>
      </c>
      <c r="AL66" s="232" t="str">
        <f>IFERROR(VLOOKUP(TableHandbook[[#This Row],[UDC]],TableSPPESTEME[],7,FALSE),"")</f>
        <v>Core</v>
      </c>
    </row>
    <row r="67" spans="1:38" x14ac:dyDescent="0.25">
      <c r="A67" s="2" t="s">
        <v>209</v>
      </c>
      <c r="B67" s="3">
        <v>1</v>
      </c>
      <c r="C67" s="3"/>
      <c r="D67" s="2" t="s">
        <v>402</v>
      </c>
      <c r="E67" s="3">
        <v>25</v>
      </c>
      <c r="F67" s="54" t="s">
        <v>336</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31"/>
      <c r="P67" s="233" t="str">
        <f>IFERROR(VLOOKUP(TableHandbook[[#This Row],[UDC]],TableMCTEACH[],7,FALSE),"")</f>
        <v/>
      </c>
      <c r="Q67" s="232" t="str">
        <f>IFERROR(VLOOKUP(TableHandbook[[#This Row],[UDC]],TableMJRPTCHEC[],7,FALSE),"")</f>
        <v/>
      </c>
      <c r="R67" s="232" t="str">
        <f>IFERROR(VLOOKUP(TableHandbook[[#This Row],[UDC]],TableMJRPTCHPR[],7,FALSE),"")</f>
        <v/>
      </c>
      <c r="S67" s="232" t="str">
        <f>IFERROR(VLOOKUP(TableHandbook[[#This Row],[UDC]],TableMJRPTCHSC[],7,FALSE),"")</f>
        <v/>
      </c>
      <c r="T67" s="232" t="str">
        <f>IFERROR(VLOOKUP(TableHandbook[[#This Row],[UDC]],TableSTRPSCART[],7,FALSE),"")</f>
        <v/>
      </c>
      <c r="U67" s="232" t="str">
        <f>IFERROR(VLOOKUP(TableHandbook[[#This Row],[UDC]],TableSTRPSCENG[],7,FALSE),"")</f>
        <v/>
      </c>
      <c r="V67" s="232" t="str">
        <f>IFERROR(VLOOKUP(TableHandbook[[#This Row],[UDC]],TableSTRPSCHLP[],7,FALSE),"")</f>
        <v/>
      </c>
      <c r="W67" s="232" t="str">
        <f>IFERROR(VLOOKUP(TableHandbook[[#This Row],[UDC]],TableSTRPSCHUS[],7,FALSE),"")</f>
        <v/>
      </c>
      <c r="X67" s="232" t="str">
        <f>IFERROR(VLOOKUP(TableHandbook[[#This Row],[UDC]],TableSTRPSCMAT[],7,FALSE),"")</f>
        <v/>
      </c>
      <c r="Y67" s="232" t="str">
        <f>IFERROR(VLOOKUP(TableHandbook[[#This Row],[UDC]],TableSTRPSCSCI[],7,FALSE),"")</f>
        <v/>
      </c>
      <c r="Z67" s="232" t="str">
        <f>IFERROR(VLOOKUP(TableHandbook[[#This Row],[UDC]],TableSTRPSCFON[],7,FALSE),"")</f>
        <v/>
      </c>
      <c r="AA67" s="233" t="str">
        <f>IFERROR(VLOOKUP(TableHandbook[[#This Row],[UDC]],TableGCTESOL[],7,FALSE),"")</f>
        <v/>
      </c>
      <c r="AB67" s="232" t="str">
        <f>IFERROR(VLOOKUP(TableHandbook[[#This Row],[UDC]],TableMCTESOL[],7,FALSE),"")</f>
        <v/>
      </c>
      <c r="AC67" s="232" t="str">
        <f>IFERROR(VLOOKUP(TableHandbook[[#This Row],[UDC]],TableMCAPLING[],7,FALSE),"")</f>
        <v/>
      </c>
      <c r="AD67" s="233" t="str">
        <f>IFERROR(VLOOKUP(TableHandbook[[#This Row],[UDC]],TableGCEDHE[],7,FALSE),"")</f>
        <v/>
      </c>
      <c r="AE67" s="232" t="str">
        <f>IFERROR(VLOOKUP(TableHandbook[[#This Row],[UDC]],TableGCEDUC[],7,FALSE),"")</f>
        <v/>
      </c>
      <c r="AF67" s="232" t="str">
        <f>IFERROR(VLOOKUP(TableHandbook[[#This Row],[UDC]],TableGDEDUC[],7,FALSE),"")</f>
        <v/>
      </c>
      <c r="AG67" s="232" t="str">
        <f>IFERROR(VLOOKUP(TableHandbook[[#This Row],[UDC]],TableMJRPEDUPR[],7,FALSE),"")</f>
        <v/>
      </c>
      <c r="AH67" s="232" t="str">
        <f>IFERROR(VLOOKUP(TableHandbook[[#This Row],[UDC]],TableMJRPEDUSC[],7,FALSE),"")</f>
        <v/>
      </c>
      <c r="AI67" s="233" t="str">
        <f>IFERROR(VLOOKUP(TableHandbook[[#This Row],[UDC]],TableMCEDUC[],7,FALSE),"")</f>
        <v>Option</v>
      </c>
      <c r="AJ67" s="232" t="str">
        <f>IFERROR(VLOOKUP(TableHandbook[[#This Row],[UDC]],TableSPPECULIN[],7,FALSE),"")</f>
        <v/>
      </c>
      <c r="AK67" s="232" t="str">
        <f>IFERROR(VLOOKUP(TableHandbook[[#This Row],[UDC]],TableSPPELNTCH[],7,FALSE),"")</f>
        <v>Core</v>
      </c>
      <c r="AL67" s="232" t="str">
        <f>IFERROR(VLOOKUP(TableHandbook[[#This Row],[UDC]],TableSPPESTEME[],7,FALSE),"")</f>
        <v/>
      </c>
    </row>
    <row r="68" spans="1:38" x14ac:dyDescent="0.25">
      <c r="A68" s="2" t="s">
        <v>208</v>
      </c>
      <c r="B68" s="3">
        <v>1</v>
      </c>
      <c r="C68" s="3"/>
      <c r="D68" s="2" t="s">
        <v>403</v>
      </c>
      <c r="E68" s="3">
        <v>25</v>
      </c>
      <c r="F68" s="54" t="s">
        <v>336</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31"/>
      <c r="P68" s="233" t="str">
        <f>IFERROR(VLOOKUP(TableHandbook[[#This Row],[UDC]],TableMCTEACH[],7,FALSE),"")</f>
        <v/>
      </c>
      <c r="Q68" s="232" t="str">
        <f>IFERROR(VLOOKUP(TableHandbook[[#This Row],[UDC]],TableMJRPTCHEC[],7,FALSE),"")</f>
        <v/>
      </c>
      <c r="R68" s="232" t="str">
        <f>IFERROR(VLOOKUP(TableHandbook[[#This Row],[UDC]],TableMJRPTCHPR[],7,FALSE),"")</f>
        <v/>
      </c>
      <c r="S68" s="232" t="str">
        <f>IFERROR(VLOOKUP(TableHandbook[[#This Row],[UDC]],TableMJRPTCHSC[],7,FALSE),"")</f>
        <v/>
      </c>
      <c r="T68" s="232" t="str">
        <f>IFERROR(VLOOKUP(TableHandbook[[#This Row],[UDC]],TableSTRPSCART[],7,FALSE),"")</f>
        <v/>
      </c>
      <c r="U68" s="232" t="str">
        <f>IFERROR(VLOOKUP(TableHandbook[[#This Row],[UDC]],TableSTRPSCENG[],7,FALSE),"")</f>
        <v/>
      </c>
      <c r="V68" s="232" t="str">
        <f>IFERROR(VLOOKUP(TableHandbook[[#This Row],[UDC]],TableSTRPSCHLP[],7,FALSE),"")</f>
        <v/>
      </c>
      <c r="W68" s="232" t="str">
        <f>IFERROR(VLOOKUP(TableHandbook[[#This Row],[UDC]],TableSTRPSCHUS[],7,FALSE),"")</f>
        <v/>
      </c>
      <c r="X68" s="232" t="str">
        <f>IFERROR(VLOOKUP(TableHandbook[[#This Row],[UDC]],TableSTRPSCMAT[],7,FALSE),"")</f>
        <v/>
      </c>
      <c r="Y68" s="232" t="str">
        <f>IFERROR(VLOOKUP(TableHandbook[[#This Row],[UDC]],TableSTRPSCSCI[],7,FALSE),"")</f>
        <v/>
      </c>
      <c r="Z68" s="232" t="str">
        <f>IFERROR(VLOOKUP(TableHandbook[[#This Row],[UDC]],TableSTRPSCFON[],7,FALSE),"")</f>
        <v/>
      </c>
      <c r="AA68" s="233" t="str">
        <f>IFERROR(VLOOKUP(TableHandbook[[#This Row],[UDC]],TableGCTESOL[],7,FALSE),"")</f>
        <v/>
      </c>
      <c r="AB68" s="232" t="str">
        <f>IFERROR(VLOOKUP(TableHandbook[[#This Row],[UDC]],TableMCTESOL[],7,FALSE),"")</f>
        <v/>
      </c>
      <c r="AC68" s="232" t="str">
        <f>IFERROR(VLOOKUP(TableHandbook[[#This Row],[UDC]],TableMCAPLING[],7,FALSE),"")</f>
        <v/>
      </c>
      <c r="AD68" s="233" t="str">
        <f>IFERROR(VLOOKUP(TableHandbook[[#This Row],[UDC]],TableGCEDHE[],7,FALSE),"")</f>
        <v/>
      </c>
      <c r="AE68" s="232" t="str">
        <f>IFERROR(VLOOKUP(TableHandbook[[#This Row],[UDC]],TableGCEDUC[],7,FALSE),"")</f>
        <v/>
      </c>
      <c r="AF68" s="232" t="str">
        <f>IFERROR(VLOOKUP(TableHandbook[[#This Row],[UDC]],TableGDEDUC[],7,FALSE),"")</f>
        <v/>
      </c>
      <c r="AG68" s="232" t="str">
        <f>IFERROR(VLOOKUP(TableHandbook[[#This Row],[UDC]],TableMJRPEDUPR[],7,FALSE),"")</f>
        <v/>
      </c>
      <c r="AH68" s="232" t="str">
        <f>IFERROR(VLOOKUP(TableHandbook[[#This Row],[UDC]],TableMJRPEDUSC[],7,FALSE),"")</f>
        <v/>
      </c>
      <c r="AI68" s="233" t="str">
        <f>IFERROR(VLOOKUP(TableHandbook[[#This Row],[UDC]],TableMCEDUC[],7,FALSE),"")</f>
        <v>Option</v>
      </c>
      <c r="AJ68" s="232" t="str">
        <f>IFERROR(VLOOKUP(TableHandbook[[#This Row],[UDC]],TableSPPECULIN[],7,FALSE),"")</f>
        <v>Core</v>
      </c>
      <c r="AK68" s="232" t="str">
        <f>IFERROR(VLOOKUP(TableHandbook[[#This Row],[UDC]],TableSPPELNTCH[],7,FALSE),"")</f>
        <v/>
      </c>
      <c r="AL68" s="232" t="str">
        <f>IFERROR(VLOOKUP(TableHandbook[[#This Row],[UDC]],TableSPPESTEME[],7,FALSE),"")</f>
        <v/>
      </c>
    </row>
    <row r="69" spans="1:38" x14ac:dyDescent="0.25">
      <c r="A69" s="2" t="s">
        <v>210</v>
      </c>
      <c r="B69" s="3">
        <v>1</v>
      </c>
      <c r="C69" s="3"/>
      <c r="D69" s="2" t="s">
        <v>404</v>
      </c>
      <c r="E69" s="3">
        <v>25</v>
      </c>
      <c r="F69" s="54" t="s">
        <v>336</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31"/>
      <c r="P69" s="233" t="str">
        <f>IFERROR(VLOOKUP(TableHandbook[[#This Row],[UDC]],TableMCTEACH[],7,FALSE),"")</f>
        <v/>
      </c>
      <c r="Q69" s="232" t="str">
        <f>IFERROR(VLOOKUP(TableHandbook[[#This Row],[UDC]],TableMJRPTCHEC[],7,FALSE),"")</f>
        <v/>
      </c>
      <c r="R69" s="232" t="str">
        <f>IFERROR(VLOOKUP(TableHandbook[[#This Row],[UDC]],TableMJRPTCHPR[],7,FALSE),"")</f>
        <v/>
      </c>
      <c r="S69" s="232" t="str">
        <f>IFERROR(VLOOKUP(TableHandbook[[#This Row],[UDC]],TableMJRPTCHSC[],7,FALSE),"")</f>
        <v/>
      </c>
      <c r="T69" s="232" t="str">
        <f>IFERROR(VLOOKUP(TableHandbook[[#This Row],[UDC]],TableSTRPSCART[],7,FALSE),"")</f>
        <v/>
      </c>
      <c r="U69" s="232" t="str">
        <f>IFERROR(VLOOKUP(TableHandbook[[#This Row],[UDC]],TableSTRPSCENG[],7,FALSE),"")</f>
        <v/>
      </c>
      <c r="V69" s="232" t="str">
        <f>IFERROR(VLOOKUP(TableHandbook[[#This Row],[UDC]],TableSTRPSCHLP[],7,FALSE),"")</f>
        <v/>
      </c>
      <c r="W69" s="232" t="str">
        <f>IFERROR(VLOOKUP(TableHandbook[[#This Row],[UDC]],TableSTRPSCHUS[],7,FALSE),"")</f>
        <v/>
      </c>
      <c r="X69" s="232" t="str">
        <f>IFERROR(VLOOKUP(TableHandbook[[#This Row],[UDC]],TableSTRPSCMAT[],7,FALSE),"")</f>
        <v/>
      </c>
      <c r="Y69" s="232" t="str">
        <f>IFERROR(VLOOKUP(TableHandbook[[#This Row],[UDC]],TableSTRPSCSCI[],7,FALSE),"")</f>
        <v/>
      </c>
      <c r="Z69" s="232" t="str">
        <f>IFERROR(VLOOKUP(TableHandbook[[#This Row],[UDC]],TableSTRPSCFON[],7,FALSE),"")</f>
        <v/>
      </c>
      <c r="AA69" s="233" t="str">
        <f>IFERROR(VLOOKUP(TableHandbook[[#This Row],[UDC]],TableGCTESOL[],7,FALSE),"")</f>
        <v/>
      </c>
      <c r="AB69" s="232" t="str">
        <f>IFERROR(VLOOKUP(TableHandbook[[#This Row],[UDC]],TableMCTESOL[],7,FALSE),"")</f>
        <v/>
      </c>
      <c r="AC69" s="232" t="str">
        <f>IFERROR(VLOOKUP(TableHandbook[[#This Row],[UDC]],TableMCAPLING[],7,FALSE),"")</f>
        <v/>
      </c>
      <c r="AD69" s="233" t="str">
        <f>IFERROR(VLOOKUP(TableHandbook[[#This Row],[UDC]],TableGCEDHE[],7,FALSE),"")</f>
        <v/>
      </c>
      <c r="AE69" s="232" t="str">
        <f>IFERROR(VLOOKUP(TableHandbook[[#This Row],[UDC]],TableGCEDUC[],7,FALSE),"")</f>
        <v/>
      </c>
      <c r="AF69" s="232" t="str">
        <f>IFERROR(VLOOKUP(TableHandbook[[#This Row],[UDC]],TableGDEDUC[],7,FALSE),"")</f>
        <v/>
      </c>
      <c r="AG69" s="232" t="str">
        <f>IFERROR(VLOOKUP(TableHandbook[[#This Row],[UDC]],TableMJRPEDUPR[],7,FALSE),"")</f>
        <v/>
      </c>
      <c r="AH69" s="232" t="str">
        <f>IFERROR(VLOOKUP(TableHandbook[[#This Row],[UDC]],TableMJRPEDUSC[],7,FALSE),"")</f>
        <v/>
      </c>
      <c r="AI69" s="233" t="str">
        <f>IFERROR(VLOOKUP(TableHandbook[[#This Row],[UDC]],TableMCEDUC[],7,FALSE),"")</f>
        <v>Option</v>
      </c>
      <c r="AJ69" s="232" t="str">
        <f>IFERROR(VLOOKUP(TableHandbook[[#This Row],[UDC]],TableSPPECULIN[],7,FALSE),"")</f>
        <v/>
      </c>
      <c r="AK69" s="232" t="str">
        <f>IFERROR(VLOOKUP(TableHandbook[[#This Row],[UDC]],TableSPPELNTCH[],7,FALSE),"")</f>
        <v>Core</v>
      </c>
      <c r="AL69" s="232" t="str">
        <f>IFERROR(VLOOKUP(TableHandbook[[#This Row],[UDC]],TableSPPESTEME[],7,FALSE),"")</f>
        <v/>
      </c>
    </row>
    <row r="70" spans="1:38" x14ac:dyDescent="0.25">
      <c r="A70" s="2" t="s">
        <v>211</v>
      </c>
      <c r="B70" s="3">
        <v>1</v>
      </c>
      <c r="C70" s="3"/>
      <c r="D70" s="2" t="s">
        <v>405</v>
      </c>
      <c r="E70" s="3">
        <v>25</v>
      </c>
      <c r="F70" s="54" t="s">
        <v>336</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31"/>
      <c r="P70" s="233" t="str">
        <f>IFERROR(VLOOKUP(TableHandbook[[#This Row],[UDC]],TableMCTEACH[],7,FALSE),"")</f>
        <v/>
      </c>
      <c r="Q70" s="232" t="str">
        <f>IFERROR(VLOOKUP(TableHandbook[[#This Row],[UDC]],TableMJRPTCHEC[],7,FALSE),"")</f>
        <v/>
      </c>
      <c r="R70" s="232" t="str">
        <f>IFERROR(VLOOKUP(TableHandbook[[#This Row],[UDC]],TableMJRPTCHPR[],7,FALSE),"")</f>
        <v/>
      </c>
      <c r="S70" s="232" t="str">
        <f>IFERROR(VLOOKUP(TableHandbook[[#This Row],[UDC]],TableMJRPTCHSC[],7,FALSE),"")</f>
        <v/>
      </c>
      <c r="T70" s="232" t="str">
        <f>IFERROR(VLOOKUP(TableHandbook[[#This Row],[UDC]],TableSTRPSCART[],7,FALSE),"")</f>
        <v/>
      </c>
      <c r="U70" s="232" t="str">
        <f>IFERROR(VLOOKUP(TableHandbook[[#This Row],[UDC]],TableSTRPSCENG[],7,FALSE),"")</f>
        <v/>
      </c>
      <c r="V70" s="232" t="str">
        <f>IFERROR(VLOOKUP(TableHandbook[[#This Row],[UDC]],TableSTRPSCHLP[],7,FALSE),"")</f>
        <v/>
      </c>
      <c r="W70" s="232" t="str">
        <f>IFERROR(VLOOKUP(TableHandbook[[#This Row],[UDC]],TableSTRPSCHUS[],7,FALSE),"")</f>
        <v/>
      </c>
      <c r="X70" s="232" t="str">
        <f>IFERROR(VLOOKUP(TableHandbook[[#This Row],[UDC]],TableSTRPSCMAT[],7,FALSE),"")</f>
        <v/>
      </c>
      <c r="Y70" s="232" t="str">
        <f>IFERROR(VLOOKUP(TableHandbook[[#This Row],[UDC]],TableSTRPSCSCI[],7,FALSE),"")</f>
        <v/>
      </c>
      <c r="Z70" s="232" t="str">
        <f>IFERROR(VLOOKUP(TableHandbook[[#This Row],[UDC]],TableSTRPSCFON[],7,FALSE),"")</f>
        <v/>
      </c>
      <c r="AA70" s="233" t="str">
        <f>IFERROR(VLOOKUP(TableHandbook[[#This Row],[UDC]],TableGCTESOL[],7,FALSE),"")</f>
        <v/>
      </c>
      <c r="AB70" s="232" t="str">
        <f>IFERROR(VLOOKUP(TableHandbook[[#This Row],[UDC]],TableMCTESOL[],7,FALSE),"")</f>
        <v/>
      </c>
      <c r="AC70" s="232" t="str">
        <f>IFERROR(VLOOKUP(TableHandbook[[#This Row],[UDC]],TableMCAPLING[],7,FALSE),"")</f>
        <v/>
      </c>
      <c r="AD70" s="233" t="str">
        <f>IFERROR(VLOOKUP(TableHandbook[[#This Row],[UDC]],TableGCEDHE[],7,FALSE),"")</f>
        <v/>
      </c>
      <c r="AE70" s="232" t="str">
        <f>IFERROR(VLOOKUP(TableHandbook[[#This Row],[UDC]],TableGCEDUC[],7,FALSE),"")</f>
        <v/>
      </c>
      <c r="AF70" s="232" t="str">
        <f>IFERROR(VLOOKUP(TableHandbook[[#This Row],[UDC]],TableGDEDUC[],7,FALSE),"")</f>
        <v/>
      </c>
      <c r="AG70" s="232" t="str">
        <f>IFERROR(VLOOKUP(TableHandbook[[#This Row],[UDC]],TableMJRPEDUPR[],7,FALSE),"")</f>
        <v/>
      </c>
      <c r="AH70" s="232" t="str">
        <f>IFERROR(VLOOKUP(TableHandbook[[#This Row],[UDC]],TableMJRPEDUSC[],7,FALSE),"")</f>
        <v/>
      </c>
      <c r="AI70" s="233" t="str">
        <f>IFERROR(VLOOKUP(TableHandbook[[#This Row],[UDC]],TableMCEDUC[],7,FALSE),"")</f>
        <v>Option</v>
      </c>
      <c r="AJ70" s="232" t="str">
        <f>IFERROR(VLOOKUP(TableHandbook[[#This Row],[UDC]],TableSPPECULIN[],7,FALSE),"")</f>
        <v/>
      </c>
      <c r="AK70" s="232" t="str">
        <f>IFERROR(VLOOKUP(TableHandbook[[#This Row],[UDC]],TableSPPELNTCH[],7,FALSE),"")</f>
        <v/>
      </c>
      <c r="AL70" s="232" t="str">
        <f>IFERROR(VLOOKUP(TableHandbook[[#This Row],[UDC]],TableSPPESTEME[],7,FALSE),"")</f>
        <v>Core</v>
      </c>
    </row>
    <row r="71" spans="1:38" x14ac:dyDescent="0.25">
      <c r="A71" s="2" t="s">
        <v>117</v>
      </c>
      <c r="B71" s="3">
        <v>1</v>
      </c>
      <c r="C71" s="3"/>
      <c r="D71" s="2" t="s">
        <v>406</v>
      </c>
      <c r="E71" s="3">
        <v>25</v>
      </c>
      <c r="F71" s="270" t="s">
        <v>407</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31"/>
      <c r="P71" s="233" t="str">
        <f>IFERROR(VLOOKUP(TableHandbook[[#This Row],[UDC]],TableMCTEACH[],7,FALSE),"")</f>
        <v/>
      </c>
      <c r="Q71" s="232" t="str">
        <f>IFERROR(VLOOKUP(TableHandbook[[#This Row],[UDC]],TableMJRPTCHEC[],7,FALSE),"")</f>
        <v>Core</v>
      </c>
      <c r="R71" s="232" t="str">
        <f>IFERROR(VLOOKUP(TableHandbook[[#This Row],[UDC]],TableMJRPTCHPR[],7,FALSE),"")</f>
        <v>Core</v>
      </c>
      <c r="S71" s="232" t="str">
        <f>IFERROR(VLOOKUP(TableHandbook[[#This Row],[UDC]],TableMJRPTCHSC[],7,FALSE),"")</f>
        <v>Core</v>
      </c>
      <c r="T71" s="232" t="str">
        <f>IFERROR(VLOOKUP(TableHandbook[[#This Row],[UDC]],TableSTRPSCART[],7,FALSE),"")</f>
        <v/>
      </c>
      <c r="U71" s="232" t="str">
        <f>IFERROR(VLOOKUP(TableHandbook[[#This Row],[UDC]],TableSTRPSCENG[],7,FALSE),"")</f>
        <v/>
      </c>
      <c r="V71" s="232" t="str">
        <f>IFERROR(VLOOKUP(TableHandbook[[#This Row],[UDC]],TableSTRPSCHLP[],7,FALSE),"")</f>
        <v/>
      </c>
      <c r="W71" s="232" t="str">
        <f>IFERROR(VLOOKUP(TableHandbook[[#This Row],[UDC]],TableSTRPSCHUS[],7,FALSE),"")</f>
        <v/>
      </c>
      <c r="X71" s="232" t="str">
        <f>IFERROR(VLOOKUP(TableHandbook[[#This Row],[UDC]],TableSTRPSCMAT[],7,FALSE),"")</f>
        <v/>
      </c>
      <c r="Y71" s="232" t="str">
        <f>IFERROR(VLOOKUP(TableHandbook[[#This Row],[UDC]],TableSTRPSCSCI[],7,FALSE),"")</f>
        <v/>
      </c>
      <c r="Z71" s="232" t="str">
        <f>IFERROR(VLOOKUP(TableHandbook[[#This Row],[UDC]],TableSTRPSCFON[],7,FALSE),"")</f>
        <v/>
      </c>
      <c r="AA71" s="233" t="str">
        <f>IFERROR(VLOOKUP(TableHandbook[[#This Row],[UDC]],TableGCTESOL[],7,FALSE),"")</f>
        <v/>
      </c>
      <c r="AB71" s="232" t="str">
        <f>IFERROR(VLOOKUP(TableHandbook[[#This Row],[UDC]],TableMCTESOL[],7,FALSE),"")</f>
        <v/>
      </c>
      <c r="AC71" s="232" t="str">
        <f>IFERROR(VLOOKUP(TableHandbook[[#This Row],[UDC]],TableMCAPLING[],7,FALSE),"")</f>
        <v/>
      </c>
      <c r="AD71" s="233" t="str">
        <f>IFERROR(VLOOKUP(TableHandbook[[#This Row],[UDC]],TableGCEDHE[],7,FALSE),"")</f>
        <v/>
      </c>
      <c r="AE71" s="232" t="str">
        <f>IFERROR(VLOOKUP(TableHandbook[[#This Row],[UDC]],TableGCEDUC[],7,FALSE),"")</f>
        <v/>
      </c>
      <c r="AF71" s="232" t="str">
        <f>IFERROR(VLOOKUP(TableHandbook[[#This Row],[UDC]],TableGDEDUC[],7,FALSE),"")</f>
        <v/>
      </c>
      <c r="AG71" s="232" t="str">
        <f>IFERROR(VLOOKUP(TableHandbook[[#This Row],[UDC]],TableMJRPEDUPR[],7,FALSE),"")</f>
        <v>Core</v>
      </c>
      <c r="AH71" s="232" t="str">
        <f>IFERROR(VLOOKUP(TableHandbook[[#This Row],[UDC]],TableMJRPEDUSC[],7,FALSE),"")</f>
        <v>Core</v>
      </c>
      <c r="AI71" s="233" t="str">
        <f>IFERROR(VLOOKUP(TableHandbook[[#This Row],[UDC]],TableMCEDUC[],7,FALSE),"")</f>
        <v/>
      </c>
      <c r="AJ71" s="232" t="str">
        <f>IFERROR(VLOOKUP(TableHandbook[[#This Row],[UDC]],TableSPPECULIN[],7,FALSE),"")</f>
        <v/>
      </c>
      <c r="AK71" s="232" t="str">
        <f>IFERROR(VLOOKUP(TableHandbook[[#This Row],[UDC]],TableSPPELNTCH[],7,FALSE),"")</f>
        <v/>
      </c>
      <c r="AL71" s="232" t="str">
        <f>IFERROR(VLOOKUP(TableHandbook[[#This Row],[UDC]],TableSPPESTEME[],7,FALSE),"")</f>
        <v/>
      </c>
    </row>
    <row r="72" spans="1:38" x14ac:dyDescent="0.25">
      <c r="A72" s="2" t="s">
        <v>129</v>
      </c>
      <c r="B72" s="3">
        <v>1</v>
      </c>
      <c r="C72" s="3"/>
      <c r="D72" s="2" t="s">
        <v>408</v>
      </c>
      <c r="E72" s="3">
        <v>25</v>
      </c>
      <c r="F72" s="270" t="s">
        <v>117</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31"/>
      <c r="P72" s="233" t="str">
        <f>IFERROR(VLOOKUP(TableHandbook[[#This Row],[UDC]],TableMCTEACH[],7,FALSE),"")</f>
        <v/>
      </c>
      <c r="Q72" s="232" t="str">
        <f>IFERROR(VLOOKUP(TableHandbook[[#This Row],[UDC]],TableMJRPTCHEC[],7,FALSE),"")</f>
        <v>Core</v>
      </c>
      <c r="R72" s="232" t="str">
        <f>IFERROR(VLOOKUP(TableHandbook[[#This Row],[UDC]],TableMJRPTCHPR[],7,FALSE),"")</f>
        <v>Core</v>
      </c>
      <c r="S72" s="232" t="str">
        <f>IFERROR(VLOOKUP(TableHandbook[[#This Row],[UDC]],TableMJRPTCHSC[],7,FALSE),"")</f>
        <v>Core</v>
      </c>
      <c r="T72" s="232" t="str">
        <f>IFERROR(VLOOKUP(TableHandbook[[#This Row],[UDC]],TableSTRPSCART[],7,FALSE),"")</f>
        <v/>
      </c>
      <c r="U72" s="232" t="str">
        <f>IFERROR(VLOOKUP(TableHandbook[[#This Row],[UDC]],TableSTRPSCENG[],7,FALSE),"")</f>
        <v/>
      </c>
      <c r="V72" s="232" t="str">
        <f>IFERROR(VLOOKUP(TableHandbook[[#This Row],[UDC]],TableSTRPSCHLP[],7,FALSE),"")</f>
        <v/>
      </c>
      <c r="W72" s="232" t="str">
        <f>IFERROR(VLOOKUP(TableHandbook[[#This Row],[UDC]],TableSTRPSCHUS[],7,FALSE),"")</f>
        <v/>
      </c>
      <c r="X72" s="232" t="str">
        <f>IFERROR(VLOOKUP(TableHandbook[[#This Row],[UDC]],TableSTRPSCMAT[],7,FALSE),"")</f>
        <v/>
      </c>
      <c r="Y72" s="232" t="str">
        <f>IFERROR(VLOOKUP(TableHandbook[[#This Row],[UDC]],TableSTRPSCSCI[],7,FALSE),"")</f>
        <v/>
      </c>
      <c r="Z72" s="232" t="str">
        <f>IFERROR(VLOOKUP(TableHandbook[[#This Row],[UDC]],TableSTRPSCFON[],7,FALSE),"")</f>
        <v/>
      </c>
      <c r="AA72" s="233" t="str">
        <f>IFERROR(VLOOKUP(TableHandbook[[#This Row],[UDC]],TableGCTESOL[],7,FALSE),"")</f>
        <v/>
      </c>
      <c r="AB72" s="232" t="str">
        <f>IFERROR(VLOOKUP(TableHandbook[[#This Row],[UDC]],TableMCTESOL[],7,FALSE),"")</f>
        <v/>
      </c>
      <c r="AC72" s="232" t="str">
        <f>IFERROR(VLOOKUP(TableHandbook[[#This Row],[UDC]],TableMCAPLING[],7,FALSE),"")</f>
        <v/>
      </c>
      <c r="AD72" s="233" t="str">
        <f>IFERROR(VLOOKUP(TableHandbook[[#This Row],[UDC]],TableGCEDHE[],7,FALSE),"")</f>
        <v/>
      </c>
      <c r="AE72" s="232" t="str">
        <f>IFERROR(VLOOKUP(TableHandbook[[#This Row],[UDC]],TableGCEDUC[],7,FALSE),"")</f>
        <v/>
      </c>
      <c r="AF72" s="232" t="str">
        <f>IFERROR(VLOOKUP(TableHandbook[[#This Row],[UDC]],TableGDEDUC[],7,FALSE),"")</f>
        <v/>
      </c>
      <c r="AG72" s="232" t="str">
        <f>IFERROR(VLOOKUP(TableHandbook[[#This Row],[UDC]],TableMJRPEDUPR[],7,FALSE),"")</f>
        <v/>
      </c>
      <c r="AH72" s="232" t="str">
        <f>IFERROR(VLOOKUP(TableHandbook[[#This Row],[UDC]],TableMJRPEDUSC[],7,FALSE),"")</f>
        <v/>
      </c>
      <c r="AI72" s="233" t="str">
        <f>IFERROR(VLOOKUP(TableHandbook[[#This Row],[UDC]],TableMCEDUC[],7,FALSE),"")</f>
        <v/>
      </c>
      <c r="AJ72" s="232" t="str">
        <f>IFERROR(VLOOKUP(TableHandbook[[#This Row],[UDC]],TableSPPECULIN[],7,FALSE),"")</f>
        <v/>
      </c>
      <c r="AK72" s="232" t="str">
        <f>IFERROR(VLOOKUP(TableHandbook[[#This Row],[UDC]],TableSPPELNTCH[],7,FALSE),"")</f>
        <v/>
      </c>
      <c r="AL72" s="232" t="str">
        <f>IFERROR(VLOOKUP(TableHandbook[[#This Row],[UDC]],TableSPPESTEME[],7,FALSE),"")</f>
        <v/>
      </c>
    </row>
    <row r="73" spans="1:38" x14ac:dyDescent="0.25">
      <c r="A73" s="2" t="s">
        <v>124</v>
      </c>
      <c r="B73" s="3">
        <v>1</v>
      </c>
      <c r="C73" s="3"/>
      <c r="D73" s="2" t="s">
        <v>409</v>
      </c>
      <c r="E73" s="3">
        <v>25</v>
      </c>
      <c r="F73" s="54" t="s">
        <v>336</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31"/>
      <c r="P73" s="233" t="str">
        <f>IFERROR(VLOOKUP(TableHandbook[[#This Row],[UDC]],TableMCTEACH[],7,FALSE),"")</f>
        <v/>
      </c>
      <c r="Q73" s="232" t="str">
        <f>IFERROR(VLOOKUP(TableHandbook[[#This Row],[UDC]],TableMJRPTCHEC[],7,FALSE),"")</f>
        <v/>
      </c>
      <c r="R73" s="232" t="str">
        <f>IFERROR(VLOOKUP(TableHandbook[[#This Row],[UDC]],TableMJRPTCHPR[],7,FALSE),"")</f>
        <v>Core</v>
      </c>
      <c r="S73" s="232" t="str">
        <f>IFERROR(VLOOKUP(TableHandbook[[#This Row],[UDC]],TableMJRPTCHSC[],7,FALSE),"")</f>
        <v>Core</v>
      </c>
      <c r="T73" s="232" t="str">
        <f>IFERROR(VLOOKUP(TableHandbook[[#This Row],[UDC]],TableSTRPSCART[],7,FALSE),"")</f>
        <v/>
      </c>
      <c r="U73" s="232" t="str">
        <f>IFERROR(VLOOKUP(TableHandbook[[#This Row],[UDC]],TableSTRPSCENG[],7,FALSE),"")</f>
        <v/>
      </c>
      <c r="V73" s="232" t="str">
        <f>IFERROR(VLOOKUP(TableHandbook[[#This Row],[UDC]],TableSTRPSCHLP[],7,FALSE),"")</f>
        <v/>
      </c>
      <c r="W73" s="232" t="str">
        <f>IFERROR(VLOOKUP(TableHandbook[[#This Row],[UDC]],TableSTRPSCHUS[],7,FALSE),"")</f>
        <v/>
      </c>
      <c r="X73" s="232" t="str">
        <f>IFERROR(VLOOKUP(TableHandbook[[#This Row],[UDC]],TableSTRPSCMAT[],7,FALSE),"")</f>
        <v/>
      </c>
      <c r="Y73" s="232" t="str">
        <f>IFERROR(VLOOKUP(TableHandbook[[#This Row],[UDC]],TableSTRPSCSCI[],7,FALSE),"")</f>
        <v/>
      </c>
      <c r="Z73" s="232" t="str">
        <f>IFERROR(VLOOKUP(TableHandbook[[#This Row],[UDC]],TableSTRPSCFON[],7,FALSE),"")</f>
        <v/>
      </c>
      <c r="AA73" s="233" t="str">
        <f>IFERROR(VLOOKUP(TableHandbook[[#This Row],[UDC]],TableGCTESOL[],7,FALSE),"")</f>
        <v/>
      </c>
      <c r="AB73" s="232" t="str">
        <f>IFERROR(VLOOKUP(TableHandbook[[#This Row],[UDC]],TableMCTESOL[],7,FALSE),"")</f>
        <v/>
      </c>
      <c r="AC73" s="232" t="str">
        <f>IFERROR(VLOOKUP(TableHandbook[[#This Row],[UDC]],TableMCAPLING[],7,FALSE),"")</f>
        <v/>
      </c>
      <c r="AD73" s="233" t="str">
        <f>IFERROR(VLOOKUP(TableHandbook[[#This Row],[UDC]],TableGCEDHE[],7,FALSE),"")</f>
        <v/>
      </c>
      <c r="AE73" s="232" t="str">
        <f>IFERROR(VLOOKUP(TableHandbook[[#This Row],[UDC]],TableGCEDUC[],7,FALSE),"")</f>
        <v/>
      </c>
      <c r="AF73" s="232" t="str">
        <f>IFERROR(VLOOKUP(TableHandbook[[#This Row],[UDC]],TableGDEDUC[],7,FALSE),"")</f>
        <v/>
      </c>
      <c r="AG73" s="232" t="str">
        <f>IFERROR(VLOOKUP(TableHandbook[[#This Row],[UDC]],TableMJRPEDUPR[],7,FALSE),"")</f>
        <v/>
      </c>
      <c r="AH73" s="232" t="str">
        <f>IFERROR(VLOOKUP(TableHandbook[[#This Row],[UDC]],TableMJRPEDUSC[],7,FALSE),"")</f>
        <v/>
      </c>
      <c r="AI73" s="233" t="str">
        <f>IFERROR(VLOOKUP(TableHandbook[[#This Row],[UDC]],TableMCEDUC[],7,FALSE),"")</f>
        <v/>
      </c>
      <c r="AJ73" s="232" t="str">
        <f>IFERROR(VLOOKUP(TableHandbook[[#This Row],[UDC]],TableSPPECULIN[],7,FALSE),"")</f>
        <v/>
      </c>
      <c r="AK73" s="232" t="str">
        <f>IFERROR(VLOOKUP(TableHandbook[[#This Row],[UDC]],TableSPPELNTCH[],7,FALSE),"")</f>
        <v/>
      </c>
      <c r="AL73" s="232" t="str">
        <f>IFERROR(VLOOKUP(TableHandbook[[#This Row],[UDC]],TableSPPESTEME[],7,FALSE),"")</f>
        <v/>
      </c>
    </row>
    <row r="74" spans="1:38" x14ac:dyDescent="0.25">
      <c r="A74" s="2" t="s">
        <v>287</v>
      </c>
      <c r="B74" s="3"/>
      <c r="C74" s="3"/>
      <c r="D74" s="2" t="s">
        <v>410</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31"/>
      <c r="P74" s="233" t="str">
        <f>IFERROR(VLOOKUP(TableHandbook[[#This Row],[UDC]],TableMCTEACH[],7,FALSE),"")</f>
        <v/>
      </c>
      <c r="Q74" s="232" t="str">
        <f>IFERROR(VLOOKUP(TableHandbook[[#This Row],[UDC]],TableMJRPTCHEC[],7,FALSE),"")</f>
        <v/>
      </c>
      <c r="R74" s="232" t="str">
        <f>IFERROR(VLOOKUP(TableHandbook[[#This Row],[UDC]],TableMJRPTCHPR[],7,FALSE),"")</f>
        <v/>
      </c>
      <c r="S74" s="232" t="str">
        <f>IFERROR(VLOOKUP(TableHandbook[[#This Row],[UDC]],TableMJRPTCHSC[],7,FALSE),"")</f>
        <v/>
      </c>
      <c r="T74" s="232" t="str">
        <f>IFERROR(VLOOKUP(TableHandbook[[#This Row],[UDC]],TableSTRPSCART[],7,FALSE),"")</f>
        <v/>
      </c>
      <c r="U74" s="232" t="str">
        <f>IFERROR(VLOOKUP(TableHandbook[[#This Row],[UDC]],TableSTRPSCENG[],7,FALSE),"")</f>
        <v/>
      </c>
      <c r="V74" s="232" t="str">
        <f>IFERROR(VLOOKUP(TableHandbook[[#This Row],[UDC]],TableSTRPSCHLP[],7,FALSE),"")</f>
        <v/>
      </c>
      <c r="W74" s="232" t="str">
        <f>IFERROR(VLOOKUP(TableHandbook[[#This Row],[UDC]],TableSTRPSCHUS[],7,FALSE),"")</f>
        <v/>
      </c>
      <c r="X74" s="232" t="str">
        <f>IFERROR(VLOOKUP(TableHandbook[[#This Row],[UDC]],TableSTRPSCMAT[],7,FALSE),"")</f>
        <v/>
      </c>
      <c r="Y74" s="232" t="str">
        <f>IFERROR(VLOOKUP(TableHandbook[[#This Row],[UDC]],TableSTRPSCSCI[],7,FALSE),"")</f>
        <v/>
      </c>
      <c r="Z74" s="232" t="str">
        <f>IFERROR(VLOOKUP(TableHandbook[[#This Row],[UDC]],TableSTRPSCFON[],7,FALSE),"")</f>
        <v/>
      </c>
      <c r="AA74" s="233" t="str">
        <f>IFERROR(VLOOKUP(TableHandbook[[#This Row],[UDC]],TableGCTESOL[],7,FALSE),"")</f>
        <v/>
      </c>
      <c r="AB74" s="232" t="str">
        <f>IFERROR(VLOOKUP(TableHandbook[[#This Row],[UDC]],TableMCTESOL[],7,FALSE),"")</f>
        <v/>
      </c>
      <c r="AC74" s="232" t="str">
        <f>IFERROR(VLOOKUP(TableHandbook[[#This Row],[UDC]],TableMCAPLING[],7,FALSE),"")</f>
        <v/>
      </c>
      <c r="AD74" s="233" t="str">
        <f>IFERROR(VLOOKUP(TableHandbook[[#This Row],[UDC]],TableGCEDHE[],7,FALSE),"")</f>
        <v/>
      </c>
      <c r="AE74" s="232" t="str">
        <f>IFERROR(VLOOKUP(TableHandbook[[#This Row],[UDC]],TableGCEDUC[],7,FALSE),"")</f>
        <v/>
      </c>
      <c r="AF74" s="232" t="str">
        <f>IFERROR(VLOOKUP(TableHandbook[[#This Row],[UDC]],TableGDEDUC[],7,FALSE),"")</f>
        <v/>
      </c>
      <c r="AG74" s="232" t="str">
        <f>IFERROR(VLOOKUP(TableHandbook[[#This Row],[UDC]],TableMJRPEDUPR[],7,FALSE),"")</f>
        <v/>
      </c>
      <c r="AH74" s="232" t="str">
        <f>IFERROR(VLOOKUP(TableHandbook[[#This Row],[UDC]],TableMJRPEDUSC[],7,FALSE),"")</f>
        <v/>
      </c>
      <c r="AI74" s="233" t="str">
        <f>IFERROR(VLOOKUP(TableHandbook[[#This Row],[UDC]],TableMCEDUC[],7,FALSE),"")</f>
        <v/>
      </c>
      <c r="AJ74" s="232" t="str">
        <f>IFERROR(VLOOKUP(TableHandbook[[#This Row],[UDC]],TableSPPECULIN[],7,FALSE),"")</f>
        <v/>
      </c>
      <c r="AK74" s="232" t="str">
        <f>IFERROR(VLOOKUP(TableHandbook[[#This Row],[UDC]],TableSPPELNTCH[],7,FALSE),"")</f>
        <v/>
      </c>
      <c r="AL74" s="232" t="str">
        <f>IFERROR(VLOOKUP(TableHandbook[[#This Row],[UDC]],TableSPPESTEME[],7,FALSE),"")</f>
        <v/>
      </c>
    </row>
    <row r="75" spans="1:38" x14ac:dyDescent="0.25">
      <c r="A75" s="2" t="s">
        <v>269</v>
      </c>
      <c r="B75" s="3"/>
      <c r="C75" s="3"/>
      <c r="D75" s="2" t="s">
        <v>411</v>
      </c>
      <c r="E75" s="3">
        <v>25</v>
      </c>
      <c r="F75" s="54" t="s">
        <v>412</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31"/>
      <c r="P75" s="233" t="str">
        <f>IFERROR(VLOOKUP(TableHandbook[[#This Row],[UDC]],TableMCTEACH[],7,FALSE),"")</f>
        <v/>
      </c>
      <c r="Q75" s="232" t="str">
        <f>IFERROR(VLOOKUP(TableHandbook[[#This Row],[UDC]],TableMJRPTCHEC[],7,FALSE),"")</f>
        <v/>
      </c>
      <c r="R75" s="232" t="str">
        <f>IFERROR(VLOOKUP(TableHandbook[[#This Row],[UDC]],TableMJRPTCHPR[],7,FALSE),"")</f>
        <v/>
      </c>
      <c r="S75" s="232" t="str">
        <f>IFERROR(VLOOKUP(TableHandbook[[#This Row],[UDC]],TableMJRPTCHSC[],7,FALSE),"")</f>
        <v/>
      </c>
      <c r="T75" s="232" t="str">
        <f>IFERROR(VLOOKUP(TableHandbook[[#This Row],[UDC]],TableSTRPSCART[],7,FALSE),"")</f>
        <v/>
      </c>
      <c r="U75" s="232" t="str">
        <f>IFERROR(VLOOKUP(TableHandbook[[#This Row],[UDC]],TableSTRPSCENG[],7,FALSE),"")</f>
        <v/>
      </c>
      <c r="V75" s="232" t="str">
        <f>IFERROR(VLOOKUP(TableHandbook[[#This Row],[UDC]],TableSTRPSCHLP[],7,FALSE),"")</f>
        <v/>
      </c>
      <c r="W75" s="232" t="str">
        <f>IFERROR(VLOOKUP(TableHandbook[[#This Row],[UDC]],TableSTRPSCHUS[],7,FALSE),"")</f>
        <v/>
      </c>
      <c r="X75" s="232" t="str">
        <f>IFERROR(VLOOKUP(TableHandbook[[#This Row],[UDC]],TableSTRPSCMAT[],7,FALSE),"")</f>
        <v/>
      </c>
      <c r="Y75" s="232" t="str">
        <f>IFERROR(VLOOKUP(TableHandbook[[#This Row],[UDC]],TableSTRPSCSCI[],7,FALSE),"")</f>
        <v/>
      </c>
      <c r="Z75" s="232" t="str">
        <f>IFERROR(VLOOKUP(TableHandbook[[#This Row],[UDC]],TableSTRPSCFON[],7,FALSE),"")</f>
        <v/>
      </c>
      <c r="AA75" s="233" t="str">
        <f>IFERROR(VLOOKUP(TableHandbook[[#This Row],[UDC]],TableGCTESOL[],7,FALSE),"")</f>
        <v/>
      </c>
      <c r="AB75" s="232" t="str">
        <f>IFERROR(VLOOKUP(TableHandbook[[#This Row],[UDC]],TableMCTESOL[],7,FALSE),"")</f>
        <v/>
      </c>
      <c r="AC75" s="232" t="str">
        <f>IFERROR(VLOOKUP(TableHandbook[[#This Row],[UDC]],TableMCAPLING[],7,FALSE),"")</f>
        <v/>
      </c>
      <c r="AD75" s="233" t="str">
        <f>IFERROR(VLOOKUP(TableHandbook[[#This Row],[UDC]],TableGCEDHE[],7,FALSE),"")</f>
        <v/>
      </c>
      <c r="AE75" s="232" t="str">
        <f>IFERROR(VLOOKUP(TableHandbook[[#This Row],[UDC]],TableGCEDUC[],7,FALSE),"")</f>
        <v/>
      </c>
      <c r="AF75" s="232" t="str">
        <f>IFERROR(VLOOKUP(TableHandbook[[#This Row],[UDC]],TableGDEDUC[],7,FALSE),"")</f>
        <v/>
      </c>
      <c r="AG75" s="232" t="str">
        <f>IFERROR(VLOOKUP(TableHandbook[[#This Row],[UDC]],TableMJRPEDUPR[],7,FALSE),"")</f>
        <v/>
      </c>
      <c r="AH75" s="232" t="str">
        <f>IFERROR(VLOOKUP(TableHandbook[[#This Row],[UDC]],TableMJRPEDUSC[],7,FALSE),"")</f>
        <v/>
      </c>
      <c r="AI75" s="233" t="str">
        <f>IFERROR(VLOOKUP(TableHandbook[[#This Row],[UDC]],TableMCEDUC[],7,FALSE),"")</f>
        <v/>
      </c>
      <c r="AJ75" s="232" t="str">
        <f>IFERROR(VLOOKUP(TableHandbook[[#This Row],[UDC]],TableSPPECULIN[],7,FALSE),"")</f>
        <v/>
      </c>
      <c r="AK75" s="232" t="str">
        <f>IFERROR(VLOOKUP(TableHandbook[[#This Row],[UDC]],TableSPPELNTCH[],7,FALSE),"")</f>
        <v/>
      </c>
      <c r="AL75" s="232" t="str">
        <f>IFERROR(VLOOKUP(TableHandbook[[#This Row],[UDC]],TableSPPESTEME[],7,FALSE),"")</f>
        <v/>
      </c>
    </row>
    <row r="76" spans="1:38" x14ac:dyDescent="0.25">
      <c r="A76" s="2" t="s">
        <v>413</v>
      </c>
      <c r="B76" s="3"/>
      <c r="C76" s="3"/>
      <c r="D76" s="2" t="s">
        <v>414</v>
      </c>
      <c r="E76" s="3">
        <v>50</v>
      </c>
      <c r="F76" s="54" t="s">
        <v>185</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31"/>
      <c r="P76" s="233" t="str">
        <f>IFERROR(VLOOKUP(TableHandbook[[#This Row],[UDC]],TableMCTEACH[],7,FALSE),"")</f>
        <v/>
      </c>
      <c r="Q76" s="232" t="str">
        <f>IFERROR(VLOOKUP(TableHandbook[[#This Row],[UDC]],TableMJRPTCHEC[],7,FALSE),"")</f>
        <v/>
      </c>
      <c r="R76" s="232" t="str">
        <f>IFERROR(VLOOKUP(TableHandbook[[#This Row],[UDC]],TableMJRPTCHPR[],7,FALSE),"")</f>
        <v/>
      </c>
      <c r="S76" s="232" t="str">
        <f>IFERROR(VLOOKUP(TableHandbook[[#This Row],[UDC]],TableMJRPTCHSC[],7,FALSE),"")</f>
        <v/>
      </c>
      <c r="T76" s="232" t="str">
        <f>IFERROR(VLOOKUP(TableHandbook[[#This Row],[UDC]],TableSTRPSCART[],7,FALSE),"")</f>
        <v/>
      </c>
      <c r="U76" s="232" t="str">
        <f>IFERROR(VLOOKUP(TableHandbook[[#This Row],[UDC]],TableSTRPSCENG[],7,FALSE),"")</f>
        <v/>
      </c>
      <c r="V76" s="232" t="str">
        <f>IFERROR(VLOOKUP(TableHandbook[[#This Row],[UDC]],TableSTRPSCHLP[],7,FALSE),"")</f>
        <v/>
      </c>
      <c r="W76" s="232" t="str">
        <f>IFERROR(VLOOKUP(TableHandbook[[#This Row],[UDC]],TableSTRPSCHUS[],7,FALSE),"")</f>
        <v/>
      </c>
      <c r="X76" s="232" t="str">
        <f>IFERROR(VLOOKUP(TableHandbook[[#This Row],[UDC]],TableSTRPSCMAT[],7,FALSE),"")</f>
        <v/>
      </c>
      <c r="Y76" s="232" t="str">
        <f>IFERROR(VLOOKUP(TableHandbook[[#This Row],[UDC]],TableSTRPSCSCI[],7,FALSE),"")</f>
        <v/>
      </c>
      <c r="Z76" s="232" t="str">
        <f>IFERROR(VLOOKUP(TableHandbook[[#This Row],[UDC]],TableSTRPSCFON[],7,FALSE),"")</f>
        <v/>
      </c>
      <c r="AA76" s="233" t="str">
        <f>IFERROR(VLOOKUP(TableHandbook[[#This Row],[UDC]],TableGCTESOL[],7,FALSE),"")</f>
        <v/>
      </c>
      <c r="AB76" s="232" t="str">
        <f>IFERROR(VLOOKUP(TableHandbook[[#This Row],[UDC]],TableMCTESOL[],7,FALSE),"")</f>
        <v/>
      </c>
      <c r="AC76" s="232" t="str">
        <f>IFERROR(VLOOKUP(TableHandbook[[#This Row],[UDC]],TableMCAPLING[],7,FALSE),"")</f>
        <v/>
      </c>
      <c r="AD76" s="233" t="str">
        <f>IFERROR(VLOOKUP(TableHandbook[[#This Row],[UDC]],TableGCEDHE[],7,FALSE),"")</f>
        <v/>
      </c>
      <c r="AE76" s="232" t="str">
        <f>IFERROR(VLOOKUP(TableHandbook[[#This Row],[UDC]],TableGCEDUC[],7,FALSE),"")</f>
        <v/>
      </c>
      <c r="AF76" s="232" t="str">
        <f>IFERROR(VLOOKUP(TableHandbook[[#This Row],[UDC]],TableGDEDUC[],7,FALSE),"")</f>
        <v/>
      </c>
      <c r="AG76" s="232" t="str">
        <f>IFERROR(VLOOKUP(TableHandbook[[#This Row],[UDC]],TableMJRPEDUPR[],7,FALSE),"")</f>
        <v/>
      </c>
      <c r="AH76" s="232" t="str">
        <f>IFERROR(VLOOKUP(TableHandbook[[#This Row],[UDC]],TableMJRPEDUSC[],7,FALSE),"")</f>
        <v/>
      </c>
      <c r="AI76" s="233" t="str">
        <f>IFERROR(VLOOKUP(TableHandbook[[#This Row],[UDC]],TableMCEDUC[],7,FALSE),"")</f>
        <v/>
      </c>
      <c r="AJ76" s="232" t="str">
        <f>IFERROR(VLOOKUP(TableHandbook[[#This Row],[UDC]],TableSPPECULIN[],7,FALSE),"")</f>
        <v/>
      </c>
      <c r="AK76" s="232" t="str">
        <f>IFERROR(VLOOKUP(TableHandbook[[#This Row],[UDC]],TableSPPELNTCH[],7,FALSE),"")</f>
        <v/>
      </c>
      <c r="AL76" s="232" t="str">
        <f>IFERROR(VLOOKUP(TableHandbook[[#This Row],[UDC]],TableSPPESTEME[],7,FALSE),"")</f>
        <v/>
      </c>
    </row>
    <row r="77" spans="1:38" x14ac:dyDescent="0.25">
      <c r="A77" s="2" t="s">
        <v>283</v>
      </c>
      <c r="B77" s="3"/>
      <c r="C77" s="3"/>
      <c r="D77" s="2" t="s">
        <v>415</v>
      </c>
      <c r="E77" s="3">
        <v>25</v>
      </c>
      <c r="F77" s="54" t="s">
        <v>412</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31"/>
      <c r="P77" s="233" t="str">
        <f>IFERROR(VLOOKUP(TableHandbook[[#This Row],[UDC]],TableMCTEACH[],7,FALSE),"")</f>
        <v/>
      </c>
      <c r="Q77" s="232" t="str">
        <f>IFERROR(VLOOKUP(TableHandbook[[#This Row],[UDC]],TableMJRPTCHEC[],7,FALSE),"")</f>
        <v/>
      </c>
      <c r="R77" s="232" t="str">
        <f>IFERROR(VLOOKUP(TableHandbook[[#This Row],[UDC]],TableMJRPTCHPR[],7,FALSE),"")</f>
        <v/>
      </c>
      <c r="S77" s="232" t="str">
        <f>IFERROR(VLOOKUP(TableHandbook[[#This Row],[UDC]],TableMJRPTCHSC[],7,FALSE),"")</f>
        <v/>
      </c>
      <c r="T77" s="232" t="str">
        <f>IFERROR(VLOOKUP(TableHandbook[[#This Row],[UDC]],TableSTRPSCART[],7,FALSE),"")</f>
        <v/>
      </c>
      <c r="U77" s="232" t="str">
        <f>IFERROR(VLOOKUP(TableHandbook[[#This Row],[UDC]],TableSTRPSCENG[],7,FALSE),"")</f>
        <v/>
      </c>
      <c r="V77" s="232" t="str">
        <f>IFERROR(VLOOKUP(TableHandbook[[#This Row],[UDC]],TableSTRPSCHLP[],7,FALSE),"")</f>
        <v/>
      </c>
      <c r="W77" s="232" t="str">
        <f>IFERROR(VLOOKUP(TableHandbook[[#This Row],[UDC]],TableSTRPSCHUS[],7,FALSE),"")</f>
        <v/>
      </c>
      <c r="X77" s="232" t="str">
        <f>IFERROR(VLOOKUP(TableHandbook[[#This Row],[UDC]],TableSTRPSCMAT[],7,FALSE),"")</f>
        <v/>
      </c>
      <c r="Y77" s="232" t="str">
        <f>IFERROR(VLOOKUP(TableHandbook[[#This Row],[UDC]],TableSTRPSCSCI[],7,FALSE),"")</f>
        <v/>
      </c>
      <c r="Z77" s="232" t="str">
        <f>IFERROR(VLOOKUP(TableHandbook[[#This Row],[UDC]],TableSTRPSCFON[],7,FALSE),"")</f>
        <v/>
      </c>
      <c r="AA77" s="233" t="str">
        <f>IFERROR(VLOOKUP(TableHandbook[[#This Row],[UDC]],TableGCTESOL[],7,FALSE),"")</f>
        <v/>
      </c>
      <c r="AB77" s="232" t="str">
        <f>IFERROR(VLOOKUP(TableHandbook[[#This Row],[UDC]],TableMCTESOL[],7,FALSE),"")</f>
        <v/>
      </c>
      <c r="AC77" s="232" t="str">
        <f>IFERROR(VLOOKUP(TableHandbook[[#This Row],[UDC]],TableMCAPLING[],7,FALSE),"")</f>
        <v/>
      </c>
      <c r="AD77" s="233" t="str">
        <f>IFERROR(VLOOKUP(TableHandbook[[#This Row],[UDC]],TableGCEDHE[],7,FALSE),"")</f>
        <v/>
      </c>
      <c r="AE77" s="232" t="str">
        <f>IFERROR(VLOOKUP(TableHandbook[[#This Row],[UDC]],TableGCEDUC[],7,FALSE),"")</f>
        <v/>
      </c>
      <c r="AF77" s="232" t="str">
        <f>IFERROR(VLOOKUP(TableHandbook[[#This Row],[UDC]],TableGDEDUC[],7,FALSE),"")</f>
        <v/>
      </c>
      <c r="AG77" s="232" t="str">
        <f>IFERROR(VLOOKUP(TableHandbook[[#This Row],[UDC]],TableMJRPEDUPR[],7,FALSE),"")</f>
        <v/>
      </c>
      <c r="AH77" s="232" t="str">
        <f>IFERROR(VLOOKUP(TableHandbook[[#This Row],[UDC]],TableMJRPEDUSC[],7,FALSE),"")</f>
        <v/>
      </c>
      <c r="AI77" s="233" t="str">
        <f>IFERROR(VLOOKUP(TableHandbook[[#This Row],[UDC]],TableMCEDUC[],7,FALSE),"")</f>
        <v/>
      </c>
      <c r="AJ77" s="232" t="str">
        <f>IFERROR(VLOOKUP(TableHandbook[[#This Row],[UDC]],TableSPPECULIN[],7,FALSE),"")</f>
        <v/>
      </c>
      <c r="AK77" s="232" t="str">
        <f>IFERROR(VLOOKUP(TableHandbook[[#This Row],[UDC]],TableSPPELNTCH[],7,FALSE),"")</f>
        <v/>
      </c>
      <c r="AL77" s="232" t="str">
        <f>IFERROR(VLOOKUP(TableHandbook[[#This Row],[UDC]],TableSPPESTEME[],7,FALSE),"")</f>
        <v/>
      </c>
    </row>
    <row r="78" spans="1:38" x14ac:dyDescent="0.25">
      <c r="A78" s="2" t="s">
        <v>321</v>
      </c>
      <c r="B78" s="3"/>
      <c r="C78" s="3"/>
      <c r="D78" s="2" t="s">
        <v>416</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31"/>
      <c r="P78" s="233" t="str">
        <f>IFERROR(VLOOKUP(TableHandbook[[#This Row],[UDC]],TableMCTEACH[],7,FALSE),"")</f>
        <v/>
      </c>
      <c r="Q78" s="232" t="str">
        <f>IFERROR(VLOOKUP(TableHandbook[[#This Row],[UDC]],TableMJRPTCHEC[],7,FALSE),"")</f>
        <v/>
      </c>
      <c r="R78" s="232" t="str">
        <f>IFERROR(VLOOKUP(TableHandbook[[#This Row],[UDC]],TableMJRPTCHPR[],7,FALSE),"")</f>
        <v/>
      </c>
      <c r="S78" s="232" t="str">
        <f>IFERROR(VLOOKUP(TableHandbook[[#This Row],[UDC]],TableMJRPTCHSC[],7,FALSE),"")</f>
        <v/>
      </c>
      <c r="T78" s="232" t="str">
        <f>IFERROR(VLOOKUP(TableHandbook[[#This Row],[UDC]],TableSTRPSCART[],7,FALSE),"")</f>
        <v/>
      </c>
      <c r="U78" s="232" t="str">
        <f>IFERROR(VLOOKUP(TableHandbook[[#This Row],[UDC]],TableSTRPSCENG[],7,FALSE),"")</f>
        <v/>
      </c>
      <c r="V78" s="232" t="str">
        <f>IFERROR(VLOOKUP(TableHandbook[[#This Row],[UDC]],TableSTRPSCHLP[],7,FALSE),"")</f>
        <v/>
      </c>
      <c r="W78" s="232" t="str">
        <f>IFERROR(VLOOKUP(TableHandbook[[#This Row],[UDC]],TableSTRPSCHUS[],7,FALSE),"")</f>
        <v/>
      </c>
      <c r="X78" s="232" t="str">
        <f>IFERROR(VLOOKUP(TableHandbook[[#This Row],[UDC]],TableSTRPSCMAT[],7,FALSE),"")</f>
        <v/>
      </c>
      <c r="Y78" s="232" t="str">
        <f>IFERROR(VLOOKUP(TableHandbook[[#This Row],[UDC]],TableSTRPSCSCI[],7,FALSE),"")</f>
        <v/>
      </c>
      <c r="Z78" s="232" t="str">
        <f>IFERROR(VLOOKUP(TableHandbook[[#This Row],[UDC]],TableSTRPSCFON[],7,FALSE),"")</f>
        <v/>
      </c>
      <c r="AA78" s="233" t="str">
        <f>IFERROR(VLOOKUP(TableHandbook[[#This Row],[UDC]],TableGCTESOL[],7,FALSE),"")</f>
        <v/>
      </c>
      <c r="AB78" s="232" t="str">
        <f>IFERROR(VLOOKUP(TableHandbook[[#This Row],[UDC]],TableMCTESOL[],7,FALSE),"")</f>
        <v/>
      </c>
      <c r="AC78" s="232" t="str">
        <f>IFERROR(VLOOKUP(TableHandbook[[#This Row],[UDC]],TableMCAPLING[],7,FALSE),"")</f>
        <v/>
      </c>
      <c r="AD78" s="233" t="str">
        <f>IFERROR(VLOOKUP(TableHandbook[[#This Row],[UDC]],TableGCEDHE[],7,FALSE),"")</f>
        <v/>
      </c>
      <c r="AE78" s="232" t="str">
        <f>IFERROR(VLOOKUP(TableHandbook[[#This Row],[UDC]],TableGCEDUC[],7,FALSE),"")</f>
        <v/>
      </c>
      <c r="AF78" s="232" t="str">
        <f>IFERROR(VLOOKUP(TableHandbook[[#This Row],[UDC]],TableGDEDUC[],7,FALSE),"")</f>
        <v/>
      </c>
      <c r="AG78" s="232" t="str">
        <f>IFERROR(VLOOKUP(TableHandbook[[#This Row],[UDC]],TableMJRPEDUPR[],7,FALSE),"")</f>
        <v/>
      </c>
      <c r="AH78" s="232" t="str">
        <f>IFERROR(VLOOKUP(TableHandbook[[#This Row],[UDC]],TableMJRPEDUSC[],7,FALSE),"")</f>
        <v/>
      </c>
      <c r="AI78" s="233" t="str">
        <f>IFERROR(VLOOKUP(TableHandbook[[#This Row],[UDC]],TableMCEDUC[],7,FALSE),"")</f>
        <v/>
      </c>
      <c r="AJ78" s="232" t="str">
        <f>IFERROR(VLOOKUP(TableHandbook[[#This Row],[UDC]],TableSPPECULIN[],7,FALSE),"")</f>
        <v/>
      </c>
      <c r="AK78" s="232" t="str">
        <f>IFERROR(VLOOKUP(TableHandbook[[#This Row],[UDC]],TableSPPELNTCH[],7,FALSE),"")</f>
        <v/>
      </c>
      <c r="AL78" s="232" t="str">
        <f>IFERROR(VLOOKUP(TableHandbook[[#This Row],[UDC]],TableSPPESTEME[],7,FALSE),"")</f>
        <v/>
      </c>
    </row>
    <row r="79" spans="1:38" x14ac:dyDescent="0.25">
      <c r="A79" s="2" t="s">
        <v>319</v>
      </c>
      <c r="B79" s="3"/>
      <c r="C79" s="3"/>
      <c r="D79" s="2" t="s">
        <v>417</v>
      </c>
      <c r="E79" s="3">
        <v>25</v>
      </c>
      <c r="F79" s="54" t="s">
        <v>412</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31"/>
      <c r="P79" s="233" t="str">
        <f>IFERROR(VLOOKUP(TableHandbook[[#This Row],[UDC]],TableMCTEACH[],7,FALSE),"")</f>
        <v/>
      </c>
      <c r="Q79" s="232" t="str">
        <f>IFERROR(VLOOKUP(TableHandbook[[#This Row],[UDC]],TableMJRPTCHEC[],7,FALSE),"")</f>
        <v/>
      </c>
      <c r="R79" s="232" t="str">
        <f>IFERROR(VLOOKUP(TableHandbook[[#This Row],[UDC]],TableMJRPTCHPR[],7,FALSE),"")</f>
        <v/>
      </c>
      <c r="S79" s="232" t="str">
        <f>IFERROR(VLOOKUP(TableHandbook[[#This Row],[UDC]],TableMJRPTCHSC[],7,FALSE),"")</f>
        <v/>
      </c>
      <c r="T79" s="232" t="str">
        <f>IFERROR(VLOOKUP(TableHandbook[[#This Row],[UDC]],TableSTRPSCART[],7,FALSE),"")</f>
        <v/>
      </c>
      <c r="U79" s="232" t="str">
        <f>IFERROR(VLOOKUP(TableHandbook[[#This Row],[UDC]],TableSTRPSCENG[],7,FALSE),"")</f>
        <v/>
      </c>
      <c r="V79" s="232" t="str">
        <f>IFERROR(VLOOKUP(TableHandbook[[#This Row],[UDC]],TableSTRPSCHLP[],7,FALSE),"")</f>
        <v/>
      </c>
      <c r="W79" s="232" t="str">
        <f>IFERROR(VLOOKUP(TableHandbook[[#This Row],[UDC]],TableSTRPSCHUS[],7,FALSE),"")</f>
        <v/>
      </c>
      <c r="X79" s="232" t="str">
        <f>IFERROR(VLOOKUP(TableHandbook[[#This Row],[UDC]],TableSTRPSCMAT[],7,FALSE),"")</f>
        <v/>
      </c>
      <c r="Y79" s="232" t="str">
        <f>IFERROR(VLOOKUP(TableHandbook[[#This Row],[UDC]],TableSTRPSCSCI[],7,FALSE),"")</f>
        <v/>
      </c>
      <c r="Z79" s="232" t="str">
        <f>IFERROR(VLOOKUP(TableHandbook[[#This Row],[UDC]],TableSTRPSCFON[],7,FALSE),"")</f>
        <v/>
      </c>
      <c r="AA79" s="233" t="str">
        <f>IFERROR(VLOOKUP(TableHandbook[[#This Row],[UDC]],TableGCTESOL[],7,FALSE),"")</f>
        <v/>
      </c>
      <c r="AB79" s="232" t="str">
        <f>IFERROR(VLOOKUP(TableHandbook[[#This Row],[UDC]],TableMCTESOL[],7,FALSE),"")</f>
        <v/>
      </c>
      <c r="AC79" s="232" t="str">
        <f>IFERROR(VLOOKUP(TableHandbook[[#This Row],[UDC]],TableMCAPLING[],7,FALSE),"")</f>
        <v/>
      </c>
      <c r="AD79" s="233" t="str">
        <f>IFERROR(VLOOKUP(TableHandbook[[#This Row],[UDC]],TableGCEDHE[],7,FALSE),"")</f>
        <v/>
      </c>
      <c r="AE79" s="232" t="str">
        <f>IFERROR(VLOOKUP(TableHandbook[[#This Row],[UDC]],TableGCEDUC[],7,FALSE),"")</f>
        <v/>
      </c>
      <c r="AF79" s="232" t="str">
        <f>IFERROR(VLOOKUP(TableHandbook[[#This Row],[UDC]],TableGDEDUC[],7,FALSE),"")</f>
        <v/>
      </c>
      <c r="AG79" s="232" t="str">
        <f>IFERROR(VLOOKUP(TableHandbook[[#This Row],[UDC]],TableMJRPEDUPR[],7,FALSE),"")</f>
        <v/>
      </c>
      <c r="AH79" s="232" t="str">
        <f>IFERROR(VLOOKUP(TableHandbook[[#This Row],[UDC]],TableMJRPEDUSC[],7,FALSE),"")</f>
        <v/>
      </c>
      <c r="AI79" s="233" t="str">
        <f>IFERROR(VLOOKUP(TableHandbook[[#This Row],[UDC]],TableMCEDUC[],7,FALSE),"")</f>
        <v/>
      </c>
      <c r="AJ79" s="232" t="str">
        <f>IFERROR(VLOOKUP(TableHandbook[[#This Row],[UDC]],TableSPPECULIN[],7,FALSE),"")</f>
        <v/>
      </c>
      <c r="AK79" s="232" t="str">
        <f>IFERROR(VLOOKUP(TableHandbook[[#This Row],[UDC]],TableSPPELNTCH[],7,FALSE),"")</f>
        <v/>
      </c>
      <c r="AL79" s="232" t="str">
        <f>IFERROR(VLOOKUP(TableHandbook[[#This Row],[UDC]],TableSPPESTEME[],7,FALSE),"")</f>
        <v/>
      </c>
    </row>
    <row r="80" spans="1:38" x14ac:dyDescent="0.25">
      <c r="A80" s="2" t="s">
        <v>320</v>
      </c>
      <c r="B80" s="3"/>
      <c r="C80" s="3"/>
      <c r="D80" s="2" t="s">
        <v>418</v>
      </c>
      <c r="E80" s="3">
        <v>25</v>
      </c>
      <c r="F80" s="54" t="s">
        <v>412</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31"/>
      <c r="P80" s="233" t="str">
        <f>IFERROR(VLOOKUP(TableHandbook[[#This Row],[UDC]],TableMCTEACH[],7,FALSE),"")</f>
        <v/>
      </c>
      <c r="Q80" s="232" t="str">
        <f>IFERROR(VLOOKUP(TableHandbook[[#This Row],[UDC]],TableMJRPTCHEC[],7,FALSE),"")</f>
        <v/>
      </c>
      <c r="R80" s="232" t="str">
        <f>IFERROR(VLOOKUP(TableHandbook[[#This Row],[UDC]],TableMJRPTCHPR[],7,FALSE),"")</f>
        <v/>
      </c>
      <c r="S80" s="232" t="str">
        <f>IFERROR(VLOOKUP(TableHandbook[[#This Row],[UDC]],TableMJRPTCHSC[],7,FALSE),"")</f>
        <v/>
      </c>
      <c r="T80" s="232" t="str">
        <f>IFERROR(VLOOKUP(TableHandbook[[#This Row],[UDC]],TableSTRPSCART[],7,FALSE),"")</f>
        <v/>
      </c>
      <c r="U80" s="232" t="str">
        <f>IFERROR(VLOOKUP(TableHandbook[[#This Row],[UDC]],TableSTRPSCENG[],7,FALSE),"")</f>
        <v/>
      </c>
      <c r="V80" s="232" t="str">
        <f>IFERROR(VLOOKUP(TableHandbook[[#This Row],[UDC]],TableSTRPSCHLP[],7,FALSE),"")</f>
        <v/>
      </c>
      <c r="W80" s="232" t="str">
        <f>IFERROR(VLOOKUP(TableHandbook[[#This Row],[UDC]],TableSTRPSCHUS[],7,FALSE),"")</f>
        <v/>
      </c>
      <c r="X80" s="232" t="str">
        <f>IFERROR(VLOOKUP(TableHandbook[[#This Row],[UDC]],TableSTRPSCMAT[],7,FALSE),"")</f>
        <v/>
      </c>
      <c r="Y80" s="232" t="str">
        <f>IFERROR(VLOOKUP(TableHandbook[[#This Row],[UDC]],TableSTRPSCSCI[],7,FALSE),"")</f>
        <v/>
      </c>
      <c r="Z80" s="232" t="str">
        <f>IFERROR(VLOOKUP(TableHandbook[[#This Row],[UDC]],TableSTRPSCFON[],7,FALSE),"")</f>
        <v/>
      </c>
      <c r="AA80" s="233" t="str">
        <f>IFERROR(VLOOKUP(TableHandbook[[#This Row],[UDC]],TableGCTESOL[],7,FALSE),"")</f>
        <v/>
      </c>
      <c r="AB80" s="232" t="str">
        <f>IFERROR(VLOOKUP(TableHandbook[[#This Row],[UDC]],TableMCTESOL[],7,FALSE),"")</f>
        <v/>
      </c>
      <c r="AC80" s="232" t="str">
        <f>IFERROR(VLOOKUP(TableHandbook[[#This Row],[UDC]],TableMCAPLING[],7,FALSE),"")</f>
        <v/>
      </c>
      <c r="AD80" s="233" t="str">
        <f>IFERROR(VLOOKUP(TableHandbook[[#This Row],[UDC]],TableGCEDHE[],7,FALSE),"")</f>
        <v/>
      </c>
      <c r="AE80" s="232" t="str">
        <f>IFERROR(VLOOKUP(TableHandbook[[#This Row],[UDC]],TableGCEDUC[],7,FALSE),"")</f>
        <v/>
      </c>
      <c r="AF80" s="232" t="str">
        <f>IFERROR(VLOOKUP(TableHandbook[[#This Row],[UDC]],TableGDEDUC[],7,FALSE),"")</f>
        <v/>
      </c>
      <c r="AG80" s="232" t="str">
        <f>IFERROR(VLOOKUP(TableHandbook[[#This Row],[UDC]],TableMJRPEDUPR[],7,FALSE),"")</f>
        <v/>
      </c>
      <c r="AH80" s="232" t="str">
        <f>IFERROR(VLOOKUP(TableHandbook[[#This Row],[UDC]],TableMJRPEDUSC[],7,FALSE),"")</f>
        <v/>
      </c>
      <c r="AI80" s="233" t="str">
        <f>IFERROR(VLOOKUP(TableHandbook[[#This Row],[UDC]],TableMCEDUC[],7,FALSE),"")</f>
        <v/>
      </c>
      <c r="AJ80" s="232" t="str">
        <f>IFERROR(VLOOKUP(TableHandbook[[#This Row],[UDC]],TableSPPECULIN[],7,FALSE),"")</f>
        <v/>
      </c>
      <c r="AK80" s="232" t="str">
        <f>IFERROR(VLOOKUP(TableHandbook[[#This Row],[UDC]],TableSPPELNTCH[],7,FALSE),"")</f>
        <v/>
      </c>
      <c r="AL80" s="232" t="str">
        <f>IFERROR(VLOOKUP(TableHandbook[[#This Row],[UDC]],TableSPPESTEME[],7,FALSE),"")</f>
        <v/>
      </c>
    </row>
    <row r="81" spans="1:38" x14ac:dyDescent="0.25">
      <c r="A81" s="262" t="s">
        <v>236</v>
      </c>
      <c r="B81" s="3">
        <v>1</v>
      </c>
      <c r="C81" s="3"/>
      <c r="D81" s="2" t="s">
        <v>419</v>
      </c>
      <c r="E81" s="3">
        <v>25</v>
      </c>
      <c r="F81" s="54" t="s">
        <v>336</v>
      </c>
      <c r="G81" s="55" t="s">
        <v>420</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421</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31" t="s">
        <v>422</v>
      </c>
      <c r="P81" s="233" t="str">
        <f>IFERROR(VLOOKUP(TableHandbook[[#This Row],[UDC]],TableMCTEACH[],7,FALSE),"")</f>
        <v/>
      </c>
      <c r="Q81" s="232" t="str">
        <f>IFERROR(VLOOKUP(TableHandbook[[#This Row],[UDC]],TableMJRPTCHEC[],7,FALSE),"")</f>
        <v/>
      </c>
      <c r="R81" s="232" t="str">
        <f>IFERROR(VLOOKUP(TableHandbook[[#This Row],[UDC]],TableMJRPTCHPR[],7,FALSE),"")</f>
        <v/>
      </c>
      <c r="S81" s="232" t="str">
        <f>IFERROR(VLOOKUP(TableHandbook[[#This Row],[UDC]],TableMJRPTCHSC[],7,FALSE),"")</f>
        <v/>
      </c>
      <c r="T81" s="232" t="str">
        <f>IFERROR(VLOOKUP(TableHandbook[[#This Row],[UDC]],TableSTRPSCART[],7,FALSE),"")</f>
        <v/>
      </c>
      <c r="U81" s="232" t="str">
        <f>IFERROR(VLOOKUP(TableHandbook[[#This Row],[UDC]],TableSTRPSCENG[],7,FALSE),"")</f>
        <v/>
      </c>
      <c r="V81" s="232" t="str">
        <f>IFERROR(VLOOKUP(TableHandbook[[#This Row],[UDC]],TableSTRPSCHLP[],7,FALSE),"")</f>
        <v/>
      </c>
      <c r="W81" s="232" t="str">
        <f>IFERROR(VLOOKUP(TableHandbook[[#This Row],[UDC]],TableSTRPSCHUS[],7,FALSE),"")</f>
        <v/>
      </c>
      <c r="X81" s="232" t="str">
        <f>IFERROR(VLOOKUP(TableHandbook[[#This Row],[UDC]],TableSTRPSCMAT[],7,FALSE),"")</f>
        <v/>
      </c>
      <c r="Y81" s="232" t="str">
        <f>IFERROR(VLOOKUP(TableHandbook[[#This Row],[UDC]],TableSTRPSCSCI[],7,FALSE),"")</f>
        <v/>
      </c>
      <c r="Z81" s="232" t="str">
        <f>IFERROR(VLOOKUP(TableHandbook[[#This Row],[UDC]],TableSTRPSCFON[],7,FALSE),"")</f>
        <v/>
      </c>
      <c r="AA81" s="233" t="str">
        <f>IFERROR(VLOOKUP(TableHandbook[[#This Row],[UDC]],TableGCTESOL[],7,FALSE),"")</f>
        <v/>
      </c>
      <c r="AB81" s="232" t="str">
        <f>IFERROR(VLOOKUP(TableHandbook[[#This Row],[UDC]],TableMCTESOL[],7,FALSE),"")</f>
        <v/>
      </c>
      <c r="AC81" s="232" t="str">
        <f>IFERROR(VLOOKUP(TableHandbook[[#This Row],[UDC]],TableMCAPLING[],7,FALSE),"")</f>
        <v/>
      </c>
      <c r="AD81" s="233" t="str">
        <f>IFERROR(VLOOKUP(TableHandbook[[#This Row],[UDC]],TableGCEDHE[],7,FALSE),"")</f>
        <v/>
      </c>
      <c r="AE81" s="232" t="str">
        <f>IFERROR(VLOOKUP(TableHandbook[[#This Row],[UDC]],TableGCEDUC[],7,FALSE),"")</f>
        <v/>
      </c>
      <c r="AF81" s="232" t="str">
        <f>IFERROR(VLOOKUP(TableHandbook[[#This Row],[UDC]],TableGDEDUC[],7,FALSE),"")</f>
        <v/>
      </c>
      <c r="AG81" s="232" t="str">
        <f>IFERROR(VLOOKUP(TableHandbook[[#This Row],[UDC]],TableMJRPEDUPR[],7,FALSE),"")</f>
        <v/>
      </c>
      <c r="AH81" s="232" t="str">
        <f>IFERROR(VLOOKUP(TableHandbook[[#This Row],[UDC]],TableMJRPEDUSC[],7,FALSE),"")</f>
        <v/>
      </c>
      <c r="AI81" s="233" t="str">
        <f>IFERROR(VLOOKUP(TableHandbook[[#This Row],[UDC]],TableMCEDUC[],7,FALSE),"")</f>
        <v>Option</v>
      </c>
      <c r="AJ81" s="232" t="str">
        <f>IFERROR(VLOOKUP(TableHandbook[[#This Row],[UDC]],TableSPPECULIN[],7,FALSE),"")</f>
        <v/>
      </c>
      <c r="AK81" s="232" t="str">
        <f>IFERROR(VLOOKUP(TableHandbook[[#This Row],[UDC]],TableSPPELNTCH[],7,FALSE),"")</f>
        <v/>
      </c>
      <c r="AL81" s="232" t="str">
        <f>IFERROR(VLOOKUP(TableHandbook[[#This Row],[UDC]],TableSPPESTEME[],7,FALSE),"")</f>
        <v/>
      </c>
    </row>
    <row r="82" spans="1:38" x14ac:dyDescent="0.25">
      <c r="A82" s="2" t="s">
        <v>423</v>
      </c>
      <c r="B82" s="3">
        <v>2</v>
      </c>
      <c r="C82" s="3"/>
      <c r="D82" s="2" t="s">
        <v>424</v>
      </c>
      <c r="E82" s="3">
        <v>25</v>
      </c>
      <c r="F82" s="54" t="s">
        <v>336</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31"/>
      <c r="P82" s="233" t="str">
        <f>IFERROR(VLOOKUP(TableHandbook[[#This Row],[UDC]],TableMCTEACH[],7,FALSE),"")</f>
        <v/>
      </c>
      <c r="Q82" s="232" t="str">
        <f>IFERROR(VLOOKUP(TableHandbook[[#This Row],[UDC]],TableMJRPTCHEC[],7,FALSE),"")</f>
        <v/>
      </c>
      <c r="R82" s="232" t="str">
        <f>IFERROR(VLOOKUP(TableHandbook[[#This Row],[UDC]],TableMJRPTCHPR[],7,FALSE),"")</f>
        <v/>
      </c>
      <c r="S82" s="232" t="str">
        <f>IFERROR(VLOOKUP(TableHandbook[[#This Row],[UDC]],TableMJRPTCHSC[],7,FALSE),"")</f>
        <v/>
      </c>
      <c r="T82" s="232" t="str">
        <f>IFERROR(VLOOKUP(TableHandbook[[#This Row],[UDC]],TableSTRPSCART[],7,FALSE),"")</f>
        <v/>
      </c>
      <c r="U82" s="232" t="str">
        <f>IFERROR(VLOOKUP(TableHandbook[[#This Row],[UDC]],TableSTRPSCENG[],7,FALSE),"")</f>
        <v/>
      </c>
      <c r="V82" s="232" t="str">
        <f>IFERROR(VLOOKUP(TableHandbook[[#This Row],[UDC]],TableSTRPSCHLP[],7,FALSE),"")</f>
        <v/>
      </c>
      <c r="W82" s="232" t="str">
        <f>IFERROR(VLOOKUP(TableHandbook[[#This Row],[UDC]],TableSTRPSCHUS[],7,FALSE),"")</f>
        <v/>
      </c>
      <c r="X82" s="232" t="str">
        <f>IFERROR(VLOOKUP(TableHandbook[[#This Row],[UDC]],TableSTRPSCMAT[],7,FALSE),"")</f>
        <v/>
      </c>
      <c r="Y82" s="232" t="str">
        <f>IFERROR(VLOOKUP(TableHandbook[[#This Row],[UDC]],TableSTRPSCSCI[],7,FALSE),"")</f>
        <v/>
      </c>
      <c r="Z82" s="232" t="str">
        <f>IFERROR(VLOOKUP(TableHandbook[[#This Row],[UDC]],TableSTRPSCFON[],7,FALSE),"")</f>
        <v/>
      </c>
      <c r="AA82" s="233" t="str">
        <f>IFERROR(VLOOKUP(TableHandbook[[#This Row],[UDC]],TableGCTESOL[],7,FALSE),"")</f>
        <v/>
      </c>
      <c r="AB82" s="232" t="str">
        <f>IFERROR(VLOOKUP(TableHandbook[[#This Row],[UDC]],TableMCTESOL[],7,FALSE),"")</f>
        <v>Core</v>
      </c>
      <c r="AC82" s="232" t="str">
        <f>IFERROR(VLOOKUP(TableHandbook[[#This Row],[UDC]],TableMCAPLING[],7,FALSE),"")</f>
        <v>Core</v>
      </c>
      <c r="AD82" s="233" t="str">
        <f>IFERROR(VLOOKUP(TableHandbook[[#This Row],[UDC]],TableGCEDHE[],7,FALSE),"")</f>
        <v/>
      </c>
      <c r="AE82" s="232" t="str">
        <f>IFERROR(VLOOKUP(TableHandbook[[#This Row],[UDC]],TableGCEDUC[],7,FALSE),"")</f>
        <v/>
      </c>
      <c r="AF82" s="232" t="str">
        <f>IFERROR(VLOOKUP(TableHandbook[[#This Row],[UDC]],TableGDEDUC[],7,FALSE),"")</f>
        <v/>
      </c>
      <c r="AG82" s="232" t="str">
        <f>IFERROR(VLOOKUP(TableHandbook[[#This Row],[UDC]],TableMJRPEDUPR[],7,FALSE),"")</f>
        <v/>
      </c>
      <c r="AH82" s="232" t="str">
        <f>IFERROR(VLOOKUP(TableHandbook[[#This Row],[UDC]],TableMJRPEDUSC[],7,FALSE),"")</f>
        <v/>
      </c>
      <c r="AI82" s="233" t="str">
        <f>IFERROR(VLOOKUP(TableHandbook[[#This Row],[UDC]],TableMCEDUC[],7,FALSE),"")</f>
        <v/>
      </c>
      <c r="AJ82" s="232" t="str">
        <f>IFERROR(VLOOKUP(TableHandbook[[#This Row],[UDC]],TableSPPECULIN[],7,FALSE),"")</f>
        <v/>
      </c>
      <c r="AK82" s="232" t="str">
        <f>IFERROR(VLOOKUP(TableHandbook[[#This Row],[UDC]],TableSPPELNTCH[],7,FALSE),"")</f>
        <v/>
      </c>
      <c r="AL82" s="232" t="str">
        <f>IFERROR(VLOOKUP(TableHandbook[[#This Row],[UDC]],TableSPPESTEME[],7,FALSE),"")</f>
        <v/>
      </c>
    </row>
    <row r="83" spans="1:38" x14ac:dyDescent="0.25">
      <c r="A83" s="2" t="s">
        <v>180</v>
      </c>
      <c r="B83" s="3">
        <v>2</v>
      </c>
      <c r="C83" s="3"/>
      <c r="D83" s="2" t="s">
        <v>425</v>
      </c>
      <c r="E83" s="3">
        <v>25</v>
      </c>
      <c r="F83" s="54" t="s">
        <v>336</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31"/>
      <c r="P83" s="233" t="str">
        <f>IFERROR(VLOOKUP(TableHandbook[[#This Row],[UDC]],TableMCTEACH[],7,FALSE),"")</f>
        <v/>
      </c>
      <c r="Q83" s="232" t="str">
        <f>IFERROR(VLOOKUP(TableHandbook[[#This Row],[UDC]],TableMJRPTCHEC[],7,FALSE),"")</f>
        <v/>
      </c>
      <c r="R83" s="232" t="str">
        <f>IFERROR(VLOOKUP(TableHandbook[[#This Row],[UDC]],TableMJRPTCHPR[],7,FALSE),"")</f>
        <v/>
      </c>
      <c r="S83" s="232" t="str">
        <f>IFERROR(VLOOKUP(TableHandbook[[#This Row],[UDC]],TableMJRPTCHSC[],7,FALSE),"")</f>
        <v/>
      </c>
      <c r="T83" s="232" t="str">
        <f>IFERROR(VLOOKUP(TableHandbook[[#This Row],[UDC]],TableSTRPSCART[],7,FALSE),"")</f>
        <v/>
      </c>
      <c r="U83" s="232" t="str">
        <f>IFERROR(VLOOKUP(TableHandbook[[#This Row],[UDC]],TableSTRPSCENG[],7,FALSE),"")</f>
        <v/>
      </c>
      <c r="V83" s="232" t="str">
        <f>IFERROR(VLOOKUP(TableHandbook[[#This Row],[UDC]],TableSTRPSCHLP[],7,FALSE),"")</f>
        <v/>
      </c>
      <c r="W83" s="232" t="str">
        <f>IFERROR(VLOOKUP(TableHandbook[[#This Row],[UDC]],TableSTRPSCHUS[],7,FALSE),"")</f>
        <v/>
      </c>
      <c r="X83" s="232" t="str">
        <f>IFERROR(VLOOKUP(TableHandbook[[#This Row],[UDC]],TableSTRPSCMAT[],7,FALSE),"")</f>
        <v/>
      </c>
      <c r="Y83" s="232" t="str">
        <f>IFERROR(VLOOKUP(TableHandbook[[#This Row],[UDC]],TableSTRPSCSCI[],7,FALSE),"")</f>
        <v/>
      </c>
      <c r="Z83" s="232" t="str">
        <f>IFERROR(VLOOKUP(TableHandbook[[#This Row],[UDC]],TableSTRPSCFON[],7,FALSE),"")</f>
        <v/>
      </c>
      <c r="AA83" s="233" t="str">
        <f>IFERROR(VLOOKUP(TableHandbook[[#This Row],[UDC]],TableGCTESOL[],7,FALSE),"")</f>
        <v/>
      </c>
      <c r="AB83" s="232" t="str">
        <f>IFERROR(VLOOKUP(TableHandbook[[#This Row],[UDC]],TableMCTESOL[],7,FALSE),"")</f>
        <v>Core</v>
      </c>
      <c r="AC83" s="232" t="str">
        <f>IFERROR(VLOOKUP(TableHandbook[[#This Row],[UDC]],TableMCAPLING[],7,FALSE),"")</f>
        <v>Core</v>
      </c>
      <c r="AD83" s="233" t="str">
        <f>IFERROR(VLOOKUP(TableHandbook[[#This Row],[UDC]],TableGCEDHE[],7,FALSE),"")</f>
        <v/>
      </c>
      <c r="AE83" s="232" t="str">
        <f>IFERROR(VLOOKUP(TableHandbook[[#This Row],[UDC]],TableGCEDUC[],7,FALSE),"")</f>
        <v/>
      </c>
      <c r="AF83" s="232" t="str">
        <f>IFERROR(VLOOKUP(TableHandbook[[#This Row],[UDC]],TableGDEDUC[],7,FALSE),"")</f>
        <v/>
      </c>
      <c r="AG83" s="232" t="str">
        <f>IFERROR(VLOOKUP(TableHandbook[[#This Row],[UDC]],TableMJRPEDUPR[],7,FALSE),"")</f>
        <v/>
      </c>
      <c r="AH83" s="232" t="str">
        <f>IFERROR(VLOOKUP(TableHandbook[[#This Row],[UDC]],TableMJRPEDUSC[],7,FALSE),"")</f>
        <v/>
      </c>
      <c r="AI83" s="233" t="str">
        <f>IFERROR(VLOOKUP(TableHandbook[[#This Row],[UDC]],TableMCEDUC[],7,FALSE),"")</f>
        <v>Option</v>
      </c>
      <c r="AJ83" s="232" t="str">
        <f>IFERROR(VLOOKUP(TableHandbook[[#This Row],[UDC]],TableSPPECULIN[],7,FALSE),"")</f>
        <v>Core</v>
      </c>
      <c r="AK83" s="232" t="str">
        <f>IFERROR(VLOOKUP(TableHandbook[[#This Row],[UDC]],TableSPPELNTCH[],7,FALSE),"")</f>
        <v/>
      </c>
      <c r="AL83" s="232" t="str">
        <f>IFERROR(VLOOKUP(TableHandbook[[#This Row],[UDC]],TableSPPESTEME[],7,FALSE),"")</f>
        <v/>
      </c>
    </row>
    <row r="84" spans="1:38" x14ac:dyDescent="0.25">
      <c r="A84" s="2" t="s">
        <v>426</v>
      </c>
      <c r="B84" s="3">
        <v>0</v>
      </c>
      <c r="C84" s="3"/>
      <c r="D84" s="2" t="s">
        <v>427</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31"/>
      <c r="P84" s="233" t="str">
        <f>IFERROR(VLOOKUP(TableHandbook[[#This Row],[UDC]],TableMCTEACH[],7,FALSE),"")</f>
        <v/>
      </c>
      <c r="Q84" s="232" t="str">
        <f>IFERROR(VLOOKUP(TableHandbook[[#This Row],[UDC]],TableMJRPTCHEC[],7,FALSE),"")</f>
        <v/>
      </c>
      <c r="R84" s="232" t="str">
        <f>IFERROR(VLOOKUP(TableHandbook[[#This Row],[UDC]],TableMJRPTCHPR[],7,FALSE),"")</f>
        <v/>
      </c>
      <c r="S84" s="232" t="str">
        <f>IFERROR(VLOOKUP(TableHandbook[[#This Row],[UDC]],TableMJRPTCHSC[],7,FALSE),"")</f>
        <v/>
      </c>
      <c r="T84" s="232" t="str">
        <f>IFERROR(VLOOKUP(TableHandbook[[#This Row],[UDC]],TableSTRPSCART[],7,FALSE),"")</f>
        <v/>
      </c>
      <c r="U84" s="232" t="str">
        <f>IFERROR(VLOOKUP(TableHandbook[[#This Row],[UDC]],TableSTRPSCENG[],7,FALSE),"")</f>
        <v/>
      </c>
      <c r="V84" s="232" t="str">
        <f>IFERROR(VLOOKUP(TableHandbook[[#This Row],[UDC]],TableSTRPSCHLP[],7,FALSE),"")</f>
        <v/>
      </c>
      <c r="W84" s="232" t="str">
        <f>IFERROR(VLOOKUP(TableHandbook[[#This Row],[UDC]],TableSTRPSCHUS[],7,FALSE),"")</f>
        <v/>
      </c>
      <c r="X84" s="232" t="str">
        <f>IFERROR(VLOOKUP(TableHandbook[[#This Row],[UDC]],TableSTRPSCMAT[],7,FALSE),"")</f>
        <v/>
      </c>
      <c r="Y84" s="232" t="str">
        <f>IFERROR(VLOOKUP(TableHandbook[[#This Row],[UDC]],TableSTRPSCSCI[],7,FALSE),"")</f>
        <v/>
      </c>
      <c r="Z84" s="232" t="str">
        <f>IFERROR(VLOOKUP(TableHandbook[[#This Row],[UDC]],TableSTRPSCFON[],7,FALSE),"")</f>
        <v/>
      </c>
      <c r="AA84" s="233" t="str">
        <f>IFERROR(VLOOKUP(TableHandbook[[#This Row],[UDC]],TableGCTESOL[],7,FALSE),"")</f>
        <v/>
      </c>
      <c r="AB84" s="232" t="str">
        <f>IFERROR(VLOOKUP(TableHandbook[[#This Row],[UDC]],TableMCTESOL[],7,FALSE),"")</f>
        <v/>
      </c>
      <c r="AC84" s="232" t="str">
        <f>IFERROR(VLOOKUP(TableHandbook[[#This Row],[UDC]],TableMCAPLING[],7,FALSE),"")</f>
        <v/>
      </c>
      <c r="AD84" s="233" t="str">
        <f>IFERROR(VLOOKUP(TableHandbook[[#This Row],[UDC]],TableGCEDHE[],7,FALSE),"")</f>
        <v/>
      </c>
      <c r="AE84" s="232" t="str">
        <f>IFERROR(VLOOKUP(TableHandbook[[#This Row],[UDC]],TableGCEDUC[],7,FALSE),"")</f>
        <v/>
      </c>
      <c r="AF84" s="232" t="str">
        <f>IFERROR(VLOOKUP(TableHandbook[[#This Row],[UDC]],TableGDEDUC[],7,FALSE),"")</f>
        <v>Core</v>
      </c>
      <c r="AG84" s="232" t="str">
        <f>IFERROR(VLOOKUP(TableHandbook[[#This Row],[UDC]],TableMJRPEDUPR[],7,FALSE),"")</f>
        <v/>
      </c>
      <c r="AH84" s="232" t="str">
        <f>IFERROR(VLOOKUP(TableHandbook[[#This Row],[UDC]],TableMJRPEDUSC[],7,FALSE),"")</f>
        <v/>
      </c>
      <c r="AI84" s="233" t="str">
        <f>IFERROR(VLOOKUP(TableHandbook[[#This Row],[UDC]],TableMCEDUC[],7,FALSE),"")</f>
        <v/>
      </c>
      <c r="AJ84" s="232" t="str">
        <f>IFERROR(VLOOKUP(TableHandbook[[#This Row],[UDC]],TableSPPECULIN[],7,FALSE),"")</f>
        <v/>
      </c>
      <c r="AK84" s="232" t="str">
        <f>IFERROR(VLOOKUP(TableHandbook[[#This Row],[UDC]],TableSPPELNTCH[],7,FALSE),"")</f>
        <v/>
      </c>
      <c r="AL84" s="232" t="str">
        <f>IFERROR(VLOOKUP(TableHandbook[[#This Row],[UDC]],TableSPPESTEME[],7,FALSE),"")</f>
        <v/>
      </c>
    </row>
    <row r="85" spans="1:38" x14ac:dyDescent="0.25">
      <c r="A85" s="2" t="s">
        <v>304</v>
      </c>
      <c r="B85" s="3">
        <v>1</v>
      </c>
      <c r="C85" s="3"/>
      <c r="D85" s="2" t="s">
        <v>238</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31"/>
      <c r="P85" s="233" t="str">
        <f>IFERROR(VLOOKUP(TableHandbook[[#This Row],[UDC]],TableMCTEACH[],7,FALSE),"")</f>
        <v/>
      </c>
      <c r="Q85" s="232" t="str">
        <f>IFERROR(VLOOKUP(TableHandbook[[#This Row],[UDC]],TableMJRPTCHEC[],7,FALSE),"")</f>
        <v/>
      </c>
      <c r="R85" s="232" t="str">
        <f>IFERROR(VLOOKUP(TableHandbook[[#This Row],[UDC]],TableMJRPTCHPR[],7,FALSE),"")</f>
        <v/>
      </c>
      <c r="S85" s="232" t="str">
        <f>IFERROR(VLOOKUP(TableHandbook[[#This Row],[UDC]],TableMJRPTCHSC[],7,FALSE),"")</f>
        <v/>
      </c>
      <c r="T85" s="232" t="str">
        <f>IFERROR(VLOOKUP(TableHandbook[[#This Row],[UDC]],TableSTRPSCART[],7,FALSE),"")</f>
        <v/>
      </c>
      <c r="U85" s="232" t="str">
        <f>IFERROR(VLOOKUP(TableHandbook[[#This Row],[UDC]],TableSTRPSCENG[],7,FALSE),"")</f>
        <v/>
      </c>
      <c r="V85" s="232" t="str">
        <f>IFERROR(VLOOKUP(TableHandbook[[#This Row],[UDC]],TableSTRPSCHLP[],7,FALSE),"")</f>
        <v/>
      </c>
      <c r="W85" s="232" t="str">
        <f>IFERROR(VLOOKUP(TableHandbook[[#This Row],[UDC]],TableSTRPSCHUS[],7,FALSE),"")</f>
        <v/>
      </c>
      <c r="X85" s="232" t="str">
        <f>IFERROR(VLOOKUP(TableHandbook[[#This Row],[UDC]],TableSTRPSCMAT[],7,FALSE),"")</f>
        <v/>
      </c>
      <c r="Y85" s="232" t="str">
        <f>IFERROR(VLOOKUP(TableHandbook[[#This Row],[UDC]],TableSTRPSCSCI[],7,FALSE),"")</f>
        <v/>
      </c>
      <c r="Z85" s="232" t="str">
        <f>IFERROR(VLOOKUP(TableHandbook[[#This Row],[UDC]],TableSTRPSCFON[],7,FALSE),"")</f>
        <v/>
      </c>
      <c r="AA85" s="233" t="str">
        <f>IFERROR(VLOOKUP(TableHandbook[[#This Row],[UDC]],TableGCTESOL[],7,FALSE),"")</f>
        <v/>
      </c>
      <c r="AB85" s="232" t="str">
        <f>IFERROR(VLOOKUP(TableHandbook[[#This Row],[UDC]],TableMCTESOL[],7,FALSE),"")</f>
        <v/>
      </c>
      <c r="AC85" s="232" t="str">
        <f>IFERROR(VLOOKUP(TableHandbook[[#This Row],[UDC]],TableMCAPLING[],7,FALSE),"")</f>
        <v/>
      </c>
      <c r="AD85" s="233" t="str">
        <f>IFERROR(VLOOKUP(TableHandbook[[#This Row],[UDC]],TableGCEDHE[],7,FALSE),"")</f>
        <v/>
      </c>
      <c r="AE85" s="232" t="str">
        <f>IFERROR(VLOOKUP(TableHandbook[[#This Row],[UDC]],TableGCEDUC[],7,FALSE),"")</f>
        <v/>
      </c>
      <c r="AF85" s="232" t="str">
        <f>IFERROR(VLOOKUP(TableHandbook[[#This Row],[UDC]],TableGDEDUC[],7,FALSE),"")</f>
        <v>Core</v>
      </c>
      <c r="AG85" s="232" t="str">
        <f>IFERROR(VLOOKUP(TableHandbook[[#This Row],[UDC]],TableMJRPEDUPR[],7,FALSE),"")</f>
        <v/>
      </c>
      <c r="AH85" s="232" t="str">
        <f>IFERROR(VLOOKUP(TableHandbook[[#This Row],[UDC]],TableMJRPEDUSC[],7,FALSE),"")</f>
        <v/>
      </c>
      <c r="AI85" s="233" t="str">
        <f>IFERROR(VLOOKUP(TableHandbook[[#This Row],[UDC]],TableMCEDUC[],7,FALSE),"")</f>
        <v/>
      </c>
      <c r="AJ85" s="232" t="str">
        <f>IFERROR(VLOOKUP(TableHandbook[[#This Row],[UDC]],TableSPPECULIN[],7,FALSE),"")</f>
        <v/>
      </c>
      <c r="AK85" s="232" t="str">
        <f>IFERROR(VLOOKUP(TableHandbook[[#This Row],[UDC]],TableSPPELNTCH[],7,FALSE),"")</f>
        <v/>
      </c>
      <c r="AL85" s="232" t="str">
        <f>IFERROR(VLOOKUP(TableHandbook[[#This Row],[UDC]],TableSPPESTEME[],7,FALSE),"")</f>
        <v/>
      </c>
    </row>
    <row r="86" spans="1:38" x14ac:dyDescent="0.25">
      <c r="A86" s="2" t="s">
        <v>306</v>
      </c>
      <c r="B86" s="3">
        <v>1</v>
      </c>
      <c r="C86" s="3"/>
      <c r="D86" s="2" t="s">
        <v>240</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31"/>
      <c r="P86" s="233" t="str">
        <f>IFERROR(VLOOKUP(TableHandbook[[#This Row],[UDC]],TableMCTEACH[],7,FALSE),"")</f>
        <v/>
      </c>
      <c r="Q86" s="232" t="str">
        <f>IFERROR(VLOOKUP(TableHandbook[[#This Row],[UDC]],TableMJRPTCHEC[],7,FALSE),"")</f>
        <v/>
      </c>
      <c r="R86" s="232" t="str">
        <f>IFERROR(VLOOKUP(TableHandbook[[#This Row],[UDC]],TableMJRPTCHPR[],7,FALSE),"")</f>
        <v/>
      </c>
      <c r="S86" s="232" t="str">
        <f>IFERROR(VLOOKUP(TableHandbook[[#This Row],[UDC]],TableMJRPTCHSC[],7,FALSE),"")</f>
        <v/>
      </c>
      <c r="T86" s="232" t="str">
        <f>IFERROR(VLOOKUP(TableHandbook[[#This Row],[UDC]],TableSTRPSCART[],7,FALSE),"")</f>
        <v/>
      </c>
      <c r="U86" s="232" t="str">
        <f>IFERROR(VLOOKUP(TableHandbook[[#This Row],[UDC]],TableSTRPSCENG[],7,FALSE),"")</f>
        <v/>
      </c>
      <c r="V86" s="232" t="str">
        <f>IFERROR(VLOOKUP(TableHandbook[[#This Row],[UDC]],TableSTRPSCHLP[],7,FALSE),"")</f>
        <v/>
      </c>
      <c r="W86" s="232" t="str">
        <f>IFERROR(VLOOKUP(TableHandbook[[#This Row],[UDC]],TableSTRPSCHUS[],7,FALSE),"")</f>
        <v/>
      </c>
      <c r="X86" s="232" t="str">
        <f>IFERROR(VLOOKUP(TableHandbook[[#This Row],[UDC]],TableSTRPSCMAT[],7,FALSE),"")</f>
        <v/>
      </c>
      <c r="Y86" s="232" t="str">
        <f>IFERROR(VLOOKUP(TableHandbook[[#This Row],[UDC]],TableSTRPSCSCI[],7,FALSE),"")</f>
        <v/>
      </c>
      <c r="Z86" s="232" t="str">
        <f>IFERROR(VLOOKUP(TableHandbook[[#This Row],[UDC]],TableSTRPSCFON[],7,FALSE),"")</f>
        <v/>
      </c>
      <c r="AA86" s="233" t="str">
        <f>IFERROR(VLOOKUP(TableHandbook[[#This Row],[UDC]],TableGCTESOL[],7,FALSE),"")</f>
        <v/>
      </c>
      <c r="AB86" s="232" t="str">
        <f>IFERROR(VLOOKUP(TableHandbook[[#This Row],[UDC]],TableMCTESOL[],7,FALSE),"")</f>
        <v/>
      </c>
      <c r="AC86" s="232" t="str">
        <f>IFERROR(VLOOKUP(TableHandbook[[#This Row],[UDC]],TableMCAPLING[],7,FALSE),"")</f>
        <v/>
      </c>
      <c r="AD86" s="233" t="str">
        <f>IFERROR(VLOOKUP(TableHandbook[[#This Row],[UDC]],TableGCEDHE[],7,FALSE),"")</f>
        <v/>
      </c>
      <c r="AE86" s="232" t="str">
        <f>IFERROR(VLOOKUP(TableHandbook[[#This Row],[UDC]],TableGCEDUC[],7,FALSE),"")</f>
        <v/>
      </c>
      <c r="AF86" s="232" t="str">
        <f>IFERROR(VLOOKUP(TableHandbook[[#This Row],[UDC]],TableGDEDUC[],7,FALSE),"")</f>
        <v>Core</v>
      </c>
      <c r="AG86" s="232" t="str">
        <f>IFERROR(VLOOKUP(TableHandbook[[#This Row],[UDC]],TableMJRPEDUPR[],7,FALSE),"")</f>
        <v/>
      </c>
      <c r="AH86" s="232" t="str">
        <f>IFERROR(VLOOKUP(TableHandbook[[#This Row],[UDC]],TableMJRPEDUSC[],7,FALSE),"")</f>
        <v/>
      </c>
      <c r="AI86" s="233" t="str">
        <f>IFERROR(VLOOKUP(TableHandbook[[#This Row],[UDC]],TableMCEDUC[],7,FALSE),"")</f>
        <v/>
      </c>
      <c r="AJ86" s="232" t="str">
        <f>IFERROR(VLOOKUP(TableHandbook[[#This Row],[UDC]],TableSPPECULIN[],7,FALSE),"")</f>
        <v/>
      </c>
      <c r="AK86" s="232" t="str">
        <f>IFERROR(VLOOKUP(TableHandbook[[#This Row],[UDC]],TableSPPELNTCH[],7,FALSE),"")</f>
        <v/>
      </c>
      <c r="AL86" s="232" t="str">
        <f>IFERROR(VLOOKUP(TableHandbook[[#This Row],[UDC]],TableSPPESTEME[],7,FALSE),"")</f>
        <v/>
      </c>
    </row>
    <row r="87" spans="1:38" x14ac:dyDescent="0.25">
      <c r="A87" s="2" t="s">
        <v>122</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31"/>
      <c r="P87" s="233" t="str">
        <f>IFERROR(VLOOKUP(TableHandbook[[#This Row],[UDC]],TableMCTEACH[],7,FALSE),"")</f>
        <v>Core</v>
      </c>
      <c r="Q87" s="232" t="str">
        <f>IFERROR(VLOOKUP(TableHandbook[[#This Row],[UDC]],TableMJRPTCHEC[],7,FALSE),"")</f>
        <v/>
      </c>
      <c r="R87" s="232" t="str">
        <f>IFERROR(VLOOKUP(TableHandbook[[#This Row],[UDC]],TableMJRPTCHPR[],7,FALSE),"")</f>
        <v/>
      </c>
      <c r="S87" s="232" t="str">
        <f>IFERROR(VLOOKUP(TableHandbook[[#This Row],[UDC]],TableMJRPTCHSC[],7,FALSE),"")</f>
        <v/>
      </c>
      <c r="T87" s="232" t="str">
        <f>IFERROR(VLOOKUP(TableHandbook[[#This Row],[UDC]],TableSTRPSCART[],7,FALSE),"")</f>
        <v/>
      </c>
      <c r="U87" s="232" t="str">
        <f>IFERROR(VLOOKUP(TableHandbook[[#This Row],[UDC]],TableSTRPSCENG[],7,FALSE),"")</f>
        <v/>
      </c>
      <c r="V87" s="232" t="str">
        <f>IFERROR(VLOOKUP(TableHandbook[[#This Row],[UDC]],TableSTRPSCHLP[],7,FALSE),"")</f>
        <v/>
      </c>
      <c r="W87" s="232" t="str">
        <f>IFERROR(VLOOKUP(TableHandbook[[#This Row],[UDC]],TableSTRPSCHUS[],7,FALSE),"")</f>
        <v/>
      </c>
      <c r="X87" s="232" t="str">
        <f>IFERROR(VLOOKUP(TableHandbook[[#This Row],[UDC]],TableSTRPSCMAT[],7,FALSE),"")</f>
        <v/>
      </c>
      <c r="Y87" s="232" t="str">
        <f>IFERROR(VLOOKUP(TableHandbook[[#This Row],[UDC]],TableSTRPSCSCI[],7,FALSE),"")</f>
        <v/>
      </c>
      <c r="Z87" s="232" t="str">
        <f>IFERROR(VLOOKUP(TableHandbook[[#This Row],[UDC]],TableSTRPSCFON[],7,FALSE),"")</f>
        <v/>
      </c>
      <c r="AA87" s="233" t="str">
        <f>IFERROR(VLOOKUP(TableHandbook[[#This Row],[UDC]],TableGCTESOL[],7,FALSE),"")</f>
        <v/>
      </c>
      <c r="AB87" s="232" t="str">
        <f>IFERROR(VLOOKUP(TableHandbook[[#This Row],[UDC]],TableMCTESOL[],7,FALSE),"")</f>
        <v/>
      </c>
      <c r="AC87" s="232" t="str">
        <f>IFERROR(VLOOKUP(TableHandbook[[#This Row],[UDC]],TableMCAPLING[],7,FALSE),"")</f>
        <v/>
      </c>
      <c r="AD87" s="233" t="str">
        <f>IFERROR(VLOOKUP(TableHandbook[[#This Row],[UDC]],TableGCEDHE[],7,FALSE),"")</f>
        <v/>
      </c>
      <c r="AE87" s="232" t="str">
        <f>IFERROR(VLOOKUP(TableHandbook[[#This Row],[UDC]],TableGCEDUC[],7,FALSE),"")</f>
        <v/>
      </c>
      <c r="AF87" s="232" t="str">
        <f>IFERROR(VLOOKUP(TableHandbook[[#This Row],[UDC]],TableGDEDUC[],7,FALSE),"")</f>
        <v/>
      </c>
      <c r="AG87" s="232" t="str">
        <f>IFERROR(VLOOKUP(TableHandbook[[#This Row],[UDC]],TableMJRPEDUPR[],7,FALSE),"")</f>
        <v/>
      </c>
      <c r="AH87" s="232" t="str">
        <f>IFERROR(VLOOKUP(TableHandbook[[#This Row],[UDC]],TableMJRPEDUSC[],7,FALSE),"")</f>
        <v/>
      </c>
      <c r="AI87" s="233" t="str">
        <f>IFERROR(VLOOKUP(TableHandbook[[#This Row],[UDC]],TableMCEDUC[],7,FALSE),"")</f>
        <v/>
      </c>
      <c r="AJ87" s="232" t="str">
        <f>IFERROR(VLOOKUP(TableHandbook[[#This Row],[UDC]],TableSPPECULIN[],7,FALSE),"")</f>
        <v/>
      </c>
      <c r="AK87" s="232" t="str">
        <f>IFERROR(VLOOKUP(TableHandbook[[#This Row],[UDC]],TableSPPELNTCH[],7,FALSE),"")</f>
        <v/>
      </c>
      <c r="AL87" s="232" t="str">
        <f>IFERROR(VLOOKUP(TableHandbook[[#This Row],[UDC]],TableSPPESTEME[],7,FALSE),"")</f>
        <v/>
      </c>
    </row>
    <row r="88" spans="1:38" x14ac:dyDescent="0.25">
      <c r="A88" s="2" t="s">
        <v>125</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31"/>
      <c r="P88" s="233" t="str">
        <f>IFERROR(VLOOKUP(TableHandbook[[#This Row],[UDC]],TableMCTEACH[],7,FALSE),"")</f>
        <v>Core</v>
      </c>
      <c r="Q88" s="232" t="str">
        <f>IFERROR(VLOOKUP(TableHandbook[[#This Row],[UDC]],TableMJRPTCHEC[],7,FALSE),"")</f>
        <v/>
      </c>
      <c r="R88" s="232" t="str">
        <f>IFERROR(VLOOKUP(TableHandbook[[#This Row],[UDC]],TableMJRPTCHPR[],7,FALSE),"")</f>
        <v/>
      </c>
      <c r="S88" s="232" t="str">
        <f>IFERROR(VLOOKUP(TableHandbook[[#This Row],[UDC]],TableMJRPTCHSC[],7,FALSE),"")</f>
        <v/>
      </c>
      <c r="T88" s="232" t="str">
        <f>IFERROR(VLOOKUP(TableHandbook[[#This Row],[UDC]],TableSTRPSCART[],7,FALSE),"")</f>
        <v/>
      </c>
      <c r="U88" s="232" t="str">
        <f>IFERROR(VLOOKUP(TableHandbook[[#This Row],[UDC]],TableSTRPSCENG[],7,FALSE),"")</f>
        <v/>
      </c>
      <c r="V88" s="232" t="str">
        <f>IFERROR(VLOOKUP(TableHandbook[[#This Row],[UDC]],TableSTRPSCHLP[],7,FALSE),"")</f>
        <v/>
      </c>
      <c r="W88" s="232" t="str">
        <f>IFERROR(VLOOKUP(TableHandbook[[#This Row],[UDC]],TableSTRPSCHUS[],7,FALSE),"")</f>
        <v/>
      </c>
      <c r="X88" s="232" t="str">
        <f>IFERROR(VLOOKUP(TableHandbook[[#This Row],[UDC]],TableSTRPSCMAT[],7,FALSE),"")</f>
        <v/>
      </c>
      <c r="Y88" s="232" t="str">
        <f>IFERROR(VLOOKUP(TableHandbook[[#This Row],[UDC]],TableSTRPSCSCI[],7,FALSE),"")</f>
        <v/>
      </c>
      <c r="Z88" s="232" t="str">
        <f>IFERROR(VLOOKUP(TableHandbook[[#This Row],[UDC]],TableSTRPSCFON[],7,FALSE),"")</f>
        <v/>
      </c>
      <c r="AA88" s="233" t="str">
        <f>IFERROR(VLOOKUP(TableHandbook[[#This Row],[UDC]],TableGCTESOL[],7,FALSE),"")</f>
        <v/>
      </c>
      <c r="AB88" s="232" t="str">
        <f>IFERROR(VLOOKUP(TableHandbook[[#This Row],[UDC]],TableMCTESOL[],7,FALSE),"")</f>
        <v/>
      </c>
      <c r="AC88" s="232" t="str">
        <f>IFERROR(VLOOKUP(TableHandbook[[#This Row],[UDC]],TableMCAPLING[],7,FALSE),"")</f>
        <v/>
      </c>
      <c r="AD88" s="233" t="str">
        <f>IFERROR(VLOOKUP(TableHandbook[[#This Row],[UDC]],TableGCEDHE[],7,FALSE),"")</f>
        <v/>
      </c>
      <c r="AE88" s="232" t="str">
        <f>IFERROR(VLOOKUP(TableHandbook[[#This Row],[UDC]],TableGCEDUC[],7,FALSE),"")</f>
        <v/>
      </c>
      <c r="AF88" s="232" t="str">
        <f>IFERROR(VLOOKUP(TableHandbook[[#This Row],[UDC]],TableGDEDUC[],7,FALSE),"")</f>
        <v/>
      </c>
      <c r="AG88" s="232" t="str">
        <f>IFERROR(VLOOKUP(TableHandbook[[#This Row],[UDC]],TableMJRPEDUPR[],7,FALSE),"")</f>
        <v/>
      </c>
      <c r="AH88" s="232" t="str">
        <f>IFERROR(VLOOKUP(TableHandbook[[#This Row],[UDC]],TableMJRPEDUSC[],7,FALSE),"")</f>
        <v/>
      </c>
      <c r="AI88" s="233" t="str">
        <f>IFERROR(VLOOKUP(TableHandbook[[#This Row],[UDC]],TableMCEDUC[],7,FALSE),"")</f>
        <v/>
      </c>
      <c r="AJ88" s="232" t="str">
        <f>IFERROR(VLOOKUP(TableHandbook[[#This Row],[UDC]],TableSPPECULIN[],7,FALSE),"")</f>
        <v/>
      </c>
      <c r="AK88" s="232" t="str">
        <f>IFERROR(VLOOKUP(TableHandbook[[#This Row],[UDC]],TableSPPELNTCH[],7,FALSE),"")</f>
        <v/>
      </c>
      <c r="AL88" s="232" t="str">
        <f>IFERROR(VLOOKUP(TableHandbook[[#This Row],[UDC]],TableSPPESTEME[],7,FALSE),"")</f>
        <v/>
      </c>
    </row>
    <row r="89" spans="1:38" x14ac:dyDescent="0.25">
      <c r="A89" s="2" t="s">
        <v>127</v>
      </c>
      <c r="B89" s="3">
        <v>2</v>
      </c>
      <c r="C89" s="3"/>
      <c r="D89" s="2" t="s">
        <v>126</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31"/>
      <c r="P89" s="233" t="str">
        <f>IFERROR(VLOOKUP(TableHandbook[[#This Row],[UDC]],TableMCTEACH[],7,FALSE),"")</f>
        <v>Core</v>
      </c>
      <c r="Q89" s="232" t="str">
        <f>IFERROR(VLOOKUP(TableHandbook[[#This Row],[UDC]],TableMJRPTCHEC[],7,FALSE),"")</f>
        <v/>
      </c>
      <c r="R89" s="232" t="str">
        <f>IFERROR(VLOOKUP(TableHandbook[[#This Row],[UDC]],TableMJRPTCHPR[],7,FALSE),"")</f>
        <v/>
      </c>
      <c r="S89" s="232" t="str">
        <f>IFERROR(VLOOKUP(TableHandbook[[#This Row],[UDC]],TableMJRPTCHSC[],7,FALSE),"")</f>
        <v/>
      </c>
      <c r="T89" s="232" t="str">
        <f>IFERROR(VLOOKUP(TableHandbook[[#This Row],[UDC]],TableSTRPSCART[],7,FALSE),"")</f>
        <v/>
      </c>
      <c r="U89" s="232" t="str">
        <f>IFERROR(VLOOKUP(TableHandbook[[#This Row],[UDC]],TableSTRPSCENG[],7,FALSE),"")</f>
        <v/>
      </c>
      <c r="V89" s="232" t="str">
        <f>IFERROR(VLOOKUP(TableHandbook[[#This Row],[UDC]],TableSTRPSCHLP[],7,FALSE),"")</f>
        <v/>
      </c>
      <c r="W89" s="232" t="str">
        <f>IFERROR(VLOOKUP(TableHandbook[[#This Row],[UDC]],TableSTRPSCHUS[],7,FALSE),"")</f>
        <v/>
      </c>
      <c r="X89" s="232" t="str">
        <f>IFERROR(VLOOKUP(TableHandbook[[#This Row],[UDC]],TableSTRPSCMAT[],7,FALSE),"")</f>
        <v/>
      </c>
      <c r="Y89" s="232" t="str">
        <f>IFERROR(VLOOKUP(TableHandbook[[#This Row],[UDC]],TableSTRPSCSCI[],7,FALSE),"")</f>
        <v/>
      </c>
      <c r="Z89" s="232" t="str">
        <f>IFERROR(VLOOKUP(TableHandbook[[#This Row],[UDC]],TableSTRPSCFON[],7,FALSE),"")</f>
        <v/>
      </c>
      <c r="AA89" s="233" t="str">
        <f>IFERROR(VLOOKUP(TableHandbook[[#This Row],[UDC]],TableGCTESOL[],7,FALSE),"")</f>
        <v/>
      </c>
      <c r="AB89" s="232" t="str">
        <f>IFERROR(VLOOKUP(TableHandbook[[#This Row],[UDC]],TableMCTESOL[],7,FALSE),"")</f>
        <v/>
      </c>
      <c r="AC89" s="232" t="str">
        <f>IFERROR(VLOOKUP(TableHandbook[[#This Row],[UDC]],TableMCAPLING[],7,FALSE),"")</f>
        <v/>
      </c>
      <c r="AD89" s="233" t="str">
        <f>IFERROR(VLOOKUP(TableHandbook[[#This Row],[UDC]],TableGCEDHE[],7,FALSE),"")</f>
        <v/>
      </c>
      <c r="AE89" s="232" t="str">
        <f>IFERROR(VLOOKUP(TableHandbook[[#This Row],[UDC]],TableGCEDUC[],7,FALSE),"")</f>
        <v/>
      </c>
      <c r="AF89" s="232" t="str">
        <f>IFERROR(VLOOKUP(TableHandbook[[#This Row],[UDC]],TableGDEDUC[],7,FALSE),"")</f>
        <v/>
      </c>
      <c r="AG89" s="232" t="str">
        <f>IFERROR(VLOOKUP(TableHandbook[[#This Row],[UDC]],TableMJRPEDUPR[],7,FALSE),"")</f>
        <v/>
      </c>
      <c r="AH89" s="232" t="str">
        <f>IFERROR(VLOOKUP(TableHandbook[[#This Row],[UDC]],TableMJRPEDUSC[],7,FALSE),"")</f>
        <v/>
      </c>
      <c r="AI89" s="233" t="str">
        <f>IFERROR(VLOOKUP(TableHandbook[[#This Row],[UDC]],TableMCEDUC[],7,FALSE),"")</f>
        <v/>
      </c>
      <c r="AJ89" s="232" t="str">
        <f>IFERROR(VLOOKUP(TableHandbook[[#This Row],[UDC]],TableSPPECULIN[],7,FALSE),"")</f>
        <v/>
      </c>
      <c r="AK89" s="232" t="str">
        <f>IFERROR(VLOOKUP(TableHandbook[[#This Row],[UDC]],TableSPPELNTCH[],7,FALSE),"")</f>
        <v/>
      </c>
      <c r="AL89" s="232" t="str">
        <f>IFERROR(VLOOKUP(TableHandbook[[#This Row],[UDC]],TableSPPESTEME[],7,FALSE),"")</f>
        <v/>
      </c>
    </row>
    <row r="90" spans="1:38" x14ac:dyDescent="0.25">
      <c r="A90" s="2" t="s">
        <v>428</v>
      </c>
      <c r="B90" s="3">
        <v>0</v>
      </c>
      <c r="C90" s="3"/>
      <c r="D90" s="2" t="s">
        <v>429</v>
      </c>
      <c r="E90" s="3"/>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31"/>
      <c r="P90" s="233" t="str">
        <f>IFERROR(VLOOKUP(TableHandbook[[#This Row],[UDC]],TableMCTEACH[],7,FALSE),"")</f>
        <v/>
      </c>
      <c r="Q90" s="232" t="str">
        <f>IFERROR(VLOOKUP(TableHandbook[[#This Row],[UDC]],TableMJRPTCHEC[],7,FALSE),"")</f>
        <v/>
      </c>
      <c r="R90" s="232" t="str">
        <f>IFERROR(VLOOKUP(TableHandbook[[#This Row],[UDC]],TableMJRPTCHPR[],7,FALSE),"")</f>
        <v/>
      </c>
      <c r="S90" s="232" t="str">
        <f>IFERROR(VLOOKUP(TableHandbook[[#This Row],[UDC]],TableMJRPTCHSC[],7,FALSE),"")</f>
        <v>Option</v>
      </c>
      <c r="T90" s="232" t="str">
        <f>IFERROR(VLOOKUP(TableHandbook[[#This Row],[UDC]],TableSTRPSCART[],7,FALSE),"")</f>
        <v/>
      </c>
      <c r="U90" s="232" t="str">
        <f>IFERROR(VLOOKUP(TableHandbook[[#This Row],[UDC]],TableSTRPSCENG[],7,FALSE),"")</f>
        <v/>
      </c>
      <c r="V90" s="232" t="str">
        <f>IFERROR(VLOOKUP(TableHandbook[[#This Row],[UDC]],TableSTRPSCHLP[],7,FALSE),"")</f>
        <v/>
      </c>
      <c r="W90" s="232" t="str">
        <f>IFERROR(VLOOKUP(TableHandbook[[#This Row],[UDC]],TableSTRPSCHUS[],7,FALSE),"")</f>
        <v/>
      </c>
      <c r="X90" s="232" t="str">
        <f>IFERROR(VLOOKUP(TableHandbook[[#This Row],[UDC]],TableSTRPSCMAT[],7,FALSE),"")</f>
        <v/>
      </c>
      <c r="Y90" s="232" t="str">
        <f>IFERROR(VLOOKUP(TableHandbook[[#This Row],[UDC]],TableSTRPSCSCI[],7,FALSE),"")</f>
        <v/>
      </c>
      <c r="Z90" s="232" t="str">
        <f>IFERROR(VLOOKUP(TableHandbook[[#This Row],[UDC]],TableSTRPSCFON[],7,FALSE),"")</f>
        <v/>
      </c>
      <c r="AA90" s="233" t="str">
        <f>IFERROR(VLOOKUP(TableHandbook[[#This Row],[UDC]],TableGCTESOL[],7,FALSE),"")</f>
        <v/>
      </c>
      <c r="AB90" s="232" t="str">
        <f>IFERROR(VLOOKUP(TableHandbook[[#This Row],[UDC]],TableMCTESOL[],7,FALSE),"")</f>
        <v/>
      </c>
      <c r="AC90" s="232" t="str">
        <f>IFERROR(VLOOKUP(TableHandbook[[#This Row],[UDC]],TableMCAPLING[],7,FALSE),"")</f>
        <v/>
      </c>
      <c r="AD90" s="233" t="str">
        <f>IFERROR(VLOOKUP(TableHandbook[[#This Row],[UDC]],TableGCEDHE[],7,FALSE),"")</f>
        <v/>
      </c>
      <c r="AE90" s="232" t="str">
        <f>IFERROR(VLOOKUP(TableHandbook[[#This Row],[UDC]],TableGCEDUC[],7,FALSE),"")</f>
        <v>Option</v>
      </c>
      <c r="AF90" s="232" t="str">
        <f>IFERROR(VLOOKUP(TableHandbook[[#This Row],[UDC]],TableGDEDUC[],7,FALSE),"")</f>
        <v/>
      </c>
      <c r="AG90" s="232" t="str">
        <f>IFERROR(VLOOKUP(TableHandbook[[#This Row],[UDC]],TableMJRPEDUPR[],7,FALSE),"")</f>
        <v/>
      </c>
      <c r="AH90" s="232" t="str">
        <f>IFERROR(VLOOKUP(TableHandbook[[#This Row],[UDC]],TableMJRPEDUSC[],7,FALSE),"")</f>
        <v>Option</v>
      </c>
      <c r="AI90" s="233" t="str">
        <f>IFERROR(VLOOKUP(TableHandbook[[#This Row],[UDC]],TableMCEDUC[],7,FALSE),"")</f>
        <v/>
      </c>
      <c r="AJ90" s="232" t="str">
        <f>IFERROR(VLOOKUP(TableHandbook[[#This Row],[UDC]],TableSPPECULIN[],7,FALSE),"")</f>
        <v/>
      </c>
      <c r="AK90" s="232" t="str">
        <f>IFERROR(VLOOKUP(TableHandbook[[#This Row],[UDC]],TableSPPELNTCH[],7,FALSE),"")</f>
        <v/>
      </c>
      <c r="AL90" s="232" t="str">
        <f>IFERROR(VLOOKUP(TableHandbook[[#This Row],[UDC]],TableSPPESTEME[],7,FALSE),"")</f>
        <v/>
      </c>
    </row>
    <row r="91" spans="1:38" x14ac:dyDescent="0.25">
      <c r="A91" s="2" t="s">
        <v>207</v>
      </c>
      <c r="B91" s="3">
        <v>0</v>
      </c>
      <c r="C91" s="3"/>
      <c r="D91" s="2" t="s">
        <v>430</v>
      </c>
      <c r="E91" s="3">
        <v>25</v>
      </c>
      <c r="F91" s="54" t="s">
        <v>412</v>
      </c>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31"/>
      <c r="P91" s="233" t="str">
        <f>IFERROR(VLOOKUP(TableHandbook[[#This Row],[UDC]],TableMCTEACH[],7,FALSE),"")</f>
        <v/>
      </c>
      <c r="Q91" s="232" t="str">
        <f>IFERROR(VLOOKUP(TableHandbook[[#This Row],[UDC]],TableMJRPTCHEC[],7,FALSE),"")</f>
        <v/>
      </c>
      <c r="R91" s="232" t="str">
        <f>IFERROR(VLOOKUP(TableHandbook[[#This Row],[UDC]],TableMJRPTCHPR[],7,FALSE),"")</f>
        <v/>
      </c>
      <c r="S91" s="232" t="str">
        <f>IFERROR(VLOOKUP(TableHandbook[[#This Row],[UDC]],TableMJRPTCHSC[],7,FALSE),"")</f>
        <v/>
      </c>
      <c r="T91" s="232" t="str">
        <f>IFERROR(VLOOKUP(TableHandbook[[#This Row],[UDC]],TableSTRPSCART[],7,FALSE),"")</f>
        <v/>
      </c>
      <c r="U91" s="232" t="str">
        <f>IFERROR(VLOOKUP(TableHandbook[[#This Row],[UDC]],TableSTRPSCENG[],7,FALSE),"")</f>
        <v/>
      </c>
      <c r="V91" s="232" t="str">
        <f>IFERROR(VLOOKUP(TableHandbook[[#This Row],[UDC]],TableSTRPSCHLP[],7,FALSE),"")</f>
        <v/>
      </c>
      <c r="W91" s="232" t="str">
        <f>IFERROR(VLOOKUP(TableHandbook[[#This Row],[UDC]],TableSTRPSCHUS[],7,FALSE),"")</f>
        <v/>
      </c>
      <c r="X91" s="232" t="str">
        <f>IFERROR(VLOOKUP(TableHandbook[[#This Row],[UDC]],TableSTRPSCMAT[],7,FALSE),"")</f>
        <v/>
      </c>
      <c r="Y91" s="232" t="str">
        <f>IFERROR(VLOOKUP(TableHandbook[[#This Row],[UDC]],TableSTRPSCSCI[],7,FALSE),"")</f>
        <v/>
      </c>
      <c r="Z91" s="232" t="str">
        <f>IFERROR(VLOOKUP(TableHandbook[[#This Row],[UDC]],TableSTRPSCFON[],7,FALSE),"")</f>
        <v/>
      </c>
      <c r="AA91" s="233" t="str">
        <f>IFERROR(VLOOKUP(TableHandbook[[#This Row],[UDC]],TableGCTESOL[],7,FALSE),"")</f>
        <v/>
      </c>
      <c r="AB91" s="232" t="str">
        <f>IFERROR(VLOOKUP(TableHandbook[[#This Row],[UDC]],TableMCTESOL[],7,FALSE),"")</f>
        <v/>
      </c>
      <c r="AC91" s="232" t="str">
        <f>IFERROR(VLOOKUP(TableHandbook[[#This Row],[UDC]],TableMCAPLING[],7,FALSE),"")</f>
        <v/>
      </c>
      <c r="AD91" s="233" t="str">
        <f>IFERROR(VLOOKUP(TableHandbook[[#This Row],[UDC]],TableGCEDHE[],7,FALSE),"")</f>
        <v/>
      </c>
      <c r="AE91" s="232" t="str">
        <f>IFERROR(VLOOKUP(TableHandbook[[#This Row],[UDC]],TableGCEDUC[],7,FALSE),"")</f>
        <v/>
      </c>
      <c r="AF91" s="232" t="str">
        <f>IFERROR(VLOOKUP(TableHandbook[[#This Row],[UDC]],TableGDEDUC[],7,FALSE),"")</f>
        <v/>
      </c>
      <c r="AG91" s="232" t="str">
        <f>IFERROR(VLOOKUP(TableHandbook[[#This Row],[UDC]],TableMJRPEDUPR[],7,FALSE),"")</f>
        <v/>
      </c>
      <c r="AH91" s="232" t="str">
        <f>IFERROR(VLOOKUP(TableHandbook[[#This Row],[UDC]],TableMJRPEDUSC[],7,FALSE),"")</f>
        <v/>
      </c>
      <c r="AI91" s="233" t="str">
        <f>IFERROR(VLOOKUP(TableHandbook[[#This Row],[UDC]],TableMCEDUC[],7,FALSE),"")</f>
        <v/>
      </c>
      <c r="AJ91" s="232" t="str">
        <f>IFERROR(VLOOKUP(TableHandbook[[#This Row],[UDC]],TableSPPECULIN[],7,FALSE),"")</f>
        <v/>
      </c>
      <c r="AK91" s="232" t="str">
        <f>IFERROR(VLOOKUP(TableHandbook[[#This Row],[UDC]],TableSPPELNTCH[],7,FALSE),"")</f>
        <v/>
      </c>
      <c r="AL91" s="232" t="str">
        <f>IFERROR(VLOOKUP(TableHandbook[[#This Row],[UDC]],TableSPPESTEME[],7,FALSE),"")</f>
        <v/>
      </c>
    </row>
    <row r="92" spans="1:38" x14ac:dyDescent="0.25">
      <c r="A92" s="2" t="s">
        <v>138</v>
      </c>
      <c r="B92" s="3">
        <v>1</v>
      </c>
      <c r="C92" s="3"/>
      <c r="D92" s="2" t="s">
        <v>137</v>
      </c>
      <c r="E92" s="3">
        <v>100</v>
      </c>
      <c r="F92" s="54"/>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31"/>
      <c r="P92" s="233" t="str">
        <f>IFERROR(VLOOKUP(TableHandbook[[#This Row],[UDC]],TableMCTEACH[],7,FALSE),"")</f>
        <v/>
      </c>
      <c r="Q92" s="232" t="str">
        <f>IFERROR(VLOOKUP(TableHandbook[[#This Row],[UDC]],TableMJRPTCHEC[],7,FALSE),"")</f>
        <v/>
      </c>
      <c r="R92" s="232" t="str">
        <f>IFERROR(VLOOKUP(TableHandbook[[#This Row],[UDC]],TableMJRPTCHPR[],7,FALSE),"")</f>
        <v/>
      </c>
      <c r="S92" s="232" t="str">
        <f>IFERROR(VLOOKUP(TableHandbook[[#This Row],[UDC]],TableMJRPTCHSC[],7,FALSE),"")</f>
        <v/>
      </c>
      <c r="T92" s="232" t="str">
        <f>IFERROR(VLOOKUP(TableHandbook[[#This Row],[UDC]],TableSTRPSCART[],7,FALSE),"")</f>
        <v/>
      </c>
      <c r="U92" s="232" t="str">
        <f>IFERROR(VLOOKUP(TableHandbook[[#This Row],[UDC]],TableSTRPSCENG[],7,FALSE),"")</f>
        <v/>
      </c>
      <c r="V92" s="232" t="str">
        <f>IFERROR(VLOOKUP(TableHandbook[[#This Row],[UDC]],TableSTRPSCHLP[],7,FALSE),"")</f>
        <v/>
      </c>
      <c r="W92" s="232" t="str">
        <f>IFERROR(VLOOKUP(TableHandbook[[#This Row],[UDC]],TableSTRPSCHUS[],7,FALSE),"")</f>
        <v/>
      </c>
      <c r="X92" s="232" t="str">
        <f>IFERROR(VLOOKUP(TableHandbook[[#This Row],[UDC]],TableSTRPSCMAT[],7,FALSE),"")</f>
        <v/>
      </c>
      <c r="Y92" s="232" t="str">
        <f>IFERROR(VLOOKUP(TableHandbook[[#This Row],[UDC]],TableSTRPSCSCI[],7,FALSE),"")</f>
        <v/>
      </c>
      <c r="Z92" s="232" t="str">
        <f>IFERROR(VLOOKUP(TableHandbook[[#This Row],[UDC]],TableSTRPSCFON[],7,FALSE),"")</f>
        <v/>
      </c>
      <c r="AA92" s="233" t="str">
        <f>IFERROR(VLOOKUP(TableHandbook[[#This Row],[UDC]],TableGCTESOL[],7,FALSE),"")</f>
        <v/>
      </c>
      <c r="AB92" s="232" t="str">
        <f>IFERROR(VLOOKUP(TableHandbook[[#This Row],[UDC]],TableMCTESOL[],7,FALSE),"")</f>
        <v/>
      </c>
      <c r="AC92" s="232" t="str">
        <f>IFERROR(VLOOKUP(TableHandbook[[#This Row],[UDC]],TableMCAPLING[],7,FALSE),"")</f>
        <v/>
      </c>
      <c r="AD92" s="233" t="str">
        <f>IFERROR(VLOOKUP(TableHandbook[[#This Row],[UDC]],TableGCEDHE[],7,FALSE),"")</f>
        <v/>
      </c>
      <c r="AE92" s="232" t="str">
        <f>IFERROR(VLOOKUP(TableHandbook[[#This Row],[UDC]],TableGCEDUC[],7,FALSE),"")</f>
        <v/>
      </c>
      <c r="AF92" s="232" t="str">
        <f>IFERROR(VLOOKUP(TableHandbook[[#This Row],[UDC]],TableGDEDUC[],7,FALSE),"")</f>
        <v/>
      </c>
      <c r="AG92" s="232" t="str">
        <f>IFERROR(VLOOKUP(TableHandbook[[#This Row],[UDC]],TableMJRPEDUPR[],7,FALSE),"")</f>
        <v/>
      </c>
      <c r="AH92" s="232" t="str">
        <f>IFERROR(VLOOKUP(TableHandbook[[#This Row],[UDC]],TableMJRPEDUSC[],7,FALSE),"")</f>
        <v/>
      </c>
      <c r="AI92" s="233" t="str">
        <f>IFERROR(VLOOKUP(TableHandbook[[#This Row],[UDC]],TableMCEDUC[],7,FALSE),"")</f>
        <v>Option</v>
      </c>
      <c r="AJ92" s="232" t="str">
        <f>IFERROR(VLOOKUP(TableHandbook[[#This Row],[UDC]],TableSPPECULIN[],7,FALSE),"")</f>
        <v/>
      </c>
      <c r="AK92" s="232" t="str">
        <f>IFERROR(VLOOKUP(TableHandbook[[#This Row],[UDC]],TableSPPELNTCH[],7,FALSE),"")</f>
        <v/>
      </c>
      <c r="AL92" s="232" t="str">
        <f>IFERROR(VLOOKUP(TableHandbook[[#This Row],[UDC]],TableSPPESTEME[],7,FALSE),"")</f>
        <v/>
      </c>
    </row>
    <row r="93" spans="1:38" x14ac:dyDescent="0.25">
      <c r="A93" s="2" t="s">
        <v>140</v>
      </c>
      <c r="B93" s="3">
        <v>1</v>
      </c>
      <c r="C93" s="3"/>
      <c r="D93" s="2" t="s">
        <v>139</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31"/>
      <c r="P93" s="233" t="str">
        <f>IFERROR(VLOOKUP(TableHandbook[[#This Row],[UDC]],TableMCTEACH[],7,FALSE),"")</f>
        <v/>
      </c>
      <c r="Q93" s="232" t="str">
        <f>IFERROR(VLOOKUP(TableHandbook[[#This Row],[UDC]],TableMJRPTCHEC[],7,FALSE),"")</f>
        <v/>
      </c>
      <c r="R93" s="232" t="str">
        <f>IFERROR(VLOOKUP(TableHandbook[[#This Row],[UDC]],TableMJRPTCHPR[],7,FALSE),"")</f>
        <v/>
      </c>
      <c r="S93" s="232" t="str">
        <f>IFERROR(VLOOKUP(TableHandbook[[#This Row],[UDC]],TableMJRPTCHSC[],7,FALSE),"")</f>
        <v/>
      </c>
      <c r="T93" s="232" t="str">
        <f>IFERROR(VLOOKUP(TableHandbook[[#This Row],[UDC]],TableSTRPSCART[],7,FALSE),"")</f>
        <v/>
      </c>
      <c r="U93" s="232" t="str">
        <f>IFERROR(VLOOKUP(TableHandbook[[#This Row],[UDC]],TableSTRPSCENG[],7,FALSE),"")</f>
        <v/>
      </c>
      <c r="V93" s="232" t="str">
        <f>IFERROR(VLOOKUP(TableHandbook[[#This Row],[UDC]],TableSTRPSCHLP[],7,FALSE),"")</f>
        <v/>
      </c>
      <c r="W93" s="232" t="str">
        <f>IFERROR(VLOOKUP(TableHandbook[[#This Row],[UDC]],TableSTRPSCHUS[],7,FALSE),"")</f>
        <v/>
      </c>
      <c r="X93" s="232" t="str">
        <f>IFERROR(VLOOKUP(TableHandbook[[#This Row],[UDC]],TableSTRPSCMAT[],7,FALSE),"")</f>
        <v/>
      </c>
      <c r="Y93" s="232" t="str">
        <f>IFERROR(VLOOKUP(TableHandbook[[#This Row],[UDC]],TableSTRPSCSCI[],7,FALSE),"")</f>
        <v/>
      </c>
      <c r="Z93" s="232" t="str">
        <f>IFERROR(VLOOKUP(TableHandbook[[#This Row],[UDC]],TableSTRPSCFON[],7,FALSE),"")</f>
        <v/>
      </c>
      <c r="AA93" s="233" t="str">
        <f>IFERROR(VLOOKUP(TableHandbook[[#This Row],[UDC]],TableGCTESOL[],7,FALSE),"")</f>
        <v/>
      </c>
      <c r="AB93" s="232" t="str">
        <f>IFERROR(VLOOKUP(TableHandbook[[#This Row],[UDC]],TableMCTESOL[],7,FALSE),"")</f>
        <v/>
      </c>
      <c r="AC93" s="232" t="str">
        <f>IFERROR(VLOOKUP(TableHandbook[[#This Row],[UDC]],TableMCAPLING[],7,FALSE),"")</f>
        <v/>
      </c>
      <c r="AD93" s="233" t="str">
        <f>IFERROR(VLOOKUP(TableHandbook[[#This Row],[UDC]],TableGCEDHE[],7,FALSE),"")</f>
        <v/>
      </c>
      <c r="AE93" s="232" t="str">
        <f>IFERROR(VLOOKUP(TableHandbook[[#This Row],[UDC]],TableGCEDUC[],7,FALSE),"")</f>
        <v/>
      </c>
      <c r="AF93" s="232" t="str">
        <f>IFERROR(VLOOKUP(TableHandbook[[#This Row],[UDC]],TableGDEDUC[],7,FALSE),"")</f>
        <v/>
      </c>
      <c r="AG93" s="232" t="str">
        <f>IFERROR(VLOOKUP(TableHandbook[[#This Row],[UDC]],TableMJRPEDUPR[],7,FALSE),"")</f>
        <v/>
      </c>
      <c r="AH93" s="232" t="str">
        <f>IFERROR(VLOOKUP(TableHandbook[[#This Row],[UDC]],TableMJRPEDUSC[],7,FALSE),"")</f>
        <v/>
      </c>
      <c r="AI93" s="233" t="str">
        <f>IFERROR(VLOOKUP(TableHandbook[[#This Row],[UDC]],TableMCEDUC[],7,FALSE),"")</f>
        <v>Option</v>
      </c>
      <c r="AJ93" s="232" t="str">
        <f>IFERROR(VLOOKUP(TableHandbook[[#This Row],[UDC]],TableSPPECULIN[],7,FALSE),"")</f>
        <v/>
      </c>
      <c r="AK93" s="232" t="str">
        <f>IFERROR(VLOOKUP(TableHandbook[[#This Row],[UDC]],TableSPPELNTCH[],7,FALSE),"")</f>
        <v/>
      </c>
      <c r="AL93" s="232" t="str">
        <f>IFERROR(VLOOKUP(TableHandbook[[#This Row],[UDC]],TableSPPESTEME[],7,FALSE),"")</f>
        <v/>
      </c>
    </row>
    <row r="94" spans="1:38" x14ac:dyDescent="0.25">
      <c r="A94" s="2" t="s">
        <v>142</v>
      </c>
      <c r="B94" s="3">
        <v>1</v>
      </c>
      <c r="C94" s="3"/>
      <c r="D94" s="2" t="s">
        <v>141</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31"/>
      <c r="P94" s="233" t="str">
        <f>IFERROR(VLOOKUP(TableHandbook[[#This Row],[UDC]],TableMCTEACH[],7,FALSE),"")</f>
        <v/>
      </c>
      <c r="Q94" s="232" t="str">
        <f>IFERROR(VLOOKUP(TableHandbook[[#This Row],[UDC]],TableMJRPTCHEC[],7,FALSE),"")</f>
        <v/>
      </c>
      <c r="R94" s="232" t="str">
        <f>IFERROR(VLOOKUP(TableHandbook[[#This Row],[UDC]],TableMJRPTCHPR[],7,FALSE),"")</f>
        <v/>
      </c>
      <c r="S94" s="232" t="str">
        <f>IFERROR(VLOOKUP(TableHandbook[[#This Row],[UDC]],TableMJRPTCHSC[],7,FALSE),"")</f>
        <v/>
      </c>
      <c r="T94" s="232" t="str">
        <f>IFERROR(VLOOKUP(TableHandbook[[#This Row],[UDC]],TableSTRPSCART[],7,FALSE),"")</f>
        <v/>
      </c>
      <c r="U94" s="232" t="str">
        <f>IFERROR(VLOOKUP(TableHandbook[[#This Row],[UDC]],TableSTRPSCENG[],7,FALSE),"")</f>
        <v/>
      </c>
      <c r="V94" s="232" t="str">
        <f>IFERROR(VLOOKUP(TableHandbook[[#This Row],[UDC]],TableSTRPSCHLP[],7,FALSE),"")</f>
        <v/>
      </c>
      <c r="W94" s="232" t="str">
        <f>IFERROR(VLOOKUP(TableHandbook[[#This Row],[UDC]],TableSTRPSCHUS[],7,FALSE),"")</f>
        <v/>
      </c>
      <c r="X94" s="232" t="str">
        <f>IFERROR(VLOOKUP(TableHandbook[[#This Row],[UDC]],TableSTRPSCMAT[],7,FALSE),"")</f>
        <v/>
      </c>
      <c r="Y94" s="232" t="str">
        <f>IFERROR(VLOOKUP(TableHandbook[[#This Row],[UDC]],TableSTRPSCSCI[],7,FALSE),"")</f>
        <v/>
      </c>
      <c r="Z94" s="232" t="str">
        <f>IFERROR(VLOOKUP(TableHandbook[[#This Row],[UDC]],TableSTRPSCFON[],7,FALSE),"")</f>
        <v/>
      </c>
      <c r="AA94" s="233" t="str">
        <f>IFERROR(VLOOKUP(TableHandbook[[#This Row],[UDC]],TableGCTESOL[],7,FALSE),"")</f>
        <v/>
      </c>
      <c r="AB94" s="232" t="str">
        <f>IFERROR(VLOOKUP(TableHandbook[[#This Row],[UDC]],TableMCTESOL[],7,FALSE),"")</f>
        <v/>
      </c>
      <c r="AC94" s="232" t="str">
        <f>IFERROR(VLOOKUP(TableHandbook[[#This Row],[UDC]],TableMCAPLING[],7,FALSE),"")</f>
        <v/>
      </c>
      <c r="AD94" s="233" t="str">
        <f>IFERROR(VLOOKUP(TableHandbook[[#This Row],[UDC]],TableGCEDHE[],7,FALSE),"")</f>
        <v/>
      </c>
      <c r="AE94" s="232" t="str">
        <f>IFERROR(VLOOKUP(TableHandbook[[#This Row],[UDC]],TableGCEDUC[],7,FALSE),"")</f>
        <v/>
      </c>
      <c r="AF94" s="232" t="str">
        <f>IFERROR(VLOOKUP(TableHandbook[[#This Row],[UDC]],TableGDEDUC[],7,FALSE),"")</f>
        <v/>
      </c>
      <c r="AG94" s="232" t="str">
        <f>IFERROR(VLOOKUP(TableHandbook[[#This Row],[UDC]],TableMJRPEDUPR[],7,FALSE),"")</f>
        <v/>
      </c>
      <c r="AH94" s="232" t="str">
        <f>IFERROR(VLOOKUP(TableHandbook[[#This Row],[UDC]],TableMJRPEDUSC[],7,FALSE),"")</f>
        <v/>
      </c>
      <c r="AI94" s="233" t="str">
        <f>IFERROR(VLOOKUP(TableHandbook[[#This Row],[UDC]],TableMCEDUC[],7,FALSE),"")</f>
        <v>Option</v>
      </c>
      <c r="AJ94" s="232" t="str">
        <f>IFERROR(VLOOKUP(TableHandbook[[#This Row],[UDC]],TableSPPECULIN[],7,FALSE),"")</f>
        <v/>
      </c>
      <c r="AK94" s="232" t="str">
        <f>IFERROR(VLOOKUP(TableHandbook[[#This Row],[UDC]],TableSPPELNTCH[],7,FALSE),"")</f>
        <v/>
      </c>
      <c r="AL94" s="232" t="str">
        <f>IFERROR(VLOOKUP(TableHandbook[[#This Row],[UDC]],TableSPPESTEME[],7,FALSE),"")</f>
        <v/>
      </c>
    </row>
    <row r="95" spans="1:38" x14ac:dyDescent="0.25">
      <c r="A95" s="2" t="s">
        <v>305</v>
      </c>
      <c r="B95" s="3"/>
      <c r="C95" s="3"/>
      <c r="D95" s="2" t="s">
        <v>431</v>
      </c>
      <c r="E95" s="3"/>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31"/>
      <c r="P95" s="233" t="str">
        <f>IFERROR(VLOOKUP(TableHandbook[[#This Row],[UDC]],TableMCTEACH[],7,FALSE),"")</f>
        <v/>
      </c>
      <c r="Q95" s="232" t="str">
        <f>IFERROR(VLOOKUP(TableHandbook[[#This Row],[UDC]],TableMJRPTCHEC[],7,FALSE),"")</f>
        <v/>
      </c>
      <c r="R95" s="232" t="str">
        <f>IFERROR(VLOOKUP(TableHandbook[[#This Row],[UDC]],TableMJRPTCHPR[],7,FALSE),"")</f>
        <v/>
      </c>
      <c r="S95" s="232" t="str">
        <f>IFERROR(VLOOKUP(TableHandbook[[#This Row],[UDC]],TableMJRPTCHSC[],7,FALSE),"")</f>
        <v/>
      </c>
      <c r="T95" s="232" t="str">
        <f>IFERROR(VLOOKUP(TableHandbook[[#This Row],[UDC]],TableSTRPSCART[],7,FALSE),"")</f>
        <v/>
      </c>
      <c r="U95" s="232" t="str">
        <f>IFERROR(VLOOKUP(TableHandbook[[#This Row],[UDC]],TableSTRPSCENG[],7,FALSE),"")</f>
        <v/>
      </c>
      <c r="V95" s="232" t="str">
        <f>IFERROR(VLOOKUP(TableHandbook[[#This Row],[UDC]],TableSTRPSCHLP[],7,FALSE),"")</f>
        <v/>
      </c>
      <c r="W95" s="232" t="str">
        <f>IFERROR(VLOOKUP(TableHandbook[[#This Row],[UDC]],TableSTRPSCHUS[],7,FALSE),"")</f>
        <v/>
      </c>
      <c r="X95" s="232" t="str">
        <f>IFERROR(VLOOKUP(TableHandbook[[#This Row],[UDC]],TableSTRPSCMAT[],7,FALSE),"")</f>
        <v/>
      </c>
      <c r="Y95" s="232" t="str">
        <f>IFERROR(VLOOKUP(TableHandbook[[#This Row],[UDC]],TableSTRPSCSCI[],7,FALSE),"")</f>
        <v/>
      </c>
      <c r="Z95" s="232" t="str">
        <f>IFERROR(VLOOKUP(TableHandbook[[#This Row],[UDC]],TableSTRPSCFON[],7,FALSE),"")</f>
        <v/>
      </c>
      <c r="AA95" s="233" t="str">
        <f>IFERROR(VLOOKUP(TableHandbook[[#This Row],[UDC]],TableGCTESOL[],7,FALSE),"")</f>
        <v/>
      </c>
      <c r="AB95" s="232" t="str">
        <f>IFERROR(VLOOKUP(TableHandbook[[#This Row],[UDC]],TableMCTESOL[],7,FALSE),"")</f>
        <v/>
      </c>
      <c r="AC95" s="232" t="str">
        <f>IFERROR(VLOOKUP(TableHandbook[[#This Row],[UDC]],TableMCAPLING[],7,FALSE),"")</f>
        <v/>
      </c>
      <c r="AD95" s="233" t="str">
        <f>IFERROR(VLOOKUP(TableHandbook[[#This Row],[UDC]],TableGCEDHE[],7,FALSE),"")</f>
        <v/>
      </c>
      <c r="AE95" s="232" t="str">
        <f>IFERROR(VLOOKUP(TableHandbook[[#This Row],[UDC]],TableGCEDUC[],7,FALSE),"")</f>
        <v/>
      </c>
      <c r="AF95" s="232" t="str">
        <f>IFERROR(VLOOKUP(TableHandbook[[#This Row],[UDC]],TableGDEDUC[],7,FALSE),"")</f>
        <v/>
      </c>
      <c r="AG95" s="232" t="str">
        <f>IFERROR(VLOOKUP(TableHandbook[[#This Row],[UDC]],TableMJRPEDUPR[],7,FALSE),"")</f>
        <v/>
      </c>
      <c r="AH95" s="232" t="str">
        <f>IFERROR(VLOOKUP(TableHandbook[[#This Row],[UDC]],TableMJRPEDUSC[],7,FALSE),"")</f>
        <v/>
      </c>
      <c r="AI95" s="233" t="str">
        <f>IFERROR(VLOOKUP(TableHandbook[[#This Row],[UDC]],TableMCEDUC[],7,FALSE),"")</f>
        <v/>
      </c>
      <c r="AJ95" s="232" t="str">
        <f>IFERROR(VLOOKUP(TableHandbook[[#This Row],[UDC]],TableSPPECULIN[],7,FALSE),"")</f>
        <v/>
      </c>
      <c r="AK95" s="232" t="str">
        <f>IFERROR(VLOOKUP(TableHandbook[[#This Row],[UDC]],TableSPPELNTCH[],7,FALSE),"")</f>
        <v/>
      </c>
      <c r="AL95" s="232" t="str">
        <f>IFERROR(VLOOKUP(TableHandbook[[#This Row],[UDC]],TableSPPESTEME[],7,FALSE),"")</f>
        <v/>
      </c>
    </row>
    <row r="96" spans="1:38" x14ac:dyDescent="0.25">
      <c r="A96" s="2" t="s">
        <v>278</v>
      </c>
      <c r="B96" s="3"/>
      <c r="C96" s="3"/>
      <c r="D96" s="2" t="s">
        <v>432</v>
      </c>
      <c r="E96" s="3">
        <v>25</v>
      </c>
      <c r="F96" s="54" t="s">
        <v>412</v>
      </c>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31"/>
      <c r="P96" s="233" t="str">
        <f>IFERROR(VLOOKUP(TableHandbook[[#This Row],[UDC]],TableMCTEACH[],7,FALSE),"")</f>
        <v/>
      </c>
      <c r="Q96" s="232" t="str">
        <f>IFERROR(VLOOKUP(TableHandbook[[#This Row],[UDC]],TableMJRPTCHEC[],7,FALSE),"")</f>
        <v/>
      </c>
      <c r="R96" s="232" t="str">
        <f>IFERROR(VLOOKUP(TableHandbook[[#This Row],[UDC]],TableMJRPTCHPR[],7,FALSE),"")</f>
        <v/>
      </c>
      <c r="S96" s="232" t="str">
        <f>IFERROR(VLOOKUP(TableHandbook[[#This Row],[UDC]],TableMJRPTCHSC[],7,FALSE),"")</f>
        <v/>
      </c>
      <c r="T96" s="232" t="str">
        <f>IFERROR(VLOOKUP(TableHandbook[[#This Row],[UDC]],TableSTRPSCART[],7,FALSE),"")</f>
        <v/>
      </c>
      <c r="U96" s="232" t="str">
        <f>IFERROR(VLOOKUP(TableHandbook[[#This Row],[UDC]],TableSTRPSCENG[],7,FALSE),"")</f>
        <v/>
      </c>
      <c r="V96" s="232" t="str">
        <f>IFERROR(VLOOKUP(TableHandbook[[#This Row],[UDC]],TableSTRPSCHLP[],7,FALSE),"")</f>
        <v/>
      </c>
      <c r="W96" s="232" t="str">
        <f>IFERROR(VLOOKUP(TableHandbook[[#This Row],[UDC]],TableSTRPSCHUS[],7,FALSE),"")</f>
        <v/>
      </c>
      <c r="X96" s="232" t="str">
        <f>IFERROR(VLOOKUP(TableHandbook[[#This Row],[UDC]],TableSTRPSCMAT[],7,FALSE),"")</f>
        <v/>
      </c>
      <c r="Y96" s="232" t="str">
        <f>IFERROR(VLOOKUP(TableHandbook[[#This Row],[UDC]],TableSTRPSCSCI[],7,FALSE),"")</f>
        <v/>
      </c>
      <c r="Z96" s="232" t="str">
        <f>IFERROR(VLOOKUP(TableHandbook[[#This Row],[UDC]],TableSTRPSCFON[],7,FALSE),"")</f>
        <v/>
      </c>
      <c r="AA96" s="233" t="str">
        <f>IFERROR(VLOOKUP(TableHandbook[[#This Row],[UDC]],TableGCTESOL[],7,FALSE),"")</f>
        <v/>
      </c>
      <c r="AB96" s="232" t="str">
        <f>IFERROR(VLOOKUP(TableHandbook[[#This Row],[UDC]],TableMCTESOL[],7,FALSE),"")</f>
        <v/>
      </c>
      <c r="AC96" s="232" t="str">
        <f>IFERROR(VLOOKUP(TableHandbook[[#This Row],[UDC]],TableMCAPLING[],7,FALSE),"")</f>
        <v/>
      </c>
      <c r="AD96" s="233" t="str">
        <f>IFERROR(VLOOKUP(TableHandbook[[#This Row],[UDC]],TableGCEDHE[],7,FALSE),"")</f>
        <v/>
      </c>
      <c r="AE96" s="232" t="str">
        <f>IFERROR(VLOOKUP(TableHandbook[[#This Row],[UDC]],TableGCEDUC[],7,FALSE),"")</f>
        <v/>
      </c>
      <c r="AF96" s="232" t="str">
        <f>IFERROR(VLOOKUP(TableHandbook[[#This Row],[UDC]],TableGDEDUC[],7,FALSE),"")</f>
        <v/>
      </c>
      <c r="AG96" s="232" t="str">
        <f>IFERROR(VLOOKUP(TableHandbook[[#This Row],[UDC]],TableMJRPEDUPR[],7,FALSE),"")</f>
        <v/>
      </c>
      <c r="AH96" s="232" t="str">
        <f>IFERROR(VLOOKUP(TableHandbook[[#This Row],[UDC]],TableMJRPEDUSC[],7,FALSE),"")</f>
        <v/>
      </c>
      <c r="AI96" s="233" t="str">
        <f>IFERROR(VLOOKUP(TableHandbook[[#This Row],[UDC]],TableMCEDUC[],7,FALSE),"")</f>
        <v/>
      </c>
      <c r="AJ96" s="232" t="str">
        <f>IFERROR(VLOOKUP(TableHandbook[[#This Row],[UDC]],TableSPPECULIN[],7,FALSE),"")</f>
        <v/>
      </c>
      <c r="AK96" s="232" t="str">
        <f>IFERROR(VLOOKUP(TableHandbook[[#This Row],[UDC]],TableSPPELNTCH[],7,FALSE),"")</f>
        <v/>
      </c>
      <c r="AL96" s="232" t="str">
        <f>IFERROR(VLOOKUP(TableHandbook[[#This Row],[UDC]],TableSPPESTEME[],7,FALSE),"")</f>
        <v/>
      </c>
    </row>
    <row r="97" spans="1:38" x14ac:dyDescent="0.25">
      <c r="A97" s="2" t="s">
        <v>433</v>
      </c>
      <c r="B97" s="3"/>
      <c r="C97" s="3"/>
      <c r="D97" s="2" t="s">
        <v>434</v>
      </c>
      <c r="E97" s="3">
        <v>50</v>
      </c>
      <c r="F97" s="54"/>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31"/>
      <c r="P97" s="233" t="str">
        <f>IFERROR(VLOOKUP(TableHandbook[[#This Row],[UDC]],TableMCTEACH[],7,FALSE),"")</f>
        <v/>
      </c>
      <c r="Q97" s="232" t="str">
        <f>IFERROR(VLOOKUP(TableHandbook[[#This Row],[UDC]],TableMJRPTCHEC[],7,FALSE),"")</f>
        <v/>
      </c>
      <c r="R97" s="232" t="str">
        <f>IFERROR(VLOOKUP(TableHandbook[[#This Row],[UDC]],TableMJRPTCHPR[],7,FALSE),"")</f>
        <v/>
      </c>
      <c r="S97" s="232" t="str">
        <f>IFERROR(VLOOKUP(TableHandbook[[#This Row],[UDC]],TableMJRPTCHSC[],7,FALSE),"")</f>
        <v/>
      </c>
      <c r="T97" s="232" t="str">
        <f>IFERROR(VLOOKUP(TableHandbook[[#This Row],[UDC]],TableSTRPSCART[],7,FALSE),"")</f>
        <v/>
      </c>
      <c r="U97" s="232" t="str">
        <f>IFERROR(VLOOKUP(TableHandbook[[#This Row],[UDC]],TableSTRPSCENG[],7,FALSE),"")</f>
        <v/>
      </c>
      <c r="V97" s="232" t="str">
        <f>IFERROR(VLOOKUP(TableHandbook[[#This Row],[UDC]],TableSTRPSCHLP[],7,FALSE),"")</f>
        <v/>
      </c>
      <c r="W97" s="232" t="str">
        <f>IFERROR(VLOOKUP(TableHandbook[[#This Row],[UDC]],TableSTRPSCHUS[],7,FALSE),"")</f>
        <v/>
      </c>
      <c r="X97" s="232" t="str">
        <f>IFERROR(VLOOKUP(TableHandbook[[#This Row],[UDC]],TableSTRPSCMAT[],7,FALSE),"")</f>
        <v/>
      </c>
      <c r="Y97" s="232" t="str">
        <f>IFERROR(VLOOKUP(TableHandbook[[#This Row],[UDC]],TableSTRPSCSCI[],7,FALSE),"")</f>
        <v/>
      </c>
      <c r="Z97" s="232" t="str">
        <f>IFERROR(VLOOKUP(TableHandbook[[#This Row],[UDC]],TableSTRPSCFON[],7,FALSE),"")</f>
        <v/>
      </c>
      <c r="AA97" s="233" t="str">
        <f>IFERROR(VLOOKUP(TableHandbook[[#This Row],[UDC]],TableGCTESOL[],7,FALSE),"")</f>
        <v/>
      </c>
      <c r="AB97" s="232" t="str">
        <f>IFERROR(VLOOKUP(TableHandbook[[#This Row],[UDC]],TableMCTESOL[],7,FALSE),"")</f>
        <v/>
      </c>
      <c r="AC97" s="232" t="str">
        <f>IFERROR(VLOOKUP(TableHandbook[[#This Row],[UDC]],TableMCAPLING[],7,FALSE),"")</f>
        <v/>
      </c>
      <c r="AD97" s="233" t="str">
        <f>IFERROR(VLOOKUP(TableHandbook[[#This Row],[UDC]],TableGCEDHE[],7,FALSE),"")</f>
        <v/>
      </c>
      <c r="AE97" s="232" t="str">
        <f>IFERROR(VLOOKUP(TableHandbook[[#This Row],[UDC]],TableGCEDUC[],7,FALSE),"")</f>
        <v/>
      </c>
      <c r="AF97" s="232" t="str">
        <f>IFERROR(VLOOKUP(TableHandbook[[#This Row],[UDC]],TableGDEDUC[],7,FALSE),"")</f>
        <v/>
      </c>
      <c r="AG97" s="232" t="str">
        <f>IFERROR(VLOOKUP(TableHandbook[[#This Row],[UDC]],TableMJRPEDUPR[],7,FALSE),"")</f>
        <v/>
      </c>
      <c r="AH97" s="232" t="str">
        <f>IFERROR(VLOOKUP(TableHandbook[[#This Row],[UDC]],TableMJRPEDUSC[],7,FALSE),"")</f>
        <v/>
      </c>
      <c r="AI97" s="233" t="str">
        <f>IFERROR(VLOOKUP(TableHandbook[[#This Row],[UDC]],TableMCEDUC[],7,FALSE),"")</f>
        <v/>
      </c>
      <c r="AJ97" s="232" t="str">
        <f>IFERROR(VLOOKUP(TableHandbook[[#This Row],[UDC]],TableSPPECULIN[],7,FALSE),"")</f>
        <v/>
      </c>
      <c r="AK97" s="232" t="str">
        <f>IFERROR(VLOOKUP(TableHandbook[[#This Row],[UDC]],TableSPPELNTCH[],7,FALSE),"")</f>
        <v/>
      </c>
      <c r="AL97" s="232" t="str">
        <f>IFERROR(VLOOKUP(TableHandbook[[#This Row],[UDC]],TableSPPESTEME[],7,FALSE),"")</f>
        <v/>
      </c>
    </row>
    <row r="98" spans="1:38" x14ac:dyDescent="0.25">
      <c r="A98" s="2" t="s">
        <v>285</v>
      </c>
      <c r="B98" s="3"/>
      <c r="C98" s="3"/>
      <c r="D98" s="2" t="s">
        <v>435</v>
      </c>
      <c r="E98" s="3">
        <v>25</v>
      </c>
      <c r="F98" s="54" t="s">
        <v>412</v>
      </c>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31"/>
      <c r="P98" s="233" t="str">
        <f>IFERROR(VLOOKUP(TableHandbook[[#This Row],[UDC]],TableMCTEACH[],7,FALSE),"")</f>
        <v/>
      </c>
      <c r="Q98" s="232" t="str">
        <f>IFERROR(VLOOKUP(TableHandbook[[#This Row],[UDC]],TableMJRPTCHEC[],7,FALSE),"")</f>
        <v/>
      </c>
      <c r="R98" s="232" t="str">
        <f>IFERROR(VLOOKUP(TableHandbook[[#This Row],[UDC]],TableMJRPTCHPR[],7,FALSE),"")</f>
        <v/>
      </c>
      <c r="S98" s="232" t="str">
        <f>IFERROR(VLOOKUP(TableHandbook[[#This Row],[UDC]],TableMJRPTCHSC[],7,FALSE),"")</f>
        <v/>
      </c>
      <c r="T98" s="232" t="str">
        <f>IFERROR(VLOOKUP(TableHandbook[[#This Row],[UDC]],TableSTRPSCART[],7,FALSE),"")</f>
        <v/>
      </c>
      <c r="U98" s="232" t="str">
        <f>IFERROR(VLOOKUP(TableHandbook[[#This Row],[UDC]],TableSTRPSCENG[],7,FALSE),"")</f>
        <v/>
      </c>
      <c r="V98" s="232" t="str">
        <f>IFERROR(VLOOKUP(TableHandbook[[#This Row],[UDC]],TableSTRPSCHLP[],7,FALSE),"")</f>
        <v/>
      </c>
      <c r="W98" s="232" t="str">
        <f>IFERROR(VLOOKUP(TableHandbook[[#This Row],[UDC]],TableSTRPSCHUS[],7,FALSE),"")</f>
        <v/>
      </c>
      <c r="X98" s="232" t="str">
        <f>IFERROR(VLOOKUP(TableHandbook[[#This Row],[UDC]],TableSTRPSCMAT[],7,FALSE),"")</f>
        <v/>
      </c>
      <c r="Y98" s="232" t="str">
        <f>IFERROR(VLOOKUP(TableHandbook[[#This Row],[UDC]],TableSTRPSCSCI[],7,FALSE),"")</f>
        <v/>
      </c>
      <c r="Z98" s="232" t="str">
        <f>IFERROR(VLOOKUP(TableHandbook[[#This Row],[UDC]],TableSTRPSCFON[],7,FALSE),"")</f>
        <v/>
      </c>
      <c r="AA98" s="233" t="str">
        <f>IFERROR(VLOOKUP(TableHandbook[[#This Row],[UDC]],TableGCTESOL[],7,FALSE),"")</f>
        <v/>
      </c>
      <c r="AB98" s="232" t="str">
        <f>IFERROR(VLOOKUP(TableHandbook[[#This Row],[UDC]],TableMCTESOL[],7,FALSE),"")</f>
        <v/>
      </c>
      <c r="AC98" s="232" t="str">
        <f>IFERROR(VLOOKUP(TableHandbook[[#This Row],[UDC]],TableMCAPLING[],7,FALSE),"")</f>
        <v/>
      </c>
      <c r="AD98" s="233" t="str">
        <f>IFERROR(VLOOKUP(TableHandbook[[#This Row],[UDC]],TableGCEDHE[],7,FALSE),"")</f>
        <v/>
      </c>
      <c r="AE98" s="232" t="str">
        <f>IFERROR(VLOOKUP(TableHandbook[[#This Row],[UDC]],TableGCEDUC[],7,FALSE),"")</f>
        <v/>
      </c>
      <c r="AF98" s="232" t="str">
        <f>IFERROR(VLOOKUP(TableHandbook[[#This Row],[UDC]],TableGDEDUC[],7,FALSE),"")</f>
        <v/>
      </c>
      <c r="AG98" s="232" t="str">
        <f>IFERROR(VLOOKUP(TableHandbook[[#This Row],[UDC]],TableMJRPEDUPR[],7,FALSE),"")</f>
        <v/>
      </c>
      <c r="AH98" s="232" t="str">
        <f>IFERROR(VLOOKUP(TableHandbook[[#This Row],[UDC]],TableMJRPEDUSC[],7,FALSE),"")</f>
        <v/>
      </c>
      <c r="AI98" s="233" t="str">
        <f>IFERROR(VLOOKUP(TableHandbook[[#This Row],[UDC]],TableMCEDUC[],7,FALSE),"")</f>
        <v/>
      </c>
      <c r="AJ98" s="232" t="str">
        <f>IFERROR(VLOOKUP(TableHandbook[[#This Row],[UDC]],TableSPPECULIN[],7,FALSE),"")</f>
        <v/>
      </c>
      <c r="AK98" s="232" t="str">
        <f>IFERROR(VLOOKUP(TableHandbook[[#This Row],[UDC]],TableSPPELNTCH[],7,FALSE),"")</f>
        <v/>
      </c>
      <c r="AL98" s="232" t="str">
        <f>IFERROR(VLOOKUP(TableHandbook[[#This Row],[UDC]],TableSPPESTEME[],7,FALSE),"")</f>
        <v/>
      </c>
    </row>
    <row r="99" spans="1:38" x14ac:dyDescent="0.25">
      <c r="A99" s="2" t="s">
        <v>264</v>
      </c>
      <c r="B99" s="3">
        <v>1</v>
      </c>
      <c r="C99" s="3"/>
      <c r="D99" s="2" t="s">
        <v>436</v>
      </c>
      <c r="E99" s="3">
        <v>50</v>
      </c>
      <c r="F99" s="54"/>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31"/>
      <c r="P99" s="233" t="str">
        <f>IFERROR(VLOOKUP(TableHandbook[[#This Row],[UDC]],TableMCTEACH[],7,FALSE),"")</f>
        <v/>
      </c>
      <c r="Q99" s="232" t="str">
        <f>IFERROR(VLOOKUP(TableHandbook[[#This Row],[UDC]],TableMJRPTCHEC[],7,FALSE),"")</f>
        <v/>
      </c>
      <c r="R99" s="232" t="str">
        <f>IFERROR(VLOOKUP(TableHandbook[[#This Row],[UDC]],TableMJRPTCHPR[],7,FALSE),"")</f>
        <v/>
      </c>
      <c r="S99" s="232" t="str">
        <f>IFERROR(VLOOKUP(TableHandbook[[#This Row],[UDC]],TableMJRPTCHSC[],7,FALSE),"")</f>
        <v>Option</v>
      </c>
      <c r="T99" s="232" t="str">
        <f>IFERROR(VLOOKUP(TableHandbook[[#This Row],[UDC]],TableSTRPSCART[],7,FALSE),"")</f>
        <v/>
      </c>
      <c r="U99" s="232" t="str">
        <f>IFERROR(VLOOKUP(TableHandbook[[#This Row],[UDC]],TableSTRPSCENG[],7,FALSE),"")</f>
        <v/>
      </c>
      <c r="V99" s="232" t="str">
        <f>IFERROR(VLOOKUP(TableHandbook[[#This Row],[UDC]],TableSTRPSCHLP[],7,FALSE),"")</f>
        <v/>
      </c>
      <c r="W99" s="232" t="str">
        <f>IFERROR(VLOOKUP(TableHandbook[[#This Row],[UDC]],TableSTRPSCHUS[],7,FALSE),"")</f>
        <v/>
      </c>
      <c r="X99" s="232" t="str">
        <f>IFERROR(VLOOKUP(TableHandbook[[#This Row],[UDC]],TableSTRPSCMAT[],7,FALSE),"")</f>
        <v/>
      </c>
      <c r="Y99" s="232" t="str">
        <f>IFERROR(VLOOKUP(TableHandbook[[#This Row],[UDC]],TableSTRPSCSCI[],7,FALSE),"")</f>
        <v/>
      </c>
      <c r="Z99" s="232" t="str">
        <f>IFERROR(VLOOKUP(TableHandbook[[#This Row],[UDC]],TableSTRPSCFON[],7,FALSE),"")</f>
        <v/>
      </c>
      <c r="AA99" s="233" t="str">
        <f>IFERROR(VLOOKUP(TableHandbook[[#This Row],[UDC]],TableGCTESOL[],7,FALSE),"")</f>
        <v/>
      </c>
      <c r="AB99" s="232" t="str">
        <f>IFERROR(VLOOKUP(TableHandbook[[#This Row],[UDC]],TableMCTESOL[],7,FALSE),"")</f>
        <v/>
      </c>
      <c r="AC99" s="232" t="str">
        <f>IFERROR(VLOOKUP(TableHandbook[[#This Row],[UDC]],TableMCAPLING[],7,FALSE),"")</f>
        <v/>
      </c>
      <c r="AD99" s="233" t="str">
        <f>IFERROR(VLOOKUP(TableHandbook[[#This Row],[UDC]],TableGCEDHE[],7,FALSE),"")</f>
        <v/>
      </c>
      <c r="AE99" s="232" t="str">
        <f>IFERROR(VLOOKUP(TableHandbook[[#This Row],[UDC]],TableGCEDUC[],7,FALSE),"")</f>
        <v/>
      </c>
      <c r="AF99" s="232" t="str">
        <f>IFERROR(VLOOKUP(TableHandbook[[#This Row],[UDC]],TableGDEDUC[],7,FALSE),"")</f>
        <v/>
      </c>
      <c r="AG99" s="232" t="str">
        <f>IFERROR(VLOOKUP(TableHandbook[[#This Row],[UDC]],TableMJRPEDUPR[],7,FALSE),"")</f>
        <v/>
      </c>
      <c r="AH99" s="232" t="str">
        <f>IFERROR(VLOOKUP(TableHandbook[[#This Row],[UDC]],TableMJRPEDUSC[],7,FALSE),"")</f>
        <v>Option</v>
      </c>
      <c r="AI99" s="233" t="str">
        <f>IFERROR(VLOOKUP(TableHandbook[[#This Row],[UDC]],TableMCEDUC[],7,FALSE),"")</f>
        <v/>
      </c>
      <c r="AJ99" s="232" t="str">
        <f>IFERROR(VLOOKUP(TableHandbook[[#This Row],[UDC]],TableSPPECULIN[],7,FALSE),"")</f>
        <v/>
      </c>
      <c r="AK99" s="232" t="str">
        <f>IFERROR(VLOOKUP(TableHandbook[[#This Row],[UDC]],TableSPPELNTCH[],7,FALSE),"")</f>
        <v/>
      </c>
      <c r="AL99" s="232" t="str">
        <f>IFERROR(VLOOKUP(TableHandbook[[#This Row],[UDC]],TableSPPESTEME[],7,FALSE),"")</f>
        <v/>
      </c>
    </row>
    <row r="100" spans="1:38" x14ac:dyDescent="0.25">
      <c r="A100" s="2" t="s">
        <v>270</v>
      </c>
      <c r="B100" s="3">
        <v>1</v>
      </c>
      <c r="C100" s="3"/>
      <c r="D100" s="2" t="s">
        <v>437</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31"/>
      <c r="P100" s="233" t="str">
        <f>IFERROR(VLOOKUP(TableHandbook[[#This Row],[UDC]],TableMCTEACH[],7,FALSE),"")</f>
        <v/>
      </c>
      <c r="Q100" s="232" t="str">
        <f>IFERROR(VLOOKUP(TableHandbook[[#This Row],[UDC]],TableMJRPTCHEC[],7,FALSE),"")</f>
        <v/>
      </c>
      <c r="R100" s="232" t="str">
        <f>IFERROR(VLOOKUP(TableHandbook[[#This Row],[UDC]],TableMJRPTCHPR[],7,FALSE),"")</f>
        <v/>
      </c>
      <c r="S100" s="232" t="str">
        <f>IFERROR(VLOOKUP(TableHandbook[[#This Row],[UDC]],TableMJRPTCHSC[],7,FALSE),"")</f>
        <v>Option</v>
      </c>
      <c r="T100" s="232" t="str">
        <f>IFERROR(VLOOKUP(TableHandbook[[#This Row],[UDC]],TableSTRPSCART[],7,FALSE),"")</f>
        <v/>
      </c>
      <c r="U100" s="232" t="str">
        <f>IFERROR(VLOOKUP(TableHandbook[[#This Row],[UDC]],TableSTRPSCENG[],7,FALSE),"")</f>
        <v/>
      </c>
      <c r="V100" s="232" t="str">
        <f>IFERROR(VLOOKUP(TableHandbook[[#This Row],[UDC]],TableSTRPSCHLP[],7,FALSE),"")</f>
        <v/>
      </c>
      <c r="W100" s="232" t="str">
        <f>IFERROR(VLOOKUP(TableHandbook[[#This Row],[UDC]],TableSTRPSCHUS[],7,FALSE),"")</f>
        <v/>
      </c>
      <c r="X100" s="232" t="str">
        <f>IFERROR(VLOOKUP(TableHandbook[[#This Row],[UDC]],TableSTRPSCMAT[],7,FALSE),"")</f>
        <v/>
      </c>
      <c r="Y100" s="232" t="str">
        <f>IFERROR(VLOOKUP(TableHandbook[[#This Row],[UDC]],TableSTRPSCSCI[],7,FALSE),"")</f>
        <v/>
      </c>
      <c r="Z100" s="232" t="str">
        <f>IFERROR(VLOOKUP(TableHandbook[[#This Row],[UDC]],TableSTRPSCFON[],7,FALSE),"")</f>
        <v/>
      </c>
      <c r="AA100" s="233" t="str">
        <f>IFERROR(VLOOKUP(TableHandbook[[#This Row],[UDC]],TableGCTESOL[],7,FALSE),"")</f>
        <v/>
      </c>
      <c r="AB100" s="232" t="str">
        <f>IFERROR(VLOOKUP(TableHandbook[[#This Row],[UDC]],TableMCTESOL[],7,FALSE),"")</f>
        <v/>
      </c>
      <c r="AC100" s="232" t="str">
        <f>IFERROR(VLOOKUP(TableHandbook[[#This Row],[UDC]],TableMCAPLING[],7,FALSE),"")</f>
        <v/>
      </c>
      <c r="AD100" s="233" t="str">
        <f>IFERROR(VLOOKUP(TableHandbook[[#This Row],[UDC]],TableGCEDHE[],7,FALSE),"")</f>
        <v/>
      </c>
      <c r="AE100" s="232" t="str">
        <f>IFERROR(VLOOKUP(TableHandbook[[#This Row],[UDC]],TableGCEDUC[],7,FALSE),"")</f>
        <v/>
      </c>
      <c r="AF100" s="232" t="str">
        <f>IFERROR(VLOOKUP(TableHandbook[[#This Row],[UDC]],TableGDEDUC[],7,FALSE),"")</f>
        <v/>
      </c>
      <c r="AG100" s="232" t="str">
        <f>IFERROR(VLOOKUP(TableHandbook[[#This Row],[UDC]],TableMJRPEDUPR[],7,FALSE),"")</f>
        <v/>
      </c>
      <c r="AH100" s="232" t="str">
        <f>IFERROR(VLOOKUP(TableHandbook[[#This Row],[UDC]],TableMJRPEDUSC[],7,FALSE),"")</f>
        <v>Option</v>
      </c>
      <c r="AI100" s="233" t="str">
        <f>IFERROR(VLOOKUP(TableHandbook[[#This Row],[UDC]],TableMCEDUC[],7,FALSE),"")</f>
        <v/>
      </c>
      <c r="AJ100" s="232" t="str">
        <f>IFERROR(VLOOKUP(TableHandbook[[#This Row],[UDC]],TableSPPECULIN[],7,FALSE),"")</f>
        <v/>
      </c>
      <c r="AK100" s="232" t="str">
        <f>IFERROR(VLOOKUP(TableHandbook[[#This Row],[UDC]],TableSPPELNTCH[],7,FALSE),"")</f>
        <v/>
      </c>
      <c r="AL100" s="232" t="str">
        <f>IFERROR(VLOOKUP(TableHandbook[[#This Row],[UDC]],TableSPPESTEME[],7,FALSE),"")</f>
        <v/>
      </c>
    </row>
    <row r="101" spans="1:38" x14ac:dyDescent="0.25">
      <c r="A101" s="2" t="s">
        <v>267</v>
      </c>
      <c r="B101" s="3">
        <v>1</v>
      </c>
      <c r="C101" s="3"/>
      <c r="D101" s="2" t="s">
        <v>438</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31"/>
      <c r="P101" s="233" t="str">
        <f>IFERROR(VLOOKUP(TableHandbook[[#This Row],[UDC]],TableMCTEACH[],7,FALSE),"")</f>
        <v/>
      </c>
      <c r="Q101" s="232" t="str">
        <f>IFERROR(VLOOKUP(TableHandbook[[#This Row],[UDC]],TableMJRPTCHEC[],7,FALSE),"")</f>
        <v/>
      </c>
      <c r="R101" s="232" t="str">
        <f>IFERROR(VLOOKUP(TableHandbook[[#This Row],[UDC]],TableMJRPTCHPR[],7,FALSE),"")</f>
        <v/>
      </c>
      <c r="S101" s="232" t="str">
        <f>IFERROR(VLOOKUP(TableHandbook[[#This Row],[UDC]],TableMJRPTCHSC[],7,FALSE),"")</f>
        <v>Option</v>
      </c>
      <c r="T101" s="232" t="str">
        <f>IFERROR(VLOOKUP(TableHandbook[[#This Row],[UDC]],TableSTRPSCART[],7,FALSE),"")</f>
        <v/>
      </c>
      <c r="U101" s="232" t="str">
        <f>IFERROR(VLOOKUP(TableHandbook[[#This Row],[UDC]],TableSTRPSCENG[],7,FALSE),"")</f>
        <v/>
      </c>
      <c r="V101" s="232" t="str">
        <f>IFERROR(VLOOKUP(TableHandbook[[#This Row],[UDC]],TableSTRPSCHLP[],7,FALSE),"")</f>
        <v/>
      </c>
      <c r="W101" s="232" t="str">
        <f>IFERROR(VLOOKUP(TableHandbook[[#This Row],[UDC]],TableSTRPSCHUS[],7,FALSE),"")</f>
        <v/>
      </c>
      <c r="X101" s="232" t="str">
        <f>IFERROR(VLOOKUP(TableHandbook[[#This Row],[UDC]],TableSTRPSCMAT[],7,FALSE),"")</f>
        <v/>
      </c>
      <c r="Y101" s="232" t="str">
        <f>IFERROR(VLOOKUP(TableHandbook[[#This Row],[UDC]],TableSTRPSCSCI[],7,FALSE),"")</f>
        <v/>
      </c>
      <c r="Z101" s="232" t="str">
        <f>IFERROR(VLOOKUP(TableHandbook[[#This Row],[UDC]],TableSTRPSCFON[],7,FALSE),"")</f>
        <v/>
      </c>
      <c r="AA101" s="233" t="str">
        <f>IFERROR(VLOOKUP(TableHandbook[[#This Row],[UDC]],TableGCTESOL[],7,FALSE),"")</f>
        <v/>
      </c>
      <c r="AB101" s="232" t="str">
        <f>IFERROR(VLOOKUP(TableHandbook[[#This Row],[UDC]],TableMCTESOL[],7,FALSE),"")</f>
        <v/>
      </c>
      <c r="AC101" s="232" t="str">
        <f>IFERROR(VLOOKUP(TableHandbook[[#This Row],[UDC]],TableMCAPLING[],7,FALSE),"")</f>
        <v/>
      </c>
      <c r="AD101" s="233" t="str">
        <f>IFERROR(VLOOKUP(TableHandbook[[#This Row],[UDC]],TableGCEDHE[],7,FALSE),"")</f>
        <v/>
      </c>
      <c r="AE101" s="232" t="str">
        <f>IFERROR(VLOOKUP(TableHandbook[[#This Row],[UDC]],TableGCEDUC[],7,FALSE),"")</f>
        <v/>
      </c>
      <c r="AF101" s="232" t="str">
        <f>IFERROR(VLOOKUP(TableHandbook[[#This Row],[UDC]],TableGDEDUC[],7,FALSE),"")</f>
        <v/>
      </c>
      <c r="AG101" s="232" t="str">
        <f>IFERROR(VLOOKUP(TableHandbook[[#This Row],[UDC]],TableMJRPEDUPR[],7,FALSE),"")</f>
        <v/>
      </c>
      <c r="AH101" s="232" t="str">
        <f>IFERROR(VLOOKUP(TableHandbook[[#This Row],[UDC]],TableMJRPEDUSC[],7,FALSE),"")</f>
        <v/>
      </c>
      <c r="AI101" s="233" t="str">
        <f>IFERROR(VLOOKUP(TableHandbook[[#This Row],[UDC]],TableMCEDUC[],7,FALSE),"")</f>
        <v/>
      </c>
      <c r="AJ101" s="232" t="str">
        <f>IFERROR(VLOOKUP(TableHandbook[[#This Row],[UDC]],TableSPPECULIN[],7,FALSE),"")</f>
        <v/>
      </c>
      <c r="AK101" s="232" t="str">
        <f>IFERROR(VLOOKUP(TableHandbook[[#This Row],[UDC]],TableSPPELNTCH[],7,FALSE),"")</f>
        <v/>
      </c>
      <c r="AL101" s="232" t="str">
        <f>IFERROR(VLOOKUP(TableHandbook[[#This Row],[UDC]],TableSPPESTEME[],7,FALSE),"")</f>
        <v/>
      </c>
    </row>
    <row r="102" spans="1:38" x14ac:dyDescent="0.25">
      <c r="A102" s="2" t="s">
        <v>272</v>
      </c>
      <c r="B102" s="3">
        <v>1</v>
      </c>
      <c r="C102" s="3"/>
      <c r="D102" s="2" t="s">
        <v>439</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31"/>
      <c r="P102" s="233" t="str">
        <f>IFERROR(VLOOKUP(TableHandbook[[#This Row],[UDC]],TableMCTEACH[],7,FALSE),"")</f>
        <v/>
      </c>
      <c r="Q102" s="232" t="str">
        <f>IFERROR(VLOOKUP(TableHandbook[[#This Row],[UDC]],TableMJRPTCHEC[],7,FALSE),"")</f>
        <v/>
      </c>
      <c r="R102" s="232" t="str">
        <f>IFERROR(VLOOKUP(TableHandbook[[#This Row],[UDC]],TableMJRPTCHPR[],7,FALSE),"")</f>
        <v/>
      </c>
      <c r="S102" s="232" t="str">
        <f>IFERROR(VLOOKUP(TableHandbook[[#This Row],[UDC]],TableMJRPTCHSC[],7,FALSE),"")</f>
        <v>Option</v>
      </c>
      <c r="T102" s="232" t="str">
        <f>IFERROR(VLOOKUP(TableHandbook[[#This Row],[UDC]],TableSTRPSCART[],7,FALSE),"")</f>
        <v/>
      </c>
      <c r="U102" s="232" t="str">
        <f>IFERROR(VLOOKUP(TableHandbook[[#This Row],[UDC]],TableSTRPSCENG[],7,FALSE),"")</f>
        <v/>
      </c>
      <c r="V102" s="232" t="str">
        <f>IFERROR(VLOOKUP(TableHandbook[[#This Row],[UDC]],TableSTRPSCHLP[],7,FALSE),"")</f>
        <v/>
      </c>
      <c r="W102" s="232" t="str">
        <f>IFERROR(VLOOKUP(TableHandbook[[#This Row],[UDC]],TableSTRPSCHUS[],7,FALSE),"")</f>
        <v/>
      </c>
      <c r="X102" s="232" t="str">
        <f>IFERROR(VLOOKUP(TableHandbook[[#This Row],[UDC]],TableSTRPSCMAT[],7,FALSE),"")</f>
        <v/>
      </c>
      <c r="Y102" s="232" t="str">
        <f>IFERROR(VLOOKUP(TableHandbook[[#This Row],[UDC]],TableSTRPSCSCI[],7,FALSE),"")</f>
        <v/>
      </c>
      <c r="Z102" s="232" t="str">
        <f>IFERROR(VLOOKUP(TableHandbook[[#This Row],[UDC]],TableSTRPSCFON[],7,FALSE),"")</f>
        <v/>
      </c>
      <c r="AA102" s="233" t="str">
        <f>IFERROR(VLOOKUP(TableHandbook[[#This Row],[UDC]],TableGCTESOL[],7,FALSE),"")</f>
        <v/>
      </c>
      <c r="AB102" s="232" t="str">
        <f>IFERROR(VLOOKUP(TableHandbook[[#This Row],[UDC]],TableMCTESOL[],7,FALSE),"")</f>
        <v/>
      </c>
      <c r="AC102" s="232" t="str">
        <f>IFERROR(VLOOKUP(TableHandbook[[#This Row],[UDC]],TableMCAPLING[],7,FALSE),"")</f>
        <v/>
      </c>
      <c r="AD102" s="233" t="str">
        <f>IFERROR(VLOOKUP(TableHandbook[[#This Row],[UDC]],TableGCEDHE[],7,FALSE),"")</f>
        <v/>
      </c>
      <c r="AE102" s="232" t="str">
        <f>IFERROR(VLOOKUP(TableHandbook[[#This Row],[UDC]],TableGCEDUC[],7,FALSE),"")</f>
        <v/>
      </c>
      <c r="AF102" s="232" t="str">
        <f>IFERROR(VLOOKUP(TableHandbook[[#This Row],[UDC]],TableGDEDUC[],7,FALSE),"")</f>
        <v/>
      </c>
      <c r="AG102" s="232" t="str">
        <f>IFERROR(VLOOKUP(TableHandbook[[#This Row],[UDC]],TableMJRPEDUPR[],7,FALSE),"")</f>
        <v/>
      </c>
      <c r="AH102" s="232" t="str">
        <f>IFERROR(VLOOKUP(TableHandbook[[#This Row],[UDC]],TableMJRPEDUSC[],7,FALSE),"")</f>
        <v>Option</v>
      </c>
      <c r="AI102" s="233" t="str">
        <f>IFERROR(VLOOKUP(TableHandbook[[#This Row],[UDC]],TableMCEDUC[],7,FALSE),"")</f>
        <v/>
      </c>
      <c r="AJ102" s="232" t="str">
        <f>IFERROR(VLOOKUP(TableHandbook[[#This Row],[UDC]],TableSPPECULIN[],7,FALSE),"")</f>
        <v/>
      </c>
      <c r="AK102" s="232" t="str">
        <f>IFERROR(VLOOKUP(TableHandbook[[#This Row],[UDC]],TableSPPELNTCH[],7,FALSE),"")</f>
        <v/>
      </c>
      <c r="AL102" s="232" t="str">
        <f>IFERROR(VLOOKUP(TableHandbook[[#This Row],[UDC]],TableSPPESTEME[],7,FALSE),"")</f>
        <v/>
      </c>
    </row>
    <row r="103" spans="1:38" x14ac:dyDescent="0.25">
      <c r="A103" s="2" t="s">
        <v>275</v>
      </c>
      <c r="B103" s="3">
        <v>1</v>
      </c>
      <c r="C103" s="3"/>
      <c r="D103" s="2" t="s">
        <v>440</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31"/>
      <c r="P103" s="233" t="str">
        <f>IFERROR(VLOOKUP(TableHandbook[[#This Row],[UDC]],TableMCTEACH[],7,FALSE),"")</f>
        <v/>
      </c>
      <c r="Q103" s="232" t="str">
        <f>IFERROR(VLOOKUP(TableHandbook[[#This Row],[UDC]],TableMJRPTCHEC[],7,FALSE),"")</f>
        <v/>
      </c>
      <c r="R103" s="232" t="str">
        <f>IFERROR(VLOOKUP(TableHandbook[[#This Row],[UDC]],TableMJRPTCHPR[],7,FALSE),"")</f>
        <v/>
      </c>
      <c r="S103" s="232" t="str">
        <f>IFERROR(VLOOKUP(TableHandbook[[#This Row],[UDC]],TableMJRPTCHSC[],7,FALSE),"")</f>
        <v>Option</v>
      </c>
      <c r="T103" s="232" t="str">
        <f>IFERROR(VLOOKUP(TableHandbook[[#This Row],[UDC]],TableSTRPSCART[],7,FALSE),"")</f>
        <v/>
      </c>
      <c r="U103" s="232" t="str">
        <f>IFERROR(VLOOKUP(TableHandbook[[#This Row],[UDC]],TableSTRPSCENG[],7,FALSE),"")</f>
        <v/>
      </c>
      <c r="V103" s="232" t="str">
        <f>IFERROR(VLOOKUP(TableHandbook[[#This Row],[UDC]],TableSTRPSCHLP[],7,FALSE),"")</f>
        <v/>
      </c>
      <c r="W103" s="232" t="str">
        <f>IFERROR(VLOOKUP(TableHandbook[[#This Row],[UDC]],TableSTRPSCHUS[],7,FALSE),"")</f>
        <v/>
      </c>
      <c r="X103" s="232" t="str">
        <f>IFERROR(VLOOKUP(TableHandbook[[#This Row],[UDC]],TableSTRPSCMAT[],7,FALSE),"")</f>
        <v/>
      </c>
      <c r="Y103" s="232" t="str">
        <f>IFERROR(VLOOKUP(TableHandbook[[#This Row],[UDC]],TableSTRPSCSCI[],7,FALSE),"")</f>
        <v/>
      </c>
      <c r="Z103" s="232" t="str">
        <f>IFERROR(VLOOKUP(TableHandbook[[#This Row],[UDC]],TableSTRPSCFON[],7,FALSE),"")</f>
        <v/>
      </c>
      <c r="AA103" s="233" t="str">
        <f>IFERROR(VLOOKUP(TableHandbook[[#This Row],[UDC]],TableGCTESOL[],7,FALSE),"")</f>
        <v/>
      </c>
      <c r="AB103" s="232" t="str">
        <f>IFERROR(VLOOKUP(TableHandbook[[#This Row],[UDC]],TableMCTESOL[],7,FALSE),"")</f>
        <v/>
      </c>
      <c r="AC103" s="232" t="str">
        <f>IFERROR(VLOOKUP(TableHandbook[[#This Row],[UDC]],TableMCAPLING[],7,FALSE),"")</f>
        <v/>
      </c>
      <c r="AD103" s="233" t="str">
        <f>IFERROR(VLOOKUP(TableHandbook[[#This Row],[UDC]],TableGCEDHE[],7,FALSE),"")</f>
        <v/>
      </c>
      <c r="AE103" s="232" t="str">
        <f>IFERROR(VLOOKUP(TableHandbook[[#This Row],[UDC]],TableGCEDUC[],7,FALSE),"")</f>
        <v/>
      </c>
      <c r="AF103" s="232" t="str">
        <f>IFERROR(VLOOKUP(TableHandbook[[#This Row],[UDC]],TableGDEDUC[],7,FALSE),"")</f>
        <v/>
      </c>
      <c r="AG103" s="232" t="str">
        <f>IFERROR(VLOOKUP(TableHandbook[[#This Row],[UDC]],TableMJRPEDUPR[],7,FALSE),"")</f>
        <v/>
      </c>
      <c r="AH103" s="232" t="str">
        <f>IFERROR(VLOOKUP(TableHandbook[[#This Row],[UDC]],TableMJRPEDUSC[],7,FALSE),"")</f>
        <v>Option</v>
      </c>
      <c r="AI103" s="233" t="str">
        <f>IFERROR(VLOOKUP(TableHandbook[[#This Row],[UDC]],TableMCEDUC[],7,FALSE),"")</f>
        <v/>
      </c>
      <c r="AJ103" s="232" t="str">
        <f>IFERROR(VLOOKUP(TableHandbook[[#This Row],[UDC]],TableSPPECULIN[],7,FALSE),"")</f>
        <v/>
      </c>
      <c r="AK103" s="232" t="str">
        <f>IFERROR(VLOOKUP(TableHandbook[[#This Row],[UDC]],TableSPPELNTCH[],7,FALSE),"")</f>
        <v/>
      </c>
      <c r="AL103" s="232" t="str">
        <f>IFERROR(VLOOKUP(TableHandbook[[#This Row],[UDC]],TableSPPESTEME[],7,FALSE),"")</f>
        <v/>
      </c>
    </row>
    <row r="104" spans="1:38" x14ac:dyDescent="0.25">
      <c r="A104" s="2" t="s">
        <v>277</v>
      </c>
      <c r="B104" s="3">
        <v>1</v>
      </c>
      <c r="C104" s="3"/>
      <c r="D104" s="2" t="s">
        <v>441</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31"/>
      <c r="P104" s="233" t="str">
        <f>IFERROR(VLOOKUP(TableHandbook[[#This Row],[UDC]],TableMCTEACH[],7,FALSE),"")</f>
        <v/>
      </c>
      <c r="Q104" s="232" t="str">
        <f>IFERROR(VLOOKUP(TableHandbook[[#This Row],[UDC]],TableMJRPTCHEC[],7,FALSE),"")</f>
        <v/>
      </c>
      <c r="R104" s="232" t="str">
        <f>IFERROR(VLOOKUP(TableHandbook[[#This Row],[UDC]],TableMJRPTCHPR[],7,FALSE),"")</f>
        <v/>
      </c>
      <c r="S104" s="232" t="str">
        <f>IFERROR(VLOOKUP(TableHandbook[[#This Row],[UDC]],TableMJRPTCHSC[],7,FALSE),"")</f>
        <v>Option</v>
      </c>
      <c r="T104" s="232" t="str">
        <f>IFERROR(VLOOKUP(TableHandbook[[#This Row],[UDC]],TableSTRPSCART[],7,FALSE),"")</f>
        <v/>
      </c>
      <c r="U104" s="232" t="str">
        <f>IFERROR(VLOOKUP(TableHandbook[[#This Row],[UDC]],TableSTRPSCENG[],7,FALSE),"")</f>
        <v/>
      </c>
      <c r="V104" s="232" t="str">
        <f>IFERROR(VLOOKUP(TableHandbook[[#This Row],[UDC]],TableSTRPSCHLP[],7,FALSE),"")</f>
        <v/>
      </c>
      <c r="W104" s="232" t="str">
        <f>IFERROR(VLOOKUP(TableHandbook[[#This Row],[UDC]],TableSTRPSCHUS[],7,FALSE),"")</f>
        <v/>
      </c>
      <c r="X104" s="232" t="str">
        <f>IFERROR(VLOOKUP(TableHandbook[[#This Row],[UDC]],TableSTRPSCMAT[],7,FALSE),"")</f>
        <v/>
      </c>
      <c r="Y104" s="232" t="str">
        <f>IFERROR(VLOOKUP(TableHandbook[[#This Row],[UDC]],TableSTRPSCSCI[],7,FALSE),"")</f>
        <v/>
      </c>
      <c r="Z104" s="232" t="str">
        <f>IFERROR(VLOOKUP(TableHandbook[[#This Row],[UDC]],TableSTRPSCFON[],7,FALSE),"")</f>
        <v/>
      </c>
      <c r="AA104" s="233" t="str">
        <f>IFERROR(VLOOKUP(TableHandbook[[#This Row],[UDC]],TableGCTESOL[],7,FALSE),"")</f>
        <v/>
      </c>
      <c r="AB104" s="232" t="str">
        <f>IFERROR(VLOOKUP(TableHandbook[[#This Row],[UDC]],TableMCTESOL[],7,FALSE),"")</f>
        <v/>
      </c>
      <c r="AC104" s="232" t="str">
        <f>IFERROR(VLOOKUP(TableHandbook[[#This Row],[UDC]],TableMCAPLING[],7,FALSE),"")</f>
        <v/>
      </c>
      <c r="AD104" s="233" t="str">
        <f>IFERROR(VLOOKUP(TableHandbook[[#This Row],[UDC]],TableGCEDHE[],7,FALSE),"")</f>
        <v/>
      </c>
      <c r="AE104" s="232" t="str">
        <f>IFERROR(VLOOKUP(TableHandbook[[#This Row],[UDC]],TableGCEDUC[],7,FALSE),"")</f>
        <v/>
      </c>
      <c r="AF104" s="232" t="str">
        <f>IFERROR(VLOOKUP(TableHandbook[[#This Row],[UDC]],TableGDEDUC[],7,FALSE),"")</f>
        <v/>
      </c>
      <c r="AG104" s="232" t="str">
        <f>IFERROR(VLOOKUP(TableHandbook[[#This Row],[UDC]],TableMJRPEDUPR[],7,FALSE),"")</f>
        <v/>
      </c>
      <c r="AH104" s="232" t="str">
        <f>IFERROR(VLOOKUP(TableHandbook[[#This Row],[UDC]],TableMJRPEDUSC[],7,FALSE),"")</f>
        <v>Option</v>
      </c>
      <c r="AI104" s="233" t="str">
        <f>IFERROR(VLOOKUP(TableHandbook[[#This Row],[UDC]],TableMCEDUC[],7,FALSE),"")</f>
        <v/>
      </c>
      <c r="AJ104" s="232" t="str">
        <f>IFERROR(VLOOKUP(TableHandbook[[#This Row],[UDC]],TableSPPECULIN[],7,FALSE),"")</f>
        <v/>
      </c>
      <c r="AK104" s="232" t="str">
        <f>IFERROR(VLOOKUP(TableHandbook[[#This Row],[UDC]],TableSPPELNTCH[],7,FALSE),"")</f>
        <v/>
      </c>
      <c r="AL104" s="232" t="str">
        <f>IFERROR(VLOOKUP(TableHandbook[[#This Row],[UDC]],TableSPPESTEME[],7,FALSE),"")</f>
        <v/>
      </c>
    </row>
    <row r="105" spans="1:38" x14ac:dyDescent="0.25">
      <c r="A105" s="2" t="s">
        <v>280</v>
      </c>
      <c r="B105" s="3">
        <v>1</v>
      </c>
      <c r="C105" s="3"/>
      <c r="D105" s="2" t="s">
        <v>442</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31"/>
      <c r="P105" s="233" t="str">
        <f>IFERROR(VLOOKUP(TableHandbook[[#This Row],[UDC]],TableMCTEACH[],7,FALSE),"")</f>
        <v/>
      </c>
      <c r="Q105" s="232" t="str">
        <f>IFERROR(VLOOKUP(TableHandbook[[#This Row],[UDC]],TableMJRPTCHEC[],7,FALSE),"")</f>
        <v/>
      </c>
      <c r="R105" s="232" t="str">
        <f>IFERROR(VLOOKUP(TableHandbook[[#This Row],[UDC]],TableMJRPTCHPR[],7,FALSE),"")</f>
        <v/>
      </c>
      <c r="S105" s="232" t="str">
        <f>IFERROR(VLOOKUP(TableHandbook[[#This Row],[UDC]],TableMJRPTCHSC[],7,FALSE),"")</f>
        <v>Option</v>
      </c>
      <c r="T105" s="232" t="str">
        <f>IFERROR(VLOOKUP(TableHandbook[[#This Row],[UDC]],TableSTRPSCART[],7,FALSE),"")</f>
        <v/>
      </c>
      <c r="U105" s="232" t="str">
        <f>IFERROR(VLOOKUP(TableHandbook[[#This Row],[UDC]],TableSTRPSCENG[],7,FALSE),"")</f>
        <v/>
      </c>
      <c r="V105" s="232" t="str">
        <f>IFERROR(VLOOKUP(TableHandbook[[#This Row],[UDC]],TableSTRPSCHLP[],7,FALSE),"")</f>
        <v/>
      </c>
      <c r="W105" s="232" t="str">
        <f>IFERROR(VLOOKUP(TableHandbook[[#This Row],[UDC]],TableSTRPSCHUS[],7,FALSE),"")</f>
        <v/>
      </c>
      <c r="X105" s="232" t="str">
        <f>IFERROR(VLOOKUP(TableHandbook[[#This Row],[UDC]],TableSTRPSCMAT[],7,FALSE),"")</f>
        <v/>
      </c>
      <c r="Y105" s="232" t="str">
        <f>IFERROR(VLOOKUP(TableHandbook[[#This Row],[UDC]],TableSTRPSCSCI[],7,FALSE),"")</f>
        <v/>
      </c>
      <c r="Z105" s="232" t="str">
        <f>IFERROR(VLOOKUP(TableHandbook[[#This Row],[UDC]],TableSTRPSCFON[],7,FALSE),"")</f>
        <v/>
      </c>
      <c r="AA105" s="233" t="str">
        <f>IFERROR(VLOOKUP(TableHandbook[[#This Row],[UDC]],TableGCTESOL[],7,FALSE),"")</f>
        <v/>
      </c>
      <c r="AB105" s="232" t="str">
        <f>IFERROR(VLOOKUP(TableHandbook[[#This Row],[UDC]],TableMCTESOL[],7,FALSE),"")</f>
        <v/>
      </c>
      <c r="AC105" s="232" t="str">
        <f>IFERROR(VLOOKUP(TableHandbook[[#This Row],[UDC]],TableMCAPLING[],7,FALSE),"")</f>
        <v/>
      </c>
      <c r="AD105" s="233" t="str">
        <f>IFERROR(VLOOKUP(TableHandbook[[#This Row],[UDC]],TableGCEDHE[],7,FALSE),"")</f>
        <v/>
      </c>
      <c r="AE105" s="232" t="str">
        <f>IFERROR(VLOOKUP(TableHandbook[[#This Row],[UDC]],TableGCEDUC[],7,FALSE),"")</f>
        <v/>
      </c>
      <c r="AF105" s="232" t="str">
        <f>IFERROR(VLOOKUP(TableHandbook[[#This Row],[UDC]],TableGDEDUC[],7,FALSE),"")</f>
        <v/>
      </c>
      <c r="AG105" s="232" t="str">
        <f>IFERROR(VLOOKUP(TableHandbook[[#This Row],[UDC]],TableMJRPEDUPR[],7,FALSE),"")</f>
        <v/>
      </c>
      <c r="AH105" s="232" t="str">
        <f>IFERROR(VLOOKUP(TableHandbook[[#This Row],[UDC]],TableMJRPEDUSC[],7,FALSE),"")</f>
        <v>Option</v>
      </c>
      <c r="AI105" s="233" t="str">
        <f>IFERROR(VLOOKUP(TableHandbook[[#This Row],[UDC]],TableMCEDUC[],7,FALSE),"")</f>
        <v/>
      </c>
      <c r="AJ105" s="232" t="str">
        <f>IFERROR(VLOOKUP(TableHandbook[[#This Row],[UDC]],TableSPPECULIN[],7,FALSE),"")</f>
        <v/>
      </c>
      <c r="AK105" s="232" t="str">
        <f>IFERROR(VLOOKUP(TableHandbook[[#This Row],[UDC]],TableSPPELNTCH[],7,FALSE),"")</f>
        <v/>
      </c>
      <c r="AL105" s="232" t="str">
        <f>IFERROR(VLOOKUP(TableHandbook[[#This Row],[UDC]],TableSPPESTEME[],7,FALSE),"")</f>
        <v/>
      </c>
    </row>
  </sheetData>
  <sortState xmlns:xlrd2="http://schemas.microsoft.com/office/spreadsheetml/2017/richdata2" ref="A25:D38">
    <sortCondition ref="A25"/>
  </sortState>
  <conditionalFormatting sqref="A2:A105">
    <cfRule type="duplicateValues" dxfId="94" priority="144"/>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5"/>
  <sheetViews>
    <sheetView zoomScale="70" zoomScaleNormal="70" workbookViewId="0">
      <pane ySplit="1" topLeftCell="A119" activePane="bottomLeft" state="frozen"/>
      <selection activeCell="D5" sqref="D5"/>
      <selection pane="bottomLeft" activeCell="D5" sqref="D5"/>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25"/>
      <c r="D1" s="228" t="s">
        <v>443</v>
      </c>
    </row>
    <row r="2" spans="1:18" x14ac:dyDescent="0.25">
      <c r="B2"/>
      <c r="E2"/>
      <c r="F2" s="50"/>
      <c r="G2" s="51" t="s">
        <v>444</v>
      </c>
      <c r="H2" s="256">
        <v>44562</v>
      </c>
      <c r="I2" s="50"/>
      <c r="J2" s="259" t="s">
        <v>102</v>
      </c>
      <c r="K2" s="257" t="s">
        <v>80</v>
      </c>
      <c r="L2" s="50" t="s">
        <v>11</v>
      </c>
      <c r="N2" t="s">
        <v>445</v>
      </c>
      <c r="O2" s="227">
        <v>45548</v>
      </c>
      <c r="P2" s="258">
        <v>45292</v>
      </c>
    </row>
    <row r="3" spans="1:18" x14ac:dyDescent="0.25">
      <c r="A3" t="s">
        <v>0</v>
      </c>
      <c r="B3" s="1" t="s">
        <v>446</v>
      </c>
      <c r="C3" t="s">
        <v>447</v>
      </c>
      <c r="D3" t="s">
        <v>3</v>
      </c>
      <c r="E3" s="53" t="s">
        <v>448</v>
      </c>
      <c r="F3" t="s">
        <v>449</v>
      </c>
      <c r="G3" t="s">
        <v>450</v>
      </c>
      <c r="H3" t="s">
        <v>451</v>
      </c>
      <c r="I3" t="s">
        <v>21</v>
      </c>
      <c r="J3" t="s">
        <v>452</v>
      </c>
      <c r="K3" s="1" t="s">
        <v>1</v>
      </c>
      <c r="L3" t="s">
        <v>453</v>
      </c>
      <c r="M3" t="s">
        <v>52</v>
      </c>
      <c r="N3" s="105" t="s">
        <v>454</v>
      </c>
      <c r="O3" s="105" t="s">
        <v>455</v>
      </c>
      <c r="Q3" t="s">
        <v>456</v>
      </c>
      <c r="R3" t="s">
        <v>457</v>
      </c>
    </row>
    <row r="4" spans="1:18" x14ac:dyDescent="0.25">
      <c r="A4" t="str">
        <f>TableMCTEACH[[#This Row],[Study Package Code]]</f>
        <v/>
      </c>
      <c r="B4" s="1">
        <f>TableMCTEACH[[#This Row],[Ver]]</f>
        <v>0</v>
      </c>
      <c r="D4" t="str">
        <f>TableMCTEACH[[#This Row],[Structure Line]]</f>
        <v>Majors</v>
      </c>
      <c r="E4" s="53">
        <f>TableMCTEACH[[#This Row],[Credit Points]]</f>
        <v>400</v>
      </c>
      <c r="F4">
        <v>1</v>
      </c>
      <c r="G4" t="s">
        <v>458</v>
      </c>
      <c r="H4">
        <v>1</v>
      </c>
      <c r="I4" t="s">
        <v>459</v>
      </c>
      <c r="J4" t="s">
        <v>460</v>
      </c>
      <c r="K4" s="1">
        <v>0</v>
      </c>
      <c r="L4" t="s">
        <v>461</v>
      </c>
      <c r="M4">
        <v>400</v>
      </c>
      <c r="N4" s="92"/>
      <c r="O4" s="92"/>
      <c r="Q4" t="s">
        <v>460</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458</v>
      </c>
      <c r="H5">
        <v>1</v>
      </c>
      <c r="I5" t="s">
        <v>459</v>
      </c>
      <c r="J5" t="s">
        <v>122</v>
      </c>
      <c r="K5" s="1">
        <v>2</v>
      </c>
      <c r="L5" t="s">
        <v>14</v>
      </c>
      <c r="M5">
        <v>400</v>
      </c>
      <c r="N5" s="92">
        <v>44562</v>
      </c>
      <c r="O5" s="92"/>
      <c r="Q5" t="s">
        <v>122</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458</v>
      </c>
      <c r="H6">
        <v>1</v>
      </c>
      <c r="I6" t="s">
        <v>459</v>
      </c>
      <c r="J6" t="s">
        <v>125</v>
      </c>
      <c r="K6" s="1">
        <v>2</v>
      </c>
      <c r="L6" t="s">
        <v>38</v>
      </c>
      <c r="M6">
        <v>400</v>
      </c>
      <c r="N6" s="92">
        <v>44562</v>
      </c>
      <c r="O6" s="92"/>
      <c r="Q6" t="s">
        <v>125</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458</v>
      </c>
      <c r="H7">
        <v>1</v>
      </c>
      <c r="I7" t="s">
        <v>459</v>
      </c>
      <c r="J7" t="s">
        <v>127</v>
      </c>
      <c r="K7" s="1">
        <v>2</v>
      </c>
      <c r="L7" t="s">
        <v>126</v>
      </c>
      <c r="M7">
        <v>400</v>
      </c>
      <c r="N7" s="92">
        <v>44562</v>
      </c>
      <c r="O7" s="92"/>
      <c r="Q7" t="s">
        <v>127</v>
      </c>
      <c r="R7">
        <v>2</v>
      </c>
    </row>
    <row r="8" spans="1:18" x14ac:dyDescent="0.25">
      <c r="B8"/>
      <c r="E8"/>
      <c r="F8" s="50"/>
      <c r="G8" s="51" t="s">
        <v>444</v>
      </c>
      <c r="H8" s="256">
        <v>44562</v>
      </c>
      <c r="J8" s="259" t="s">
        <v>122</v>
      </c>
      <c r="K8" s="257" t="s">
        <v>80</v>
      </c>
      <c r="L8" s="50" t="s">
        <v>14</v>
      </c>
      <c r="N8" t="s">
        <v>445</v>
      </c>
      <c r="O8" s="227">
        <v>45548</v>
      </c>
    </row>
    <row r="9" spans="1:18" x14ac:dyDescent="0.25">
      <c r="A9" t="s">
        <v>0</v>
      </c>
      <c r="B9" s="1" t="s">
        <v>446</v>
      </c>
      <c r="C9" t="s">
        <v>447</v>
      </c>
      <c r="D9" t="s">
        <v>3</v>
      </c>
      <c r="E9" s="53" t="s">
        <v>448</v>
      </c>
      <c r="F9" t="s">
        <v>449</v>
      </c>
      <c r="G9" t="s">
        <v>450</v>
      </c>
      <c r="H9" t="s">
        <v>451</v>
      </c>
      <c r="I9" t="s">
        <v>21</v>
      </c>
      <c r="J9" t="s">
        <v>452</v>
      </c>
      <c r="K9" s="1" t="s">
        <v>1</v>
      </c>
      <c r="L9" t="s">
        <v>453</v>
      </c>
      <c r="M9" t="s">
        <v>52</v>
      </c>
      <c r="N9" s="105" t="s">
        <v>454</v>
      </c>
      <c r="O9" s="105" t="s">
        <v>455</v>
      </c>
      <c r="Q9" t="s">
        <v>456</v>
      </c>
      <c r="R9" t="s">
        <v>457</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458</v>
      </c>
      <c r="H10">
        <v>1</v>
      </c>
      <c r="I10" t="s">
        <v>459</v>
      </c>
      <c r="J10" t="s">
        <v>86</v>
      </c>
      <c r="K10" s="1">
        <v>1</v>
      </c>
      <c r="L10" t="s">
        <v>384</v>
      </c>
      <c r="M10">
        <v>25</v>
      </c>
      <c r="N10" s="92">
        <v>43101</v>
      </c>
      <c r="O10" s="92"/>
      <c r="Q10" t="s">
        <v>86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458</v>
      </c>
      <c r="H11">
        <v>1</v>
      </c>
      <c r="I11" t="s">
        <v>459</v>
      </c>
      <c r="J11" t="s">
        <v>89</v>
      </c>
      <c r="K11" s="1">
        <v>1</v>
      </c>
      <c r="L11" t="s">
        <v>332</v>
      </c>
      <c r="M11">
        <v>25</v>
      </c>
      <c r="N11" s="92">
        <v>43101</v>
      </c>
      <c r="O11" s="92"/>
      <c r="Q11" t="s">
        <v>89</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458</v>
      </c>
      <c r="H12">
        <v>1</v>
      </c>
      <c r="I12" t="s">
        <v>459</v>
      </c>
      <c r="J12" t="s">
        <v>99</v>
      </c>
      <c r="K12" s="1">
        <v>2</v>
      </c>
      <c r="L12" t="s">
        <v>333</v>
      </c>
      <c r="M12">
        <v>25</v>
      </c>
      <c r="N12" s="92">
        <v>44562</v>
      </c>
      <c r="O12" s="92"/>
      <c r="Q12" t="s">
        <v>99</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458</v>
      </c>
      <c r="H13">
        <v>1</v>
      </c>
      <c r="I13" t="s">
        <v>459</v>
      </c>
      <c r="J13" t="s">
        <v>100</v>
      </c>
      <c r="K13" s="1">
        <v>1</v>
      </c>
      <c r="L13" t="s">
        <v>341</v>
      </c>
      <c r="M13">
        <v>25</v>
      </c>
      <c r="N13" s="92">
        <v>43101</v>
      </c>
      <c r="O13" s="92"/>
      <c r="Q13" t="s">
        <v>100</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458</v>
      </c>
      <c r="H14">
        <v>1</v>
      </c>
      <c r="I14" t="s">
        <v>459</v>
      </c>
      <c r="J14" t="s">
        <v>90</v>
      </c>
      <c r="K14" s="1">
        <v>1</v>
      </c>
      <c r="L14" t="s">
        <v>340</v>
      </c>
      <c r="M14">
        <v>25</v>
      </c>
      <c r="N14" s="92">
        <v>43101</v>
      </c>
      <c r="O14" s="92"/>
      <c r="Q14" t="s">
        <v>90</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458</v>
      </c>
      <c r="H15">
        <v>1</v>
      </c>
      <c r="I15" t="s">
        <v>459</v>
      </c>
      <c r="J15" t="s">
        <v>77</v>
      </c>
      <c r="K15" s="1">
        <v>1</v>
      </c>
      <c r="L15" t="s">
        <v>389</v>
      </c>
      <c r="M15">
        <v>25</v>
      </c>
      <c r="N15" s="92">
        <v>44562</v>
      </c>
      <c r="O15" s="92"/>
      <c r="Q15" t="s">
        <v>77</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458</v>
      </c>
      <c r="H16">
        <v>1</v>
      </c>
      <c r="I16" t="s">
        <v>459</v>
      </c>
      <c r="J16" t="s">
        <v>81</v>
      </c>
      <c r="K16" s="1">
        <v>1</v>
      </c>
      <c r="L16" t="s">
        <v>335</v>
      </c>
      <c r="M16">
        <v>25</v>
      </c>
      <c r="N16" s="92">
        <v>43101</v>
      </c>
      <c r="O16" s="92"/>
      <c r="Q16" t="s">
        <v>81</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458</v>
      </c>
      <c r="H17">
        <v>1</v>
      </c>
      <c r="I17" t="s">
        <v>459</v>
      </c>
      <c r="J17" t="s">
        <v>72</v>
      </c>
      <c r="K17" s="1">
        <v>2</v>
      </c>
      <c r="L17" t="s">
        <v>381</v>
      </c>
      <c r="M17">
        <v>25</v>
      </c>
      <c r="N17" s="92">
        <v>44197</v>
      </c>
      <c r="O17" s="92"/>
      <c r="Q17" t="s">
        <v>72</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458</v>
      </c>
      <c r="H18">
        <v>2</v>
      </c>
      <c r="I18" t="s">
        <v>459</v>
      </c>
      <c r="J18" t="s">
        <v>115</v>
      </c>
      <c r="K18" s="1">
        <v>1</v>
      </c>
      <c r="L18" t="s">
        <v>338</v>
      </c>
      <c r="M18">
        <v>25</v>
      </c>
      <c r="N18" s="92">
        <v>43101</v>
      </c>
      <c r="O18" s="92"/>
      <c r="Q18" t="s">
        <v>115</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458</v>
      </c>
      <c r="H19">
        <v>2</v>
      </c>
      <c r="I19" t="s">
        <v>459</v>
      </c>
      <c r="J19" t="s">
        <v>95</v>
      </c>
      <c r="K19" s="1">
        <v>1</v>
      </c>
      <c r="L19" t="s">
        <v>382</v>
      </c>
      <c r="M19">
        <v>25</v>
      </c>
      <c r="N19" s="92">
        <v>43101</v>
      </c>
      <c r="O19" s="92"/>
      <c r="Q19" t="s">
        <v>95</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458</v>
      </c>
      <c r="H20">
        <v>2</v>
      </c>
      <c r="I20" t="s">
        <v>459</v>
      </c>
      <c r="J20" t="s">
        <v>120</v>
      </c>
      <c r="K20" s="1">
        <v>1</v>
      </c>
      <c r="L20" t="s">
        <v>342</v>
      </c>
      <c r="M20">
        <v>25</v>
      </c>
      <c r="N20" s="92">
        <v>44562</v>
      </c>
      <c r="O20" s="92"/>
      <c r="Q20" t="s">
        <v>120</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458</v>
      </c>
      <c r="H21">
        <v>2</v>
      </c>
      <c r="I21" t="s">
        <v>459</v>
      </c>
      <c r="J21" t="s">
        <v>107</v>
      </c>
      <c r="K21" s="1">
        <v>1</v>
      </c>
      <c r="L21" t="s">
        <v>337</v>
      </c>
      <c r="M21">
        <v>25</v>
      </c>
      <c r="N21" s="92">
        <v>43101</v>
      </c>
      <c r="O21" s="92"/>
      <c r="Q21" t="s">
        <v>107</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458</v>
      </c>
      <c r="H22">
        <v>2</v>
      </c>
      <c r="I22" t="s">
        <v>459</v>
      </c>
      <c r="J22" t="s">
        <v>123</v>
      </c>
      <c r="K22" s="1">
        <v>1</v>
      </c>
      <c r="L22" t="s">
        <v>339</v>
      </c>
      <c r="M22">
        <v>25</v>
      </c>
      <c r="N22" s="92">
        <v>43101</v>
      </c>
      <c r="O22" s="92"/>
      <c r="Q22" t="s">
        <v>123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458</v>
      </c>
      <c r="H23">
        <v>2</v>
      </c>
      <c r="I23" t="s">
        <v>459</v>
      </c>
      <c r="J23" t="s">
        <v>116</v>
      </c>
      <c r="K23" s="1">
        <v>1</v>
      </c>
      <c r="L23" t="s">
        <v>343</v>
      </c>
      <c r="M23">
        <v>25</v>
      </c>
      <c r="N23" s="92">
        <v>44562</v>
      </c>
      <c r="O23" s="92"/>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458</v>
      </c>
      <c r="H24">
        <v>2</v>
      </c>
      <c r="I24" t="s">
        <v>459</v>
      </c>
      <c r="J24" t="s">
        <v>117</v>
      </c>
      <c r="K24" s="1">
        <v>1</v>
      </c>
      <c r="L24" t="s">
        <v>406</v>
      </c>
      <c r="M24">
        <v>25</v>
      </c>
      <c r="N24" s="92">
        <v>44562</v>
      </c>
      <c r="O24" s="92"/>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458</v>
      </c>
      <c r="H25">
        <v>2</v>
      </c>
      <c r="I25" t="s">
        <v>459</v>
      </c>
      <c r="J25" t="s">
        <v>129</v>
      </c>
      <c r="K25" s="1">
        <v>1</v>
      </c>
      <c r="L25" t="s">
        <v>408</v>
      </c>
      <c r="M25">
        <v>25</v>
      </c>
      <c r="N25" s="92">
        <v>44562</v>
      </c>
      <c r="O25" s="92"/>
      <c r="Q25" t="s">
        <v>129</v>
      </c>
      <c r="R25">
        <v>1</v>
      </c>
    </row>
    <row r="26" spans="1:18" x14ac:dyDescent="0.25">
      <c r="B26"/>
      <c r="E26"/>
      <c r="F26" s="50"/>
      <c r="G26" s="51" t="s">
        <v>444</v>
      </c>
      <c r="H26" s="256">
        <v>44562</v>
      </c>
      <c r="J26" s="259" t="s">
        <v>125</v>
      </c>
      <c r="K26" s="257" t="s">
        <v>80</v>
      </c>
      <c r="L26" s="50" t="s">
        <v>38</v>
      </c>
      <c r="N26" t="s">
        <v>445</v>
      </c>
      <c r="O26" s="227">
        <v>45548</v>
      </c>
    </row>
    <row r="27" spans="1:18" x14ac:dyDescent="0.25">
      <c r="A27" t="s">
        <v>0</v>
      </c>
      <c r="B27" s="1" t="s">
        <v>446</v>
      </c>
      <c r="C27" t="s">
        <v>447</v>
      </c>
      <c r="D27" t="s">
        <v>3</v>
      </c>
      <c r="E27" s="53" t="s">
        <v>448</v>
      </c>
      <c r="F27" t="s">
        <v>449</v>
      </c>
      <c r="G27" t="s">
        <v>450</v>
      </c>
      <c r="H27" t="s">
        <v>451</v>
      </c>
      <c r="I27" t="s">
        <v>21</v>
      </c>
      <c r="J27" t="s">
        <v>452</v>
      </c>
      <c r="K27" s="1" t="s">
        <v>1</v>
      </c>
      <c r="L27" t="s">
        <v>453</v>
      </c>
      <c r="M27" t="s">
        <v>52</v>
      </c>
      <c r="N27" s="105" t="s">
        <v>454</v>
      </c>
      <c r="O27" s="105" t="s">
        <v>455</v>
      </c>
      <c r="Q27" t="s">
        <v>456</v>
      </c>
      <c r="R27" t="s">
        <v>457</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458</v>
      </c>
      <c r="H28">
        <v>1</v>
      </c>
      <c r="I28" t="s">
        <v>459</v>
      </c>
      <c r="J28" t="s">
        <v>95</v>
      </c>
      <c r="K28" s="1">
        <v>1</v>
      </c>
      <c r="L28" t="s">
        <v>382</v>
      </c>
      <c r="M28">
        <v>25</v>
      </c>
      <c r="N28" s="92">
        <v>43101</v>
      </c>
      <c r="O28" s="92"/>
      <c r="Q28" t="s">
        <v>95</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458</v>
      </c>
      <c r="H29">
        <v>1</v>
      </c>
      <c r="I29" t="s">
        <v>459</v>
      </c>
      <c r="J29" t="s">
        <v>86</v>
      </c>
      <c r="K29" s="1">
        <v>1</v>
      </c>
      <c r="L29" t="s">
        <v>384</v>
      </c>
      <c r="M29">
        <v>25</v>
      </c>
      <c r="N29" s="92">
        <v>43101</v>
      </c>
      <c r="O29" s="92"/>
      <c r="Q29" t="s">
        <v>86</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458</v>
      </c>
      <c r="H30">
        <v>1</v>
      </c>
      <c r="I30" t="s">
        <v>459</v>
      </c>
      <c r="J30" t="s">
        <v>77</v>
      </c>
      <c r="K30" s="1">
        <v>1</v>
      </c>
      <c r="L30" t="s">
        <v>389</v>
      </c>
      <c r="M30">
        <v>25</v>
      </c>
      <c r="N30" s="92">
        <v>44562</v>
      </c>
      <c r="O30" s="92"/>
      <c r="Q30" t="s">
        <v>77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458</v>
      </c>
      <c r="H31">
        <v>1</v>
      </c>
      <c r="I31" t="s">
        <v>459</v>
      </c>
      <c r="J31" t="s">
        <v>91</v>
      </c>
      <c r="K31" s="1">
        <v>2</v>
      </c>
      <c r="L31" t="s">
        <v>352</v>
      </c>
      <c r="M31">
        <v>25</v>
      </c>
      <c r="N31" s="92">
        <v>44562</v>
      </c>
      <c r="O31" s="92"/>
      <c r="Q31" t="s">
        <v>91</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458</v>
      </c>
      <c r="H32">
        <v>1</v>
      </c>
      <c r="I32" t="s">
        <v>459</v>
      </c>
      <c r="J32" t="s">
        <v>101</v>
      </c>
      <c r="K32" s="1">
        <v>1</v>
      </c>
      <c r="L32" t="s">
        <v>353</v>
      </c>
      <c r="M32">
        <v>25</v>
      </c>
      <c r="N32" s="92">
        <v>43101</v>
      </c>
      <c r="O32" s="92"/>
      <c r="Q32" t="s">
        <v>101</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458</v>
      </c>
      <c r="H33">
        <v>1</v>
      </c>
      <c r="I33" t="s">
        <v>459</v>
      </c>
      <c r="J33" t="s">
        <v>87</v>
      </c>
      <c r="K33" s="1">
        <v>1</v>
      </c>
      <c r="L33" t="s">
        <v>354</v>
      </c>
      <c r="M33">
        <v>25</v>
      </c>
      <c r="N33" s="92">
        <v>43101</v>
      </c>
      <c r="O33" s="92"/>
      <c r="Q33" t="s">
        <v>87</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458</v>
      </c>
      <c r="H34">
        <v>1</v>
      </c>
      <c r="I34" t="s">
        <v>459</v>
      </c>
      <c r="J34" t="s">
        <v>105</v>
      </c>
      <c r="K34" s="1">
        <v>1</v>
      </c>
      <c r="L34" t="s">
        <v>357</v>
      </c>
      <c r="M34">
        <v>25</v>
      </c>
      <c r="N34" s="92">
        <v>43101</v>
      </c>
      <c r="O34" s="92"/>
      <c r="Q34" t="s">
        <v>105</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458</v>
      </c>
      <c r="H35">
        <v>1</v>
      </c>
      <c r="I35" t="s">
        <v>459</v>
      </c>
      <c r="J35" t="s">
        <v>72</v>
      </c>
      <c r="K35" s="1">
        <v>2</v>
      </c>
      <c r="L35" t="s">
        <v>381</v>
      </c>
      <c r="M35">
        <v>25</v>
      </c>
      <c r="N35" s="92">
        <v>44197</v>
      </c>
      <c r="O35" s="92"/>
      <c r="Q35" t="s">
        <v>72</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458</v>
      </c>
      <c r="H36">
        <v>2</v>
      </c>
      <c r="I36" t="s">
        <v>459</v>
      </c>
      <c r="J36" t="s">
        <v>118</v>
      </c>
      <c r="K36" s="1">
        <v>1</v>
      </c>
      <c r="L36" t="s">
        <v>360</v>
      </c>
      <c r="M36">
        <v>25</v>
      </c>
      <c r="N36" s="92">
        <v>44562</v>
      </c>
      <c r="O36" s="92"/>
      <c r="Q36" t="s">
        <v>118</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458</v>
      </c>
      <c r="H37">
        <v>2</v>
      </c>
      <c r="I37" t="s">
        <v>459</v>
      </c>
      <c r="J37" t="s">
        <v>96</v>
      </c>
      <c r="K37" s="1">
        <v>1</v>
      </c>
      <c r="L37" t="s">
        <v>383</v>
      </c>
      <c r="M37">
        <v>25</v>
      </c>
      <c r="N37" s="92">
        <v>43101</v>
      </c>
      <c r="O37" s="92"/>
      <c r="Q37" t="s">
        <v>96</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458</v>
      </c>
      <c r="H38">
        <v>2</v>
      </c>
      <c r="I38" t="s">
        <v>459</v>
      </c>
      <c r="J38" t="s">
        <v>117</v>
      </c>
      <c r="K38" s="1">
        <v>1</v>
      </c>
      <c r="L38" t="s">
        <v>406</v>
      </c>
      <c r="M38">
        <v>25</v>
      </c>
      <c r="N38" s="92">
        <v>44562</v>
      </c>
      <c r="O38" s="92"/>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458</v>
      </c>
      <c r="H39">
        <v>2</v>
      </c>
      <c r="I39" t="s">
        <v>459</v>
      </c>
      <c r="J39" t="s">
        <v>129</v>
      </c>
      <c r="K39" s="1">
        <v>1</v>
      </c>
      <c r="L39" t="s">
        <v>408</v>
      </c>
      <c r="M39">
        <v>25</v>
      </c>
      <c r="N39" s="92">
        <v>44562</v>
      </c>
      <c r="O39" s="92"/>
      <c r="Q39" t="s">
        <v>129</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458</v>
      </c>
      <c r="H40">
        <v>2</v>
      </c>
      <c r="I40" t="s">
        <v>459</v>
      </c>
      <c r="J40" t="s">
        <v>121</v>
      </c>
      <c r="K40" s="1">
        <v>2</v>
      </c>
      <c r="L40" t="s">
        <v>358</v>
      </c>
      <c r="M40">
        <v>25</v>
      </c>
      <c r="N40" s="92">
        <v>45292</v>
      </c>
      <c r="O40" s="92"/>
      <c r="Q40" t="s">
        <v>121</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458</v>
      </c>
      <c r="H41">
        <v>2</v>
      </c>
      <c r="I41" t="s">
        <v>459</v>
      </c>
      <c r="J41" t="s">
        <v>124</v>
      </c>
      <c r="K41" s="1">
        <v>1</v>
      </c>
      <c r="L41" t="s">
        <v>409</v>
      </c>
      <c r="M41">
        <v>25</v>
      </c>
      <c r="N41" s="92">
        <v>44562</v>
      </c>
      <c r="O41" s="92"/>
      <c r="Q41" t="s">
        <v>124</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458</v>
      </c>
      <c r="H42">
        <v>2</v>
      </c>
      <c r="I42" t="s">
        <v>459</v>
      </c>
      <c r="J42" t="s">
        <v>113</v>
      </c>
      <c r="K42" s="1">
        <v>1</v>
      </c>
      <c r="L42" t="s">
        <v>359</v>
      </c>
      <c r="M42">
        <v>25</v>
      </c>
      <c r="N42" s="92">
        <v>43101</v>
      </c>
      <c r="O42" s="92"/>
      <c r="Q42" t="s">
        <v>113</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458</v>
      </c>
      <c r="H43">
        <v>2</v>
      </c>
      <c r="I43" t="s">
        <v>459</v>
      </c>
      <c r="J43" t="s">
        <v>108</v>
      </c>
      <c r="K43" s="1">
        <v>1</v>
      </c>
      <c r="L43" t="s">
        <v>356</v>
      </c>
      <c r="M43">
        <v>25</v>
      </c>
      <c r="N43" s="92">
        <v>43101</v>
      </c>
      <c r="O43" s="92"/>
      <c r="Q43" t="s">
        <v>108</v>
      </c>
      <c r="R43">
        <v>1</v>
      </c>
    </row>
    <row r="44" spans="1:18" x14ac:dyDescent="0.25">
      <c r="A44" s="50" t="s">
        <v>127</v>
      </c>
      <c r="B44" s="52" t="s">
        <v>80</v>
      </c>
      <c r="C44" s="50"/>
      <c r="D44" s="50" t="s">
        <v>126</v>
      </c>
      <c r="E44" s="52"/>
      <c r="F44" s="50"/>
      <c r="G44" s="51" t="s">
        <v>444</v>
      </c>
      <c r="H44" s="256">
        <v>44562</v>
      </c>
      <c r="J44" s="259" t="s">
        <v>127</v>
      </c>
      <c r="K44" s="257" t="s">
        <v>80</v>
      </c>
      <c r="L44" s="50" t="s">
        <v>126</v>
      </c>
      <c r="N44" t="s">
        <v>445</v>
      </c>
      <c r="O44" s="227">
        <v>45548</v>
      </c>
    </row>
    <row r="45" spans="1:18" x14ac:dyDescent="0.25">
      <c r="A45" t="s">
        <v>0</v>
      </c>
      <c r="B45" s="1" t="s">
        <v>446</v>
      </c>
      <c r="C45" t="s">
        <v>447</v>
      </c>
      <c r="D45" t="s">
        <v>3</v>
      </c>
      <c r="E45" s="53" t="s">
        <v>448</v>
      </c>
      <c r="F45" t="s">
        <v>449</v>
      </c>
      <c r="G45" t="s">
        <v>450</v>
      </c>
      <c r="H45" t="s">
        <v>451</v>
      </c>
      <c r="I45" t="s">
        <v>21</v>
      </c>
      <c r="J45" t="s">
        <v>452</v>
      </c>
      <c r="K45" s="1" t="s">
        <v>1</v>
      </c>
      <c r="L45" t="s">
        <v>453</v>
      </c>
      <c r="M45" t="s">
        <v>52</v>
      </c>
      <c r="N45" s="105" t="s">
        <v>454</v>
      </c>
      <c r="O45" s="105" t="s">
        <v>455</v>
      </c>
      <c r="Q45" t="s">
        <v>456</v>
      </c>
      <c r="R45" t="s">
        <v>457</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458</v>
      </c>
      <c r="H46">
        <v>1</v>
      </c>
      <c r="I46" t="s">
        <v>459</v>
      </c>
      <c r="J46" t="s">
        <v>265</v>
      </c>
      <c r="K46" s="1">
        <v>1</v>
      </c>
      <c r="L46" t="s">
        <v>361</v>
      </c>
      <c r="M46">
        <v>25</v>
      </c>
      <c r="N46" s="92">
        <v>43101</v>
      </c>
      <c r="O46" s="92"/>
      <c r="Q46" t="s">
        <v>265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458</v>
      </c>
      <c r="H47">
        <v>1</v>
      </c>
      <c r="I47" t="s">
        <v>459</v>
      </c>
      <c r="J47" t="s">
        <v>181</v>
      </c>
      <c r="K47" s="1">
        <v>1</v>
      </c>
      <c r="L47" t="s">
        <v>362</v>
      </c>
      <c r="M47">
        <v>25</v>
      </c>
      <c r="N47" s="92">
        <v>43101</v>
      </c>
      <c r="O47" s="92"/>
      <c r="Q47" t="s">
        <v>181</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458</v>
      </c>
      <c r="H48">
        <v>1</v>
      </c>
      <c r="I48" t="s">
        <v>459</v>
      </c>
      <c r="J48" t="s">
        <v>268</v>
      </c>
      <c r="K48" s="1">
        <v>1</v>
      </c>
      <c r="L48" t="s">
        <v>368</v>
      </c>
      <c r="M48">
        <v>25</v>
      </c>
      <c r="N48" s="92">
        <v>43101</v>
      </c>
      <c r="O48" s="92"/>
      <c r="Q48" t="s">
        <v>268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458</v>
      </c>
      <c r="H49">
        <v>1</v>
      </c>
      <c r="I49" t="s">
        <v>459</v>
      </c>
      <c r="J49" t="s">
        <v>273</v>
      </c>
      <c r="K49" s="1">
        <v>1</v>
      </c>
      <c r="L49" t="s">
        <v>369</v>
      </c>
      <c r="M49">
        <v>25</v>
      </c>
      <c r="N49" s="92">
        <v>43101</v>
      </c>
      <c r="O49" s="92"/>
      <c r="Q49" t="s">
        <v>273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458</v>
      </c>
      <c r="H50">
        <v>1</v>
      </c>
      <c r="I50" t="s">
        <v>459</v>
      </c>
      <c r="J50" t="s">
        <v>259</v>
      </c>
      <c r="K50" s="1">
        <v>1</v>
      </c>
      <c r="L50" t="s">
        <v>375</v>
      </c>
      <c r="M50">
        <v>25</v>
      </c>
      <c r="N50" s="92">
        <v>43101</v>
      </c>
      <c r="O50" s="92"/>
      <c r="Q50" t="s">
        <v>259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428</v>
      </c>
      <c r="H51">
        <v>1</v>
      </c>
      <c r="I51" t="s">
        <v>459</v>
      </c>
      <c r="J51" t="s">
        <v>428</v>
      </c>
      <c r="K51" s="1">
        <v>0</v>
      </c>
      <c r="L51" t="s">
        <v>414</v>
      </c>
      <c r="M51">
        <v>50</v>
      </c>
      <c r="N51" s="92"/>
      <c r="O51" s="92"/>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458</v>
      </c>
      <c r="H52">
        <v>1</v>
      </c>
      <c r="I52" t="s">
        <v>459</v>
      </c>
      <c r="J52" t="s">
        <v>72</v>
      </c>
      <c r="K52" s="1">
        <v>2</v>
      </c>
      <c r="L52" t="s">
        <v>381</v>
      </c>
      <c r="M52">
        <v>25</v>
      </c>
      <c r="N52" s="92">
        <v>44197</v>
      </c>
      <c r="O52" s="92"/>
      <c r="Q52" t="s">
        <v>72</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458</v>
      </c>
      <c r="H53">
        <v>2</v>
      </c>
      <c r="I53" t="s">
        <v>459</v>
      </c>
      <c r="J53" t="s">
        <v>95</v>
      </c>
      <c r="K53" s="1">
        <v>1</v>
      </c>
      <c r="L53" t="s">
        <v>382</v>
      </c>
      <c r="M53">
        <v>25</v>
      </c>
      <c r="N53" s="92">
        <v>43101</v>
      </c>
      <c r="O53" s="92"/>
      <c r="Q53" t="s">
        <v>95</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458</v>
      </c>
      <c r="H54">
        <v>2</v>
      </c>
      <c r="I54" t="s">
        <v>459</v>
      </c>
      <c r="J54" t="s">
        <v>96</v>
      </c>
      <c r="K54" s="1">
        <v>1</v>
      </c>
      <c r="L54" t="s">
        <v>383</v>
      </c>
      <c r="M54">
        <v>25</v>
      </c>
      <c r="N54" s="92">
        <v>43101</v>
      </c>
      <c r="O54" s="92"/>
      <c r="Q54" t="s">
        <v>96</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458</v>
      </c>
      <c r="H55">
        <v>2</v>
      </c>
      <c r="I55" t="s">
        <v>459</v>
      </c>
      <c r="J55" t="s">
        <v>117</v>
      </c>
      <c r="K55" s="1">
        <v>1</v>
      </c>
      <c r="L55" t="s">
        <v>406</v>
      </c>
      <c r="M55">
        <v>25</v>
      </c>
      <c r="N55" s="92">
        <v>44562</v>
      </c>
      <c r="O55" s="92"/>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458</v>
      </c>
      <c r="H56">
        <v>2</v>
      </c>
      <c r="I56" t="s">
        <v>459</v>
      </c>
      <c r="J56" t="s">
        <v>129</v>
      </c>
      <c r="K56" s="1">
        <v>1</v>
      </c>
      <c r="L56" t="s">
        <v>408</v>
      </c>
      <c r="M56">
        <v>25</v>
      </c>
      <c r="N56" s="92">
        <v>44562</v>
      </c>
      <c r="O56" s="92"/>
      <c r="Q56" t="s">
        <v>129</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458</v>
      </c>
      <c r="H57">
        <v>2</v>
      </c>
      <c r="I57" t="s">
        <v>459</v>
      </c>
      <c r="J57" t="s">
        <v>281</v>
      </c>
      <c r="K57" s="1">
        <v>1</v>
      </c>
      <c r="L57" t="s">
        <v>380</v>
      </c>
      <c r="M57">
        <v>25</v>
      </c>
      <c r="N57" s="92">
        <v>44562</v>
      </c>
      <c r="O57" s="92"/>
      <c r="Q57" t="s">
        <v>281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458</v>
      </c>
      <c r="H58">
        <v>2</v>
      </c>
      <c r="I58" t="s">
        <v>459</v>
      </c>
      <c r="J58" t="s">
        <v>124</v>
      </c>
      <c r="K58" s="1">
        <v>1</v>
      </c>
      <c r="L58" t="s">
        <v>409</v>
      </c>
      <c r="M58">
        <v>25</v>
      </c>
      <c r="N58" s="92">
        <v>44562</v>
      </c>
      <c r="O58" s="92"/>
      <c r="Q58" t="s">
        <v>124</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428</v>
      </c>
      <c r="H59">
        <v>2</v>
      </c>
      <c r="I59" t="s">
        <v>459</v>
      </c>
      <c r="J59" t="s">
        <v>428</v>
      </c>
      <c r="K59" s="1">
        <v>0</v>
      </c>
      <c r="L59" t="s">
        <v>434</v>
      </c>
      <c r="M59">
        <v>50</v>
      </c>
      <c r="N59" s="92"/>
      <c r="O59" s="92"/>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428</v>
      </c>
      <c r="H60">
        <v>1</v>
      </c>
      <c r="I60" t="s">
        <v>459</v>
      </c>
      <c r="J60" t="s">
        <v>264</v>
      </c>
      <c r="K60" s="1">
        <v>1</v>
      </c>
      <c r="L60" t="s">
        <v>436</v>
      </c>
      <c r="M60">
        <v>50</v>
      </c>
      <c r="N60" s="92">
        <v>44562</v>
      </c>
      <c r="O60" s="92"/>
      <c r="Q60" t="s">
        <v>264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428</v>
      </c>
      <c r="H61">
        <v>1</v>
      </c>
      <c r="I61" t="s">
        <v>459</v>
      </c>
      <c r="J61" t="s">
        <v>270</v>
      </c>
      <c r="K61" s="1">
        <v>1</v>
      </c>
      <c r="L61" t="s">
        <v>437</v>
      </c>
      <c r="M61">
        <v>50</v>
      </c>
      <c r="N61" s="92">
        <v>44562</v>
      </c>
      <c r="O61" s="92"/>
      <c r="Q61" t="s">
        <v>270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428</v>
      </c>
      <c r="H62">
        <v>1</v>
      </c>
      <c r="I62" t="s">
        <v>459</v>
      </c>
      <c r="J62" t="s">
        <v>272</v>
      </c>
      <c r="K62" s="1">
        <v>1</v>
      </c>
      <c r="L62" t="s">
        <v>439</v>
      </c>
      <c r="M62">
        <v>50</v>
      </c>
      <c r="N62" s="92">
        <v>44562</v>
      </c>
      <c r="O62" s="92"/>
      <c r="Q62" t="s">
        <v>272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428</v>
      </c>
      <c r="H63">
        <v>1</v>
      </c>
      <c r="I63" t="s">
        <v>459</v>
      </c>
      <c r="J63" t="s">
        <v>275</v>
      </c>
      <c r="K63" s="1">
        <v>1</v>
      </c>
      <c r="L63" t="s">
        <v>440</v>
      </c>
      <c r="M63">
        <v>50</v>
      </c>
      <c r="N63" s="92">
        <v>44562</v>
      </c>
      <c r="O63" s="92"/>
      <c r="Q63" t="s">
        <v>275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428</v>
      </c>
      <c r="H64">
        <v>1</v>
      </c>
      <c r="I64" t="s">
        <v>459</v>
      </c>
      <c r="J64" t="s">
        <v>277</v>
      </c>
      <c r="K64" s="1">
        <v>1</v>
      </c>
      <c r="L64" t="s">
        <v>441</v>
      </c>
      <c r="M64">
        <v>50</v>
      </c>
      <c r="N64" s="92">
        <v>44562</v>
      </c>
      <c r="O64" s="92"/>
      <c r="Q64" t="s">
        <v>277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428</v>
      </c>
      <c r="H65">
        <v>1</v>
      </c>
      <c r="I65" t="s">
        <v>459</v>
      </c>
      <c r="J65" t="s">
        <v>280</v>
      </c>
      <c r="K65" s="1">
        <v>1</v>
      </c>
      <c r="L65" t="s">
        <v>442</v>
      </c>
      <c r="M65">
        <v>50</v>
      </c>
      <c r="N65" s="92">
        <v>44562</v>
      </c>
      <c r="O65" s="92"/>
      <c r="Q65" t="s">
        <v>280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428</v>
      </c>
      <c r="H66">
        <v>2</v>
      </c>
      <c r="I66" t="s">
        <v>459</v>
      </c>
      <c r="J66" t="s">
        <v>264</v>
      </c>
      <c r="K66" s="1">
        <v>1</v>
      </c>
      <c r="L66" t="s">
        <v>436</v>
      </c>
      <c r="M66">
        <v>50</v>
      </c>
      <c r="N66" s="92">
        <v>44562</v>
      </c>
      <c r="O66" s="92"/>
      <c r="Q66" t="s">
        <v>264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428</v>
      </c>
      <c r="H67">
        <v>2</v>
      </c>
      <c r="I67" t="s">
        <v>459</v>
      </c>
      <c r="J67" t="s">
        <v>270</v>
      </c>
      <c r="K67" s="1">
        <v>1</v>
      </c>
      <c r="L67" t="s">
        <v>437</v>
      </c>
      <c r="M67">
        <v>50</v>
      </c>
      <c r="N67" s="92">
        <v>44562</v>
      </c>
      <c r="O67" s="92"/>
      <c r="Q67" t="s">
        <v>270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428</v>
      </c>
      <c r="H68">
        <v>2</v>
      </c>
      <c r="I68" t="s">
        <v>459</v>
      </c>
      <c r="J68" t="s">
        <v>267</v>
      </c>
      <c r="K68" s="1">
        <v>1</v>
      </c>
      <c r="L68" t="s">
        <v>438</v>
      </c>
      <c r="M68">
        <v>50</v>
      </c>
      <c r="N68" s="92">
        <v>44562</v>
      </c>
      <c r="O68" s="92"/>
      <c r="Q68" t="s">
        <v>267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428</v>
      </c>
      <c r="H69">
        <v>2</v>
      </c>
      <c r="I69" t="s">
        <v>459</v>
      </c>
      <c r="J69" t="s">
        <v>272</v>
      </c>
      <c r="K69" s="1">
        <v>1</v>
      </c>
      <c r="L69" t="s">
        <v>439</v>
      </c>
      <c r="M69">
        <v>50</v>
      </c>
      <c r="N69" s="92">
        <v>44562</v>
      </c>
      <c r="O69" s="92"/>
      <c r="Q69" t="s">
        <v>272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428</v>
      </c>
      <c r="H70">
        <v>2</v>
      </c>
      <c r="I70" t="s">
        <v>459</v>
      </c>
      <c r="J70" t="s">
        <v>275</v>
      </c>
      <c r="K70" s="1">
        <v>1</v>
      </c>
      <c r="L70" t="s">
        <v>440</v>
      </c>
      <c r="M70">
        <v>50</v>
      </c>
      <c r="N70" s="92">
        <v>44562</v>
      </c>
      <c r="O70" s="92"/>
      <c r="Q70" t="s">
        <v>275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428</v>
      </c>
      <c r="H71">
        <v>2</v>
      </c>
      <c r="I71" t="s">
        <v>459</v>
      </c>
      <c r="J71" t="s">
        <v>277</v>
      </c>
      <c r="K71" s="1">
        <v>1</v>
      </c>
      <c r="L71" t="s">
        <v>441</v>
      </c>
      <c r="M71">
        <v>50</v>
      </c>
      <c r="N71" s="92">
        <v>44562</v>
      </c>
      <c r="O71" s="92"/>
      <c r="Q71" t="s">
        <v>277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428</v>
      </c>
      <c r="H72">
        <v>2</v>
      </c>
      <c r="I72" t="s">
        <v>459</v>
      </c>
      <c r="J72" t="s">
        <v>280</v>
      </c>
      <c r="K72" s="1">
        <v>1</v>
      </c>
      <c r="L72" t="s">
        <v>442</v>
      </c>
      <c r="M72">
        <v>50</v>
      </c>
      <c r="N72" s="92">
        <v>44562</v>
      </c>
      <c r="O72" s="92"/>
      <c r="Q72" t="s">
        <v>280</v>
      </c>
      <c r="R72">
        <v>1</v>
      </c>
    </row>
    <row r="73" spans="1:18" x14ac:dyDescent="0.25">
      <c r="B73"/>
      <c r="E73"/>
      <c r="F73" s="50"/>
      <c r="G73" s="51" t="s">
        <v>444</v>
      </c>
      <c r="H73" s="256">
        <v>44562</v>
      </c>
      <c r="J73" s="259" t="s">
        <v>264</v>
      </c>
      <c r="K73" s="257" t="s">
        <v>56</v>
      </c>
      <c r="L73" s="50" t="s">
        <v>436</v>
      </c>
      <c r="N73" t="s">
        <v>445</v>
      </c>
      <c r="O73" s="227">
        <v>45548</v>
      </c>
    </row>
    <row r="74" spans="1:18" x14ac:dyDescent="0.25">
      <c r="A74" t="s">
        <v>0</v>
      </c>
      <c r="B74" s="1" t="s">
        <v>446</v>
      </c>
      <c r="C74" t="s">
        <v>447</v>
      </c>
      <c r="D74" t="s">
        <v>3</v>
      </c>
      <c r="E74" s="53" t="s">
        <v>448</v>
      </c>
      <c r="F74" t="s">
        <v>449</v>
      </c>
      <c r="G74" t="s">
        <v>450</v>
      </c>
      <c r="H74" t="s">
        <v>451</v>
      </c>
      <c r="I74" t="s">
        <v>21</v>
      </c>
      <c r="J74" t="s">
        <v>452</v>
      </c>
      <c r="K74" s="1" t="s">
        <v>1</v>
      </c>
      <c r="L74" t="s">
        <v>453</v>
      </c>
      <c r="M74" t="s">
        <v>52</v>
      </c>
      <c r="N74" s="105" t="s">
        <v>454</v>
      </c>
      <c r="O74" s="105" t="s">
        <v>455</v>
      </c>
      <c r="Q74" t="s">
        <v>456</v>
      </c>
      <c r="R74" t="s">
        <v>457</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458</v>
      </c>
      <c r="H75">
        <v>1</v>
      </c>
      <c r="I75" t="s">
        <v>459</v>
      </c>
      <c r="J75" t="s">
        <v>290</v>
      </c>
      <c r="K75" s="1">
        <v>2</v>
      </c>
      <c r="L75" t="s">
        <v>363</v>
      </c>
      <c r="M75">
        <v>25</v>
      </c>
      <c r="N75" s="92">
        <v>44562</v>
      </c>
      <c r="O75" s="92"/>
      <c r="Q75" t="s">
        <v>290</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458</v>
      </c>
      <c r="H76">
        <v>2</v>
      </c>
      <c r="I76" t="s">
        <v>459</v>
      </c>
      <c r="J76" t="s">
        <v>298</v>
      </c>
      <c r="K76" s="1">
        <v>2</v>
      </c>
      <c r="L76" t="s">
        <v>370</v>
      </c>
      <c r="M76">
        <v>25</v>
      </c>
      <c r="N76" s="92">
        <v>43831</v>
      </c>
      <c r="O76" s="92"/>
      <c r="Q76" t="s">
        <v>298</v>
      </c>
      <c r="R76">
        <v>2</v>
      </c>
    </row>
    <row r="77" spans="1:18" x14ac:dyDescent="0.25">
      <c r="B77"/>
      <c r="E77"/>
      <c r="F77" s="50"/>
      <c r="G77" s="51" t="s">
        <v>444</v>
      </c>
      <c r="H77" s="256">
        <v>44562</v>
      </c>
      <c r="J77" s="259" t="s">
        <v>270</v>
      </c>
      <c r="K77" s="257" t="s">
        <v>56</v>
      </c>
      <c r="L77" s="50" t="s">
        <v>437</v>
      </c>
      <c r="N77" t="s">
        <v>445</v>
      </c>
      <c r="O77" s="227">
        <v>45548</v>
      </c>
    </row>
    <row r="78" spans="1:18" x14ac:dyDescent="0.25">
      <c r="A78" t="s">
        <v>0</v>
      </c>
      <c r="B78" s="1" t="s">
        <v>446</v>
      </c>
      <c r="C78" t="s">
        <v>447</v>
      </c>
      <c r="D78" t="s">
        <v>3</v>
      </c>
      <c r="E78" s="53" t="s">
        <v>448</v>
      </c>
      <c r="F78" t="s">
        <v>449</v>
      </c>
      <c r="G78" t="s">
        <v>450</v>
      </c>
      <c r="H78" t="s">
        <v>451</v>
      </c>
      <c r="I78" t="s">
        <v>21</v>
      </c>
      <c r="J78" t="s">
        <v>452</v>
      </c>
      <c r="K78" s="1" t="s">
        <v>1</v>
      </c>
      <c r="L78" t="s">
        <v>453</v>
      </c>
      <c r="M78" t="s">
        <v>52</v>
      </c>
      <c r="N78" s="105" t="s">
        <v>454</v>
      </c>
      <c r="O78" s="105" t="s">
        <v>455</v>
      </c>
      <c r="Q78" t="s">
        <v>456</v>
      </c>
      <c r="R78" t="s">
        <v>457</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458</v>
      </c>
      <c r="H79">
        <v>1</v>
      </c>
      <c r="I79" t="s">
        <v>459</v>
      </c>
      <c r="J79" t="s">
        <v>299</v>
      </c>
      <c r="K79" s="1">
        <v>1</v>
      </c>
      <c r="L79" t="s">
        <v>376</v>
      </c>
      <c r="M79">
        <v>25</v>
      </c>
      <c r="N79" s="92">
        <v>43831</v>
      </c>
      <c r="O79" s="92"/>
      <c r="Q79" t="s">
        <v>299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458</v>
      </c>
      <c r="H80">
        <v>2</v>
      </c>
      <c r="I80" t="s">
        <v>459</v>
      </c>
      <c r="J80" t="s">
        <v>291</v>
      </c>
      <c r="K80" s="1">
        <v>1</v>
      </c>
      <c r="L80" t="s">
        <v>364</v>
      </c>
      <c r="M80">
        <v>25</v>
      </c>
      <c r="N80" s="92">
        <v>43101</v>
      </c>
      <c r="O80" s="92"/>
      <c r="Q80" t="s">
        <v>291</v>
      </c>
      <c r="R80">
        <v>1</v>
      </c>
    </row>
    <row r="81" spans="1:18" x14ac:dyDescent="0.25">
      <c r="B81"/>
      <c r="E81"/>
      <c r="F81" s="50"/>
      <c r="G81" s="51" t="s">
        <v>444</v>
      </c>
      <c r="H81" s="256">
        <v>44562</v>
      </c>
      <c r="J81" s="259" t="s">
        <v>272</v>
      </c>
      <c r="K81" s="257" t="s">
        <v>56</v>
      </c>
      <c r="L81" s="50" t="s">
        <v>439</v>
      </c>
      <c r="N81" t="s">
        <v>445</v>
      </c>
      <c r="O81" s="227">
        <v>45548</v>
      </c>
    </row>
    <row r="82" spans="1:18" x14ac:dyDescent="0.25">
      <c r="A82" t="s">
        <v>0</v>
      </c>
      <c r="B82" s="1" t="s">
        <v>446</v>
      </c>
      <c r="C82" t="s">
        <v>447</v>
      </c>
      <c r="D82" t="s">
        <v>3</v>
      </c>
      <c r="E82" s="53" t="s">
        <v>448</v>
      </c>
      <c r="F82" t="s">
        <v>449</v>
      </c>
      <c r="G82" t="s">
        <v>450</v>
      </c>
      <c r="H82" t="s">
        <v>451</v>
      </c>
      <c r="I82" t="s">
        <v>21</v>
      </c>
      <c r="J82" t="s">
        <v>452</v>
      </c>
      <c r="K82" s="1" t="s">
        <v>1</v>
      </c>
      <c r="L82" t="s">
        <v>453</v>
      </c>
      <c r="M82" t="s">
        <v>52</v>
      </c>
      <c r="N82" s="105" t="s">
        <v>454</v>
      </c>
      <c r="O82" s="105" t="s">
        <v>455</v>
      </c>
      <c r="Q82" t="s">
        <v>456</v>
      </c>
      <c r="R82" t="s">
        <v>457</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458</v>
      </c>
      <c r="H83">
        <v>1</v>
      </c>
      <c r="I83" t="s">
        <v>459</v>
      </c>
      <c r="J83" t="s">
        <v>292</v>
      </c>
      <c r="K83" s="1">
        <v>1</v>
      </c>
      <c r="L83" t="s">
        <v>377</v>
      </c>
      <c r="M83">
        <v>25</v>
      </c>
      <c r="N83" s="92">
        <v>43831</v>
      </c>
      <c r="O83" s="92"/>
      <c r="Q83" t="s">
        <v>292</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458</v>
      </c>
      <c r="H84">
        <v>2</v>
      </c>
      <c r="I84" t="s">
        <v>459</v>
      </c>
      <c r="J84" t="s">
        <v>300</v>
      </c>
      <c r="K84" s="1">
        <v>1</v>
      </c>
      <c r="L84" t="s">
        <v>378</v>
      </c>
      <c r="M84">
        <v>25</v>
      </c>
      <c r="N84" s="92">
        <v>43831</v>
      </c>
      <c r="O84" s="92"/>
      <c r="Q84" t="s">
        <v>300</v>
      </c>
      <c r="R84">
        <v>1</v>
      </c>
    </row>
    <row r="85" spans="1:18" x14ac:dyDescent="0.25">
      <c r="B85"/>
      <c r="E85"/>
      <c r="F85" s="50"/>
      <c r="G85" s="51" t="s">
        <v>444</v>
      </c>
      <c r="H85" s="256">
        <v>44562</v>
      </c>
      <c r="J85" s="259" t="s">
        <v>275</v>
      </c>
      <c r="K85" s="257" t="s">
        <v>56</v>
      </c>
      <c r="L85" s="50" t="s">
        <v>440</v>
      </c>
      <c r="N85" t="s">
        <v>445</v>
      </c>
      <c r="O85" s="227">
        <v>45548</v>
      </c>
    </row>
    <row r="86" spans="1:18" x14ac:dyDescent="0.25">
      <c r="A86" t="s">
        <v>0</v>
      </c>
      <c r="B86" s="1" t="s">
        <v>446</v>
      </c>
      <c r="C86" t="s">
        <v>447</v>
      </c>
      <c r="D86" t="s">
        <v>3</v>
      </c>
      <c r="E86" s="53" t="s">
        <v>448</v>
      </c>
      <c r="F86" t="s">
        <v>449</v>
      </c>
      <c r="G86" t="s">
        <v>450</v>
      </c>
      <c r="H86" t="s">
        <v>451</v>
      </c>
      <c r="I86" t="s">
        <v>21</v>
      </c>
      <c r="J86" t="s">
        <v>452</v>
      </c>
      <c r="K86" s="1" t="s">
        <v>1</v>
      </c>
      <c r="L86" t="s">
        <v>453</v>
      </c>
      <c r="M86" t="s">
        <v>52</v>
      </c>
      <c r="N86" s="105" t="s">
        <v>454</v>
      </c>
      <c r="O86" s="105" t="s">
        <v>455</v>
      </c>
      <c r="Q86" t="s">
        <v>456</v>
      </c>
      <c r="R86" t="s">
        <v>457</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458</v>
      </c>
      <c r="H87">
        <v>1</v>
      </c>
      <c r="I87" t="s">
        <v>459</v>
      </c>
      <c r="J87" t="s">
        <v>293</v>
      </c>
      <c r="K87" s="1">
        <v>1</v>
      </c>
      <c r="L87" t="s">
        <v>365</v>
      </c>
      <c r="M87">
        <v>25</v>
      </c>
      <c r="N87" s="92">
        <v>43101</v>
      </c>
      <c r="O87" s="92"/>
      <c r="Q87" t="s">
        <v>293</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458</v>
      </c>
      <c r="H88">
        <v>2</v>
      </c>
      <c r="I88" t="s">
        <v>459</v>
      </c>
      <c r="J88" t="s">
        <v>301</v>
      </c>
      <c r="K88" s="1">
        <v>2</v>
      </c>
      <c r="L88" t="s">
        <v>372</v>
      </c>
      <c r="M88">
        <v>25</v>
      </c>
      <c r="N88" s="92">
        <v>43831</v>
      </c>
      <c r="O88" s="92"/>
      <c r="Q88" t="s">
        <v>301</v>
      </c>
      <c r="R88">
        <v>2</v>
      </c>
    </row>
    <row r="89" spans="1:18" x14ac:dyDescent="0.25">
      <c r="B89"/>
      <c r="E89"/>
      <c r="F89" s="50"/>
      <c r="G89" s="51" t="s">
        <v>444</v>
      </c>
      <c r="H89" s="256">
        <v>44562</v>
      </c>
      <c r="J89" s="259" t="s">
        <v>277</v>
      </c>
      <c r="K89" s="257" t="s">
        <v>56</v>
      </c>
      <c r="L89" s="50" t="s">
        <v>441</v>
      </c>
      <c r="N89" t="s">
        <v>445</v>
      </c>
      <c r="O89" s="227">
        <v>45548</v>
      </c>
    </row>
    <row r="90" spans="1:18" x14ac:dyDescent="0.25">
      <c r="A90" t="s">
        <v>0</v>
      </c>
      <c r="B90" s="1" t="s">
        <v>446</v>
      </c>
      <c r="C90" t="s">
        <v>447</v>
      </c>
      <c r="D90" t="s">
        <v>3</v>
      </c>
      <c r="E90" s="53" t="s">
        <v>448</v>
      </c>
      <c r="F90" t="s">
        <v>449</v>
      </c>
      <c r="G90" t="s">
        <v>450</v>
      </c>
      <c r="H90" t="s">
        <v>451</v>
      </c>
      <c r="I90" t="s">
        <v>21</v>
      </c>
      <c r="J90" t="s">
        <v>452</v>
      </c>
      <c r="K90" s="1" t="s">
        <v>1</v>
      </c>
      <c r="L90" t="s">
        <v>453</v>
      </c>
      <c r="M90" t="s">
        <v>52</v>
      </c>
      <c r="N90" s="105" t="s">
        <v>454</v>
      </c>
      <c r="O90" s="105" t="s">
        <v>455</v>
      </c>
      <c r="Q90" t="s">
        <v>456</v>
      </c>
      <c r="R90" t="s">
        <v>457</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458</v>
      </c>
      <c r="H91">
        <v>1</v>
      </c>
      <c r="I91" t="s">
        <v>459</v>
      </c>
      <c r="J91" t="s">
        <v>294</v>
      </c>
      <c r="K91" s="1">
        <v>1</v>
      </c>
      <c r="L91" t="s">
        <v>366</v>
      </c>
      <c r="M91">
        <v>25</v>
      </c>
      <c r="N91" s="92">
        <v>43101</v>
      </c>
      <c r="O91" s="92"/>
      <c r="Q91" t="s">
        <v>294</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458</v>
      </c>
      <c r="H92">
        <v>2</v>
      </c>
      <c r="I92" t="s">
        <v>459</v>
      </c>
      <c r="J92" t="s">
        <v>302</v>
      </c>
      <c r="K92" s="1">
        <v>2</v>
      </c>
      <c r="L92" t="s">
        <v>373</v>
      </c>
      <c r="M92">
        <v>25</v>
      </c>
      <c r="N92" s="92">
        <v>43831</v>
      </c>
      <c r="O92" s="92"/>
      <c r="Q92" t="s">
        <v>302</v>
      </c>
      <c r="R92">
        <v>2</v>
      </c>
    </row>
    <row r="93" spans="1:18" x14ac:dyDescent="0.25">
      <c r="B93"/>
      <c r="E93"/>
      <c r="F93" s="50"/>
      <c r="G93" s="51" t="s">
        <v>444</v>
      </c>
      <c r="H93" s="256">
        <v>44562</v>
      </c>
      <c r="J93" s="259" t="s">
        <v>280</v>
      </c>
      <c r="K93" s="257" t="s">
        <v>56</v>
      </c>
      <c r="L93" s="50" t="s">
        <v>442</v>
      </c>
      <c r="N93" t="s">
        <v>445</v>
      </c>
      <c r="O93" s="227">
        <v>45548</v>
      </c>
    </row>
    <row r="94" spans="1:18" x14ac:dyDescent="0.25">
      <c r="A94" t="s">
        <v>0</v>
      </c>
      <c r="B94" s="1" t="s">
        <v>446</v>
      </c>
      <c r="C94" t="s">
        <v>447</v>
      </c>
      <c r="D94" t="s">
        <v>3</v>
      </c>
      <c r="E94" s="53" t="s">
        <v>448</v>
      </c>
      <c r="F94" t="s">
        <v>449</v>
      </c>
      <c r="G94" t="s">
        <v>450</v>
      </c>
      <c r="H94" t="s">
        <v>451</v>
      </c>
      <c r="I94" t="s">
        <v>21</v>
      </c>
      <c r="J94" t="s">
        <v>452</v>
      </c>
      <c r="K94" s="1" t="s">
        <v>1</v>
      </c>
      <c r="L94" t="s">
        <v>453</v>
      </c>
      <c r="M94" t="s">
        <v>52</v>
      </c>
      <c r="N94" s="105" t="s">
        <v>454</v>
      </c>
      <c r="O94" s="105" t="s">
        <v>455</v>
      </c>
      <c r="Q94" t="s">
        <v>456</v>
      </c>
      <c r="R94" t="s">
        <v>457</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458</v>
      </c>
      <c r="H95">
        <v>1</v>
      </c>
      <c r="I95" t="s">
        <v>459</v>
      </c>
      <c r="J95" t="s">
        <v>295</v>
      </c>
      <c r="K95" s="1">
        <v>1</v>
      </c>
      <c r="L95" t="s">
        <v>367</v>
      </c>
      <c r="M95">
        <v>25</v>
      </c>
      <c r="N95" s="92">
        <v>43101</v>
      </c>
      <c r="O95" s="92"/>
      <c r="Q95" t="s">
        <v>295</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458</v>
      </c>
      <c r="H96">
        <v>2</v>
      </c>
      <c r="I96" t="s">
        <v>459</v>
      </c>
      <c r="J96" t="s">
        <v>303</v>
      </c>
      <c r="K96" s="1">
        <v>2</v>
      </c>
      <c r="L96" t="s">
        <v>374</v>
      </c>
      <c r="M96">
        <v>25</v>
      </c>
      <c r="N96" s="92">
        <v>43831</v>
      </c>
      <c r="O96" s="92"/>
      <c r="Q96" t="s">
        <v>303</v>
      </c>
      <c r="R96">
        <v>2</v>
      </c>
    </row>
    <row r="97" spans="1:18" x14ac:dyDescent="0.25">
      <c r="B97"/>
      <c r="E97"/>
      <c r="F97" s="50"/>
      <c r="G97" s="51" t="s">
        <v>444</v>
      </c>
      <c r="H97" s="256">
        <v>44562</v>
      </c>
      <c r="J97" s="259" t="s">
        <v>267</v>
      </c>
      <c r="K97" s="257" t="s">
        <v>56</v>
      </c>
      <c r="L97" s="50" t="s">
        <v>438</v>
      </c>
      <c r="N97" t="s">
        <v>445</v>
      </c>
      <c r="O97" s="227">
        <v>45548</v>
      </c>
    </row>
    <row r="98" spans="1:18" x14ac:dyDescent="0.25">
      <c r="A98" t="s">
        <v>0</v>
      </c>
      <c r="B98" s="1" t="s">
        <v>446</v>
      </c>
      <c r="C98" t="s">
        <v>447</v>
      </c>
      <c r="D98" t="s">
        <v>3</v>
      </c>
      <c r="E98" s="53" t="s">
        <v>448</v>
      </c>
      <c r="F98" t="s">
        <v>449</v>
      </c>
      <c r="G98" t="s">
        <v>450</v>
      </c>
      <c r="H98" t="s">
        <v>451</v>
      </c>
      <c r="I98" t="s">
        <v>21</v>
      </c>
      <c r="J98" t="s">
        <v>452</v>
      </c>
      <c r="K98" s="1" t="s">
        <v>1</v>
      </c>
      <c r="L98" t="s">
        <v>453</v>
      </c>
      <c r="M98" t="s">
        <v>52</v>
      </c>
      <c r="N98" s="105" t="s">
        <v>454</v>
      </c>
      <c r="O98" s="105" t="s">
        <v>455</v>
      </c>
      <c r="Q98" t="s">
        <v>456</v>
      </c>
      <c r="R98" t="s">
        <v>457</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458</v>
      </c>
      <c r="H99">
        <v>1</v>
      </c>
      <c r="I99" t="s">
        <v>459</v>
      </c>
      <c r="J99" t="s">
        <v>178</v>
      </c>
      <c r="K99" s="1">
        <v>1</v>
      </c>
      <c r="L99" t="s">
        <v>390</v>
      </c>
      <c r="M99">
        <v>25</v>
      </c>
      <c r="N99" s="92">
        <v>44562</v>
      </c>
      <c r="O99" s="92"/>
      <c r="Q99" t="s">
        <v>178</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458</v>
      </c>
      <c r="H100">
        <v>2</v>
      </c>
      <c r="I100" t="s">
        <v>459</v>
      </c>
      <c r="J100" t="s">
        <v>309</v>
      </c>
      <c r="K100" s="1">
        <v>1</v>
      </c>
      <c r="L100" t="s">
        <v>379</v>
      </c>
      <c r="M100">
        <v>25</v>
      </c>
      <c r="N100" s="92">
        <v>44562</v>
      </c>
      <c r="O100" s="92"/>
      <c r="Q100" t="s">
        <v>309</v>
      </c>
      <c r="R100">
        <v>1</v>
      </c>
    </row>
    <row r="101" spans="1:18" x14ac:dyDescent="0.25">
      <c r="B101"/>
      <c r="E101"/>
    </row>
    <row r="102" spans="1:18" x14ac:dyDescent="0.25">
      <c r="B102"/>
      <c r="E102"/>
      <c r="F102" s="50"/>
      <c r="G102" s="51" t="s">
        <v>444</v>
      </c>
      <c r="H102" s="256">
        <v>43831</v>
      </c>
      <c r="J102" s="259" t="s">
        <v>106</v>
      </c>
      <c r="K102" s="257" t="s">
        <v>80</v>
      </c>
      <c r="L102" s="50" t="s">
        <v>39</v>
      </c>
      <c r="N102" t="s">
        <v>445</v>
      </c>
      <c r="O102" s="227">
        <v>45548</v>
      </c>
    </row>
    <row r="103" spans="1:18" x14ac:dyDescent="0.25">
      <c r="A103" t="s">
        <v>0</v>
      </c>
      <c r="B103" s="1" t="s">
        <v>446</v>
      </c>
      <c r="C103" t="s">
        <v>447</v>
      </c>
      <c r="D103" t="s">
        <v>3</v>
      </c>
      <c r="E103" s="53" t="s">
        <v>448</v>
      </c>
      <c r="F103" t="s">
        <v>449</v>
      </c>
      <c r="G103" t="s">
        <v>450</v>
      </c>
      <c r="H103" t="s">
        <v>451</v>
      </c>
      <c r="I103" t="s">
        <v>21</v>
      </c>
      <c r="J103" t="s">
        <v>452</v>
      </c>
      <c r="K103" s="1" t="s">
        <v>1</v>
      </c>
      <c r="L103" t="s">
        <v>453</v>
      </c>
      <c r="M103" t="s">
        <v>52</v>
      </c>
      <c r="N103" s="105" t="s">
        <v>454</v>
      </c>
      <c r="O103" s="105" t="s">
        <v>455</v>
      </c>
      <c r="Q103" t="s">
        <v>456</v>
      </c>
      <c r="R103" t="s">
        <v>457</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458</v>
      </c>
      <c r="H104">
        <v>1</v>
      </c>
      <c r="I104" t="s">
        <v>459</v>
      </c>
      <c r="J104" t="s">
        <v>95</v>
      </c>
      <c r="K104" s="1">
        <v>1</v>
      </c>
      <c r="L104" t="s">
        <v>382</v>
      </c>
      <c r="M104">
        <v>25</v>
      </c>
      <c r="N104" s="92">
        <v>43101</v>
      </c>
      <c r="O104" s="92"/>
      <c r="Q104" t="s">
        <v>95</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458</v>
      </c>
      <c r="H105">
        <v>1</v>
      </c>
      <c r="I105" t="s">
        <v>459</v>
      </c>
      <c r="J105" t="s">
        <v>168</v>
      </c>
      <c r="K105" s="1">
        <v>1</v>
      </c>
      <c r="L105" t="s">
        <v>385</v>
      </c>
      <c r="M105">
        <v>25</v>
      </c>
      <c r="N105" s="92">
        <v>42736</v>
      </c>
      <c r="O105" s="92"/>
      <c r="Q105" t="s">
        <v>168</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458</v>
      </c>
      <c r="H106">
        <v>1</v>
      </c>
      <c r="I106" t="s">
        <v>459</v>
      </c>
      <c r="J106" t="s">
        <v>181</v>
      </c>
      <c r="K106" s="1">
        <v>1</v>
      </c>
      <c r="L106" t="s">
        <v>362</v>
      </c>
      <c r="M106">
        <v>25</v>
      </c>
      <c r="N106" s="92">
        <v>43101</v>
      </c>
      <c r="O106" s="92"/>
      <c r="Q106" t="s">
        <v>181</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458</v>
      </c>
      <c r="H107">
        <v>1</v>
      </c>
      <c r="I107" t="s">
        <v>459</v>
      </c>
      <c r="J107" t="s">
        <v>156</v>
      </c>
      <c r="K107" s="1">
        <v>1</v>
      </c>
      <c r="L107" t="s">
        <v>386</v>
      </c>
      <c r="M107">
        <v>25</v>
      </c>
      <c r="N107" s="92">
        <v>42736</v>
      </c>
      <c r="O107" s="92"/>
      <c r="Q107" t="s">
        <v>156</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458</v>
      </c>
      <c r="H108">
        <v>1</v>
      </c>
      <c r="I108" t="s">
        <v>459</v>
      </c>
      <c r="J108" t="s">
        <v>178</v>
      </c>
      <c r="K108" s="1">
        <v>1</v>
      </c>
      <c r="L108" t="s">
        <v>390</v>
      </c>
      <c r="M108">
        <v>25</v>
      </c>
      <c r="N108" s="92">
        <v>44562</v>
      </c>
      <c r="O108" s="92"/>
      <c r="Q108" t="s">
        <v>178</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458</v>
      </c>
      <c r="H109">
        <v>1</v>
      </c>
      <c r="I109" t="s">
        <v>459</v>
      </c>
      <c r="J109" t="s">
        <v>161</v>
      </c>
      <c r="K109" s="1">
        <v>1</v>
      </c>
      <c r="L109" t="s">
        <v>387</v>
      </c>
      <c r="M109">
        <v>25</v>
      </c>
      <c r="N109" s="92">
        <v>42736</v>
      </c>
      <c r="O109" s="92"/>
      <c r="Q109" t="s">
        <v>161</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458</v>
      </c>
      <c r="H110">
        <v>1</v>
      </c>
      <c r="I110" t="s">
        <v>459</v>
      </c>
      <c r="J110" t="s">
        <v>72</v>
      </c>
      <c r="K110" s="1">
        <v>2</v>
      </c>
      <c r="L110" t="s">
        <v>381</v>
      </c>
      <c r="M110">
        <v>25</v>
      </c>
      <c r="N110" s="92">
        <v>44197</v>
      </c>
      <c r="O110" s="92"/>
      <c r="Q110" t="s">
        <v>72</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458</v>
      </c>
      <c r="H111">
        <v>1</v>
      </c>
      <c r="I111" t="s">
        <v>459</v>
      </c>
      <c r="J111" t="s">
        <v>175</v>
      </c>
      <c r="K111" s="1">
        <v>1</v>
      </c>
      <c r="L111" t="s">
        <v>388</v>
      </c>
      <c r="M111">
        <v>25</v>
      </c>
      <c r="N111" s="92">
        <v>42736</v>
      </c>
      <c r="O111" s="92"/>
      <c r="Q111" t="s">
        <v>175</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458</v>
      </c>
      <c r="H112">
        <v>2</v>
      </c>
      <c r="I112" t="s">
        <v>459</v>
      </c>
      <c r="J112" t="s">
        <v>423</v>
      </c>
      <c r="K112" s="1">
        <v>2</v>
      </c>
      <c r="L112" t="s">
        <v>424</v>
      </c>
      <c r="M112">
        <v>25</v>
      </c>
      <c r="N112" s="92">
        <v>42736</v>
      </c>
      <c r="O112" s="92"/>
      <c r="Q112" t="s">
        <v>423</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458</v>
      </c>
      <c r="H113">
        <v>2</v>
      </c>
      <c r="I113" t="s">
        <v>459</v>
      </c>
      <c r="J113" t="s">
        <v>180</v>
      </c>
      <c r="K113" s="1">
        <v>2</v>
      </c>
      <c r="L113" t="s">
        <v>425</v>
      </c>
      <c r="M113">
        <v>25</v>
      </c>
      <c r="N113" s="92">
        <v>42736</v>
      </c>
      <c r="O113" s="92"/>
      <c r="Q113" t="s">
        <v>180</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458</v>
      </c>
      <c r="H114">
        <v>2</v>
      </c>
      <c r="I114" t="s">
        <v>459</v>
      </c>
      <c r="J114" t="s">
        <v>177</v>
      </c>
      <c r="K114" s="1">
        <v>1</v>
      </c>
      <c r="L114" t="s">
        <v>395</v>
      </c>
      <c r="M114">
        <v>25</v>
      </c>
      <c r="N114" s="92">
        <v>42736</v>
      </c>
      <c r="O114" s="92"/>
      <c r="Q114" t="s">
        <v>177</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458</v>
      </c>
      <c r="H115">
        <v>2</v>
      </c>
      <c r="I115" t="s">
        <v>459</v>
      </c>
      <c r="J115" t="s">
        <v>163</v>
      </c>
      <c r="K115" s="1">
        <v>2</v>
      </c>
      <c r="L115" t="s">
        <v>394</v>
      </c>
      <c r="M115">
        <v>25</v>
      </c>
      <c r="N115" s="92">
        <v>44562</v>
      </c>
      <c r="O115" s="92"/>
      <c r="Q115" t="s">
        <v>163</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458</v>
      </c>
      <c r="H116">
        <v>2</v>
      </c>
      <c r="I116" t="s">
        <v>459</v>
      </c>
      <c r="J116" t="s">
        <v>158</v>
      </c>
      <c r="K116" s="1">
        <v>1</v>
      </c>
      <c r="L116" t="s">
        <v>397</v>
      </c>
      <c r="M116">
        <v>25</v>
      </c>
      <c r="N116" s="92">
        <v>42736</v>
      </c>
      <c r="O116" s="92"/>
      <c r="Q116" t="s">
        <v>184</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458</v>
      </c>
      <c r="H117">
        <v>2</v>
      </c>
      <c r="I117" t="s">
        <v>459</v>
      </c>
      <c r="J117" t="s">
        <v>169</v>
      </c>
      <c r="K117" s="1">
        <v>1</v>
      </c>
      <c r="L117" t="s">
        <v>396</v>
      </c>
      <c r="M117">
        <v>25</v>
      </c>
      <c r="N117" s="92">
        <v>42736</v>
      </c>
      <c r="O117" s="92"/>
      <c r="Q117" t="s">
        <v>158</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458</v>
      </c>
      <c r="H118">
        <v>2</v>
      </c>
      <c r="I118" t="s">
        <v>459</v>
      </c>
      <c r="J118" t="s">
        <v>184</v>
      </c>
      <c r="K118" s="1">
        <v>2</v>
      </c>
      <c r="L118" t="s">
        <v>392</v>
      </c>
      <c r="M118">
        <v>50</v>
      </c>
      <c r="N118" s="92">
        <v>44562</v>
      </c>
      <c r="O118" s="92"/>
      <c r="Q118" t="s">
        <v>169</v>
      </c>
      <c r="R118">
        <v>1</v>
      </c>
    </row>
    <row r="119" spans="1:18" x14ac:dyDescent="0.25">
      <c r="B119"/>
      <c r="E119"/>
      <c r="F119" s="50"/>
      <c r="G119" s="51" t="s">
        <v>444</v>
      </c>
      <c r="H119" s="256">
        <v>42736</v>
      </c>
      <c r="J119" s="259" t="s">
        <v>93</v>
      </c>
      <c r="K119" s="257" t="s">
        <v>94</v>
      </c>
      <c r="L119" s="50" t="s">
        <v>92</v>
      </c>
      <c r="N119" t="s">
        <v>445</v>
      </c>
      <c r="O119" s="227">
        <v>45548</v>
      </c>
    </row>
    <row r="120" spans="1:18" x14ac:dyDescent="0.25">
      <c r="A120" t="s">
        <v>0</v>
      </c>
      <c r="B120" s="1" t="s">
        <v>446</v>
      </c>
      <c r="C120" t="s">
        <v>447</v>
      </c>
      <c r="D120" t="s">
        <v>3</v>
      </c>
      <c r="E120" s="53" t="s">
        <v>448</v>
      </c>
      <c r="F120" t="s">
        <v>449</v>
      </c>
      <c r="G120" t="s">
        <v>450</v>
      </c>
      <c r="H120" t="s">
        <v>451</v>
      </c>
      <c r="I120" t="s">
        <v>21</v>
      </c>
      <c r="J120" t="s">
        <v>452</v>
      </c>
      <c r="K120" s="1" t="s">
        <v>1</v>
      </c>
      <c r="L120" t="s">
        <v>453</v>
      </c>
      <c r="M120" t="s">
        <v>52</v>
      </c>
      <c r="N120" s="105" t="s">
        <v>454</v>
      </c>
      <c r="O120" s="105" t="s">
        <v>455</v>
      </c>
      <c r="Q120" t="s">
        <v>456</v>
      </c>
      <c r="R120" t="s">
        <v>457</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458</v>
      </c>
      <c r="H121">
        <v>1</v>
      </c>
      <c r="I121" t="s">
        <v>459</v>
      </c>
      <c r="J121" t="s">
        <v>423</v>
      </c>
      <c r="K121" s="1">
        <v>2</v>
      </c>
      <c r="L121" t="s">
        <v>424</v>
      </c>
      <c r="M121">
        <v>25</v>
      </c>
      <c r="N121" s="92">
        <v>42736</v>
      </c>
      <c r="O121" s="92"/>
      <c r="Q121" t="s">
        <v>423</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458</v>
      </c>
      <c r="H122">
        <v>1</v>
      </c>
      <c r="I122" t="s">
        <v>459</v>
      </c>
      <c r="J122" t="s">
        <v>163</v>
      </c>
      <c r="K122" s="1">
        <v>2</v>
      </c>
      <c r="L122" t="s">
        <v>394</v>
      </c>
      <c r="M122">
        <v>25</v>
      </c>
      <c r="N122" s="92">
        <v>44562</v>
      </c>
      <c r="O122" s="92"/>
      <c r="Q122" t="s">
        <v>163</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458</v>
      </c>
      <c r="H123">
        <v>1</v>
      </c>
      <c r="I123" t="s">
        <v>459</v>
      </c>
      <c r="J123" t="s">
        <v>158</v>
      </c>
      <c r="K123" s="1">
        <v>1</v>
      </c>
      <c r="L123" t="s">
        <v>397</v>
      </c>
      <c r="M123">
        <v>25</v>
      </c>
      <c r="N123" s="92">
        <v>42736</v>
      </c>
      <c r="O123" s="92"/>
      <c r="Q123" t="s">
        <v>158</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458</v>
      </c>
      <c r="H124">
        <v>1</v>
      </c>
      <c r="I124" t="s">
        <v>459</v>
      </c>
      <c r="J124" t="s">
        <v>180</v>
      </c>
      <c r="K124" s="1">
        <v>2</v>
      </c>
      <c r="L124" t="s">
        <v>425</v>
      </c>
      <c r="M124">
        <v>25</v>
      </c>
      <c r="N124" s="92">
        <v>42736</v>
      </c>
      <c r="O124" s="92"/>
      <c r="Q124" t="s">
        <v>180</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458</v>
      </c>
      <c r="H125">
        <v>1</v>
      </c>
      <c r="I125" t="s">
        <v>459</v>
      </c>
      <c r="J125" t="s">
        <v>169</v>
      </c>
      <c r="K125" s="1">
        <v>1</v>
      </c>
      <c r="L125" t="s">
        <v>396</v>
      </c>
      <c r="M125">
        <v>25</v>
      </c>
      <c r="N125" s="92">
        <v>42736</v>
      </c>
      <c r="O125" s="92"/>
      <c r="Q125" t="s">
        <v>169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458</v>
      </c>
      <c r="H126">
        <v>1</v>
      </c>
      <c r="I126" t="s">
        <v>459</v>
      </c>
      <c r="J126" t="s">
        <v>177</v>
      </c>
      <c r="K126" s="1">
        <v>1</v>
      </c>
      <c r="L126" t="s">
        <v>395</v>
      </c>
      <c r="M126">
        <v>25</v>
      </c>
      <c r="N126" s="92">
        <v>42736</v>
      </c>
      <c r="O126" s="92"/>
      <c r="Q126" t="s">
        <v>177</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458</v>
      </c>
      <c r="H127">
        <v>1</v>
      </c>
      <c r="I127" t="s">
        <v>459</v>
      </c>
      <c r="J127" t="s">
        <v>184</v>
      </c>
      <c r="K127" s="1">
        <v>2</v>
      </c>
      <c r="L127" t="s">
        <v>392</v>
      </c>
      <c r="M127">
        <v>50</v>
      </c>
      <c r="N127" s="92">
        <v>44562</v>
      </c>
      <c r="O127" s="92"/>
      <c r="Q127" t="s">
        <v>184</v>
      </c>
      <c r="R127">
        <v>2</v>
      </c>
    </row>
    <row r="128" spans="1:18" x14ac:dyDescent="0.25">
      <c r="B128"/>
      <c r="E128"/>
      <c r="F128" s="50"/>
      <c r="G128" s="51" t="s">
        <v>444</v>
      </c>
      <c r="H128" s="256">
        <v>42736</v>
      </c>
      <c r="J128" s="259" t="s">
        <v>79</v>
      </c>
      <c r="K128" s="257" t="s">
        <v>80</v>
      </c>
      <c r="L128" s="50" t="s">
        <v>462</v>
      </c>
      <c r="N128" t="s">
        <v>445</v>
      </c>
      <c r="O128" s="227">
        <v>45548</v>
      </c>
    </row>
    <row r="129" spans="1:18" x14ac:dyDescent="0.25">
      <c r="A129" t="s">
        <v>0</v>
      </c>
      <c r="B129" s="1" t="s">
        <v>446</v>
      </c>
      <c r="C129" t="s">
        <v>447</v>
      </c>
      <c r="D129" t="s">
        <v>3</v>
      </c>
      <c r="E129" s="53" t="s">
        <v>448</v>
      </c>
      <c r="F129" t="s">
        <v>449</v>
      </c>
      <c r="G129" t="s">
        <v>450</v>
      </c>
      <c r="H129" t="s">
        <v>451</v>
      </c>
      <c r="I129" t="s">
        <v>21</v>
      </c>
      <c r="J129" t="s">
        <v>452</v>
      </c>
      <c r="K129" s="1" t="s">
        <v>1</v>
      </c>
      <c r="L129" t="s">
        <v>453</v>
      </c>
      <c r="M129" t="s">
        <v>52</v>
      </c>
      <c r="N129" s="105" t="s">
        <v>454</v>
      </c>
      <c r="O129" s="105" t="s">
        <v>455</v>
      </c>
      <c r="Q129" t="s">
        <v>456</v>
      </c>
      <c r="R129" t="s">
        <v>457</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458</v>
      </c>
      <c r="H130">
        <v>1</v>
      </c>
      <c r="I130" t="s">
        <v>459</v>
      </c>
      <c r="J130" t="s">
        <v>168</v>
      </c>
      <c r="K130" s="1">
        <v>1</v>
      </c>
      <c r="L130" t="s">
        <v>385</v>
      </c>
      <c r="M130">
        <v>25</v>
      </c>
      <c r="N130" s="92">
        <v>42736</v>
      </c>
      <c r="O130" s="92"/>
      <c r="Q130" t="s">
        <v>168</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458</v>
      </c>
      <c r="H131">
        <v>1</v>
      </c>
      <c r="I131" t="s">
        <v>459</v>
      </c>
      <c r="J131" t="s">
        <v>156</v>
      </c>
      <c r="K131" s="1">
        <v>1</v>
      </c>
      <c r="L131" t="s">
        <v>386</v>
      </c>
      <c r="M131">
        <v>25</v>
      </c>
      <c r="N131" s="92">
        <v>42736</v>
      </c>
      <c r="O131" s="92"/>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458</v>
      </c>
      <c r="H132">
        <v>1</v>
      </c>
      <c r="I132" t="s">
        <v>459</v>
      </c>
      <c r="J132" t="s">
        <v>161</v>
      </c>
      <c r="K132" s="1">
        <v>1</v>
      </c>
      <c r="L132" t="s">
        <v>387</v>
      </c>
      <c r="M132">
        <v>25</v>
      </c>
      <c r="N132" s="92">
        <v>42736</v>
      </c>
      <c r="O132" s="92"/>
      <c r="Q132" t="s">
        <v>161</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458</v>
      </c>
      <c r="H133">
        <v>1</v>
      </c>
      <c r="I133" t="s">
        <v>459</v>
      </c>
      <c r="J133" t="s">
        <v>175</v>
      </c>
      <c r="K133" s="1">
        <v>1</v>
      </c>
      <c r="L133" t="s">
        <v>388</v>
      </c>
      <c r="M133">
        <v>25</v>
      </c>
      <c r="N133" s="92">
        <v>42736</v>
      </c>
      <c r="O133" s="92"/>
      <c r="Q133" t="s">
        <v>175</v>
      </c>
      <c r="R133">
        <v>1</v>
      </c>
    </row>
    <row r="135" spans="1:18" x14ac:dyDescent="0.25">
      <c r="B135"/>
      <c r="E135"/>
      <c r="F135" s="50"/>
      <c r="G135" s="51" t="s">
        <v>444</v>
      </c>
      <c r="H135" s="256">
        <v>44197</v>
      </c>
      <c r="J135" s="259" t="s">
        <v>97</v>
      </c>
      <c r="K135" s="257" t="s">
        <v>98</v>
      </c>
      <c r="L135" s="50" t="s">
        <v>463</v>
      </c>
      <c r="N135" t="s">
        <v>445</v>
      </c>
      <c r="O135" s="227">
        <v>45548</v>
      </c>
    </row>
    <row r="136" spans="1:18" x14ac:dyDescent="0.25">
      <c r="A136" t="s">
        <v>0</v>
      </c>
      <c r="B136" s="1" t="s">
        <v>446</v>
      </c>
      <c r="C136" t="s">
        <v>447</v>
      </c>
      <c r="D136" t="s">
        <v>3</v>
      </c>
      <c r="E136" s="53" t="s">
        <v>448</v>
      </c>
      <c r="F136" t="s">
        <v>449</v>
      </c>
      <c r="G136" t="s">
        <v>450</v>
      </c>
      <c r="H136" t="s">
        <v>451</v>
      </c>
      <c r="I136" t="s">
        <v>21</v>
      </c>
      <c r="J136" t="s">
        <v>452</v>
      </c>
      <c r="K136" s="1" t="s">
        <v>1</v>
      </c>
      <c r="L136" t="s">
        <v>453</v>
      </c>
      <c r="M136" t="s">
        <v>52</v>
      </c>
      <c r="N136" s="105" t="s">
        <v>454</v>
      </c>
      <c r="O136" s="105" t="s">
        <v>455</v>
      </c>
      <c r="Q136" t="s">
        <v>456</v>
      </c>
      <c r="R136" t="s">
        <v>457</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458</v>
      </c>
      <c r="H137">
        <v>1</v>
      </c>
      <c r="I137" s="261" t="s">
        <v>464</v>
      </c>
      <c r="J137" t="s">
        <v>214</v>
      </c>
      <c r="K137" s="1">
        <v>1</v>
      </c>
      <c r="L137" t="s">
        <v>398</v>
      </c>
      <c r="M137">
        <v>25</v>
      </c>
      <c r="N137" s="92">
        <v>44562</v>
      </c>
      <c r="O137" s="92"/>
      <c r="Q137" t="s">
        <v>214</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458</v>
      </c>
      <c r="H138">
        <v>1</v>
      </c>
      <c r="I138" s="261" t="s">
        <v>464</v>
      </c>
      <c r="J138" t="s">
        <v>184</v>
      </c>
      <c r="K138" s="1">
        <v>2</v>
      </c>
      <c r="L138" t="s">
        <v>392</v>
      </c>
      <c r="M138">
        <v>50</v>
      </c>
      <c r="N138" s="92">
        <v>44562</v>
      </c>
      <c r="O138" s="92"/>
      <c r="Q138" t="s">
        <v>184</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458</v>
      </c>
      <c r="H139">
        <v>1</v>
      </c>
      <c r="I139" s="261" t="s">
        <v>464</v>
      </c>
      <c r="J139" t="s">
        <v>206</v>
      </c>
      <c r="K139" s="1">
        <v>3</v>
      </c>
      <c r="L139" t="s">
        <v>391</v>
      </c>
      <c r="M139">
        <v>25</v>
      </c>
      <c r="N139" s="92">
        <v>44562</v>
      </c>
      <c r="O139" s="92"/>
      <c r="Q139" t="s">
        <v>206</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428</v>
      </c>
      <c r="H140">
        <v>1</v>
      </c>
      <c r="I140" t="s">
        <v>459</v>
      </c>
      <c r="J140" t="s">
        <v>465</v>
      </c>
      <c r="K140" s="1">
        <v>0</v>
      </c>
      <c r="L140" t="s">
        <v>466</v>
      </c>
      <c r="M140">
        <v>100</v>
      </c>
      <c r="N140" s="92"/>
      <c r="O140" s="92"/>
      <c r="Q140" t="s">
        <v>465</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428</v>
      </c>
      <c r="H141">
        <v>1</v>
      </c>
      <c r="I141" t="s">
        <v>459</v>
      </c>
      <c r="J141" t="s">
        <v>163</v>
      </c>
      <c r="K141" s="1">
        <v>2</v>
      </c>
      <c r="L141" t="s">
        <v>394</v>
      </c>
      <c r="M141">
        <v>25</v>
      </c>
      <c r="N141" s="92">
        <v>44562</v>
      </c>
      <c r="O141" s="92"/>
      <c r="Q141" t="s">
        <v>163</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428</v>
      </c>
      <c r="H142">
        <v>1</v>
      </c>
      <c r="I142" t="s">
        <v>459</v>
      </c>
      <c r="J142" t="s">
        <v>212</v>
      </c>
      <c r="K142" s="1">
        <v>1</v>
      </c>
      <c r="L142" t="s">
        <v>399</v>
      </c>
      <c r="M142">
        <v>25</v>
      </c>
      <c r="N142" s="92">
        <v>44562</v>
      </c>
      <c r="O142" s="92"/>
      <c r="Q142" t="s">
        <v>212</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428</v>
      </c>
      <c r="H143">
        <v>1</v>
      </c>
      <c r="I143" t="s">
        <v>459</v>
      </c>
      <c r="J143" t="s">
        <v>216</v>
      </c>
      <c r="K143" s="1">
        <v>1</v>
      </c>
      <c r="L143" t="s">
        <v>400</v>
      </c>
      <c r="M143">
        <v>25</v>
      </c>
      <c r="N143" s="92">
        <v>44562</v>
      </c>
      <c r="O143" s="92"/>
      <c r="Q143" t="s">
        <v>216</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428</v>
      </c>
      <c r="H144">
        <v>1</v>
      </c>
      <c r="I144" t="s">
        <v>459</v>
      </c>
      <c r="J144" t="s">
        <v>215</v>
      </c>
      <c r="K144" s="1">
        <v>1</v>
      </c>
      <c r="L144" t="s">
        <v>401</v>
      </c>
      <c r="M144">
        <v>25</v>
      </c>
      <c r="N144" s="92">
        <v>44562</v>
      </c>
      <c r="O144" s="92"/>
      <c r="Q144" t="s">
        <v>215</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428</v>
      </c>
      <c r="H145">
        <v>1</v>
      </c>
      <c r="I145" t="s">
        <v>459</v>
      </c>
      <c r="J145" t="s">
        <v>209</v>
      </c>
      <c r="K145" s="1">
        <v>1</v>
      </c>
      <c r="L145" t="s">
        <v>402</v>
      </c>
      <c r="M145">
        <v>25</v>
      </c>
      <c r="N145" s="92">
        <v>44562</v>
      </c>
      <c r="O145" s="92"/>
      <c r="Q145" t="s">
        <v>209</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428</v>
      </c>
      <c r="H146">
        <v>1</v>
      </c>
      <c r="I146" t="s">
        <v>459</v>
      </c>
      <c r="J146" t="s">
        <v>208</v>
      </c>
      <c r="K146" s="1">
        <v>1</v>
      </c>
      <c r="L146" t="s">
        <v>403</v>
      </c>
      <c r="M146">
        <v>25</v>
      </c>
      <c r="N146" s="92">
        <v>44562</v>
      </c>
      <c r="O146" s="92"/>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428</v>
      </c>
      <c r="H147">
        <v>1</v>
      </c>
      <c r="I147" t="s">
        <v>459</v>
      </c>
      <c r="J147" t="s">
        <v>210</v>
      </c>
      <c r="K147" s="1">
        <v>1</v>
      </c>
      <c r="L147" t="s">
        <v>404</v>
      </c>
      <c r="M147">
        <v>25</v>
      </c>
      <c r="N147" s="92">
        <v>44562</v>
      </c>
      <c r="O147" s="92"/>
      <c r="Q147" t="s">
        <v>210</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428</v>
      </c>
      <c r="H148">
        <v>1</v>
      </c>
      <c r="I148" t="s">
        <v>459</v>
      </c>
      <c r="J148" t="s">
        <v>211</v>
      </c>
      <c r="K148" s="1">
        <v>1</v>
      </c>
      <c r="L148" t="s">
        <v>405</v>
      </c>
      <c r="M148">
        <v>25</v>
      </c>
      <c r="N148" s="92">
        <v>44562</v>
      </c>
      <c r="O148" s="92"/>
      <c r="Q148" t="s">
        <v>211</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428</v>
      </c>
      <c r="H149">
        <v>1</v>
      </c>
      <c r="I149" t="s">
        <v>459</v>
      </c>
      <c r="J149" t="s">
        <v>236</v>
      </c>
      <c r="K149" s="1">
        <v>1</v>
      </c>
      <c r="L149" t="s">
        <v>419</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428</v>
      </c>
      <c r="H150">
        <v>1</v>
      </c>
      <c r="I150" t="s">
        <v>459</v>
      </c>
      <c r="J150" t="s">
        <v>180</v>
      </c>
      <c r="K150" s="1">
        <v>2</v>
      </c>
      <c r="L150" t="s">
        <v>425</v>
      </c>
      <c r="M150">
        <v>25</v>
      </c>
      <c r="N150" s="92">
        <v>42736</v>
      </c>
      <c r="O150" s="92"/>
      <c r="Q150" t="s">
        <v>180</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428</v>
      </c>
      <c r="H151">
        <v>1</v>
      </c>
      <c r="I151" t="s">
        <v>459</v>
      </c>
      <c r="J151" t="s">
        <v>138</v>
      </c>
      <c r="K151" s="1">
        <v>1</v>
      </c>
      <c r="L151" t="s">
        <v>137</v>
      </c>
      <c r="M151">
        <v>100</v>
      </c>
      <c r="N151" s="92">
        <v>44562</v>
      </c>
      <c r="O151" s="92"/>
      <c r="Q151" t="s">
        <v>138</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428</v>
      </c>
      <c r="H152">
        <v>1</v>
      </c>
      <c r="I152" t="s">
        <v>459</v>
      </c>
      <c r="J152" t="s">
        <v>140</v>
      </c>
      <c r="K152" s="1">
        <v>1</v>
      </c>
      <c r="L152" t="s">
        <v>139</v>
      </c>
      <c r="M152">
        <v>100</v>
      </c>
      <c r="N152" s="92">
        <v>44562</v>
      </c>
      <c r="O152" s="92"/>
      <c r="Q152" t="s">
        <v>140</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428</v>
      </c>
      <c r="H153">
        <v>1</v>
      </c>
      <c r="I153" t="s">
        <v>459</v>
      </c>
      <c r="J153" t="s">
        <v>142</v>
      </c>
      <c r="K153" s="1">
        <v>1</v>
      </c>
      <c r="L153" t="s">
        <v>141</v>
      </c>
      <c r="M153">
        <v>100</v>
      </c>
      <c r="N153" s="92">
        <v>44562</v>
      </c>
      <c r="O153" s="92"/>
      <c r="Q153" t="s">
        <v>142</v>
      </c>
      <c r="R153">
        <v>1</v>
      </c>
    </row>
    <row r="154" spans="1:18" x14ac:dyDescent="0.25">
      <c r="B154"/>
      <c r="E154"/>
      <c r="F154" s="50"/>
      <c r="G154" s="51" t="s">
        <v>444</v>
      </c>
      <c r="H154" s="256">
        <v>44562</v>
      </c>
      <c r="J154" s="259" t="s">
        <v>138</v>
      </c>
      <c r="K154" s="257" t="s">
        <v>56</v>
      </c>
      <c r="L154" s="50" t="s">
        <v>137</v>
      </c>
      <c r="N154" t="s">
        <v>445</v>
      </c>
      <c r="O154" s="227">
        <v>45548</v>
      </c>
    </row>
    <row r="155" spans="1:18" x14ac:dyDescent="0.25">
      <c r="A155" t="s">
        <v>0</v>
      </c>
      <c r="B155" s="1" t="s">
        <v>446</v>
      </c>
      <c r="C155" t="s">
        <v>447</v>
      </c>
      <c r="D155" t="s">
        <v>3</v>
      </c>
      <c r="E155" s="53" t="s">
        <v>448</v>
      </c>
      <c r="F155" t="s">
        <v>449</v>
      </c>
      <c r="G155" t="s">
        <v>450</v>
      </c>
      <c r="H155" t="s">
        <v>451</v>
      </c>
      <c r="I155" t="s">
        <v>21</v>
      </c>
      <c r="J155" t="s">
        <v>452</v>
      </c>
      <c r="K155" s="1" t="s">
        <v>1</v>
      </c>
      <c r="L155" t="s">
        <v>453</v>
      </c>
      <c r="M155" t="s">
        <v>52</v>
      </c>
      <c r="N155" s="105" t="s">
        <v>454</v>
      </c>
      <c r="O155" s="105" t="s">
        <v>455</v>
      </c>
      <c r="Q155" t="s">
        <v>456</v>
      </c>
      <c r="R155" t="s">
        <v>457</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458</v>
      </c>
      <c r="H156">
        <v>1</v>
      </c>
      <c r="I156" t="s">
        <v>459</v>
      </c>
      <c r="J156" t="s">
        <v>215</v>
      </c>
      <c r="K156" s="1">
        <v>1</v>
      </c>
      <c r="L156" t="s">
        <v>401</v>
      </c>
      <c r="M156">
        <v>25</v>
      </c>
      <c r="N156" s="92">
        <v>44562</v>
      </c>
      <c r="O156" s="92"/>
      <c r="Q156" t="s">
        <v>215</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458</v>
      </c>
      <c r="H157">
        <v>1</v>
      </c>
      <c r="I157" t="s">
        <v>459</v>
      </c>
      <c r="J157" t="s">
        <v>180</v>
      </c>
      <c r="K157" s="1">
        <v>2</v>
      </c>
      <c r="L157" t="s">
        <v>425</v>
      </c>
      <c r="M157">
        <v>25</v>
      </c>
      <c r="N157" s="92">
        <v>42736</v>
      </c>
      <c r="O157" s="92"/>
      <c r="Q157" t="s">
        <v>180</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458</v>
      </c>
      <c r="H158">
        <v>1</v>
      </c>
      <c r="I158" t="s">
        <v>459</v>
      </c>
      <c r="J158" t="s">
        <v>163</v>
      </c>
      <c r="K158" s="1">
        <v>2</v>
      </c>
      <c r="L158" t="s">
        <v>394</v>
      </c>
      <c r="M158">
        <v>25</v>
      </c>
      <c r="N158" s="92">
        <v>44562</v>
      </c>
      <c r="O158" s="92"/>
      <c r="Q158" t="s">
        <v>163</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458</v>
      </c>
      <c r="H159">
        <v>1</v>
      </c>
      <c r="I159" t="s">
        <v>459</v>
      </c>
      <c r="J159" t="s">
        <v>208</v>
      </c>
      <c r="K159" s="1">
        <v>1</v>
      </c>
      <c r="L159" t="s">
        <v>403</v>
      </c>
      <c r="M159">
        <v>25</v>
      </c>
      <c r="N159" s="92">
        <v>44562</v>
      </c>
      <c r="O159" s="92"/>
      <c r="Q159" t="s">
        <v>208</v>
      </c>
      <c r="R159">
        <v>1</v>
      </c>
    </row>
    <row r="160" spans="1:18" x14ac:dyDescent="0.25">
      <c r="B160"/>
      <c r="E160"/>
      <c r="F160" s="50"/>
      <c r="G160" s="51" t="s">
        <v>444</v>
      </c>
      <c r="H160" s="256">
        <v>44562</v>
      </c>
      <c r="J160" s="259" t="s">
        <v>140</v>
      </c>
      <c r="K160" s="257" t="s">
        <v>56</v>
      </c>
      <c r="L160" s="50" t="s">
        <v>139</v>
      </c>
      <c r="N160" t="s">
        <v>445</v>
      </c>
      <c r="O160" s="227">
        <v>45548</v>
      </c>
    </row>
    <row r="161" spans="1:18" x14ac:dyDescent="0.25">
      <c r="A161" t="s">
        <v>0</v>
      </c>
      <c r="B161" s="1" t="s">
        <v>446</v>
      </c>
      <c r="C161" t="s">
        <v>447</v>
      </c>
      <c r="D161" t="s">
        <v>3</v>
      </c>
      <c r="E161" s="53" t="s">
        <v>448</v>
      </c>
      <c r="F161" t="s">
        <v>449</v>
      </c>
      <c r="G161" t="s">
        <v>450</v>
      </c>
      <c r="H161" t="s">
        <v>451</v>
      </c>
      <c r="I161" t="s">
        <v>21</v>
      </c>
      <c r="J161" t="s">
        <v>452</v>
      </c>
      <c r="K161" s="1" t="s">
        <v>1</v>
      </c>
      <c r="L161" t="s">
        <v>453</v>
      </c>
      <c r="M161" t="s">
        <v>52</v>
      </c>
      <c r="N161" s="105" t="s">
        <v>454</v>
      </c>
      <c r="O161" s="105" t="s">
        <v>455</v>
      </c>
      <c r="Q161" t="s">
        <v>456</v>
      </c>
      <c r="R161" t="s">
        <v>457</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458</v>
      </c>
      <c r="H162">
        <v>1</v>
      </c>
      <c r="I162" t="s">
        <v>459</v>
      </c>
      <c r="J162" t="s">
        <v>216</v>
      </c>
      <c r="K162" s="1">
        <v>1</v>
      </c>
      <c r="L162" t="s">
        <v>400</v>
      </c>
      <c r="M162">
        <v>25</v>
      </c>
      <c r="N162" s="92">
        <v>44562</v>
      </c>
      <c r="O162" s="92"/>
      <c r="Q162" t="s">
        <v>216</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458</v>
      </c>
      <c r="H163">
        <v>1</v>
      </c>
      <c r="I163" t="s">
        <v>459</v>
      </c>
      <c r="J163" t="s">
        <v>215</v>
      </c>
      <c r="K163" s="1">
        <v>1</v>
      </c>
      <c r="L163" t="s">
        <v>401</v>
      </c>
      <c r="M163">
        <v>25</v>
      </c>
      <c r="N163" s="92">
        <v>44562</v>
      </c>
      <c r="O163" s="92"/>
      <c r="Q163" t="s">
        <v>215</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458</v>
      </c>
      <c r="H164">
        <v>1</v>
      </c>
      <c r="I164" t="s">
        <v>459</v>
      </c>
      <c r="J164" t="s">
        <v>209</v>
      </c>
      <c r="K164" s="1">
        <v>1</v>
      </c>
      <c r="L164" t="s">
        <v>402</v>
      </c>
      <c r="M164">
        <v>25</v>
      </c>
      <c r="N164" s="92">
        <v>44562</v>
      </c>
      <c r="O164" s="92"/>
      <c r="Q164" t="s">
        <v>209</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458</v>
      </c>
      <c r="H165">
        <v>1</v>
      </c>
      <c r="I165" t="s">
        <v>459</v>
      </c>
      <c r="J165" t="s">
        <v>210</v>
      </c>
      <c r="K165" s="1">
        <v>1</v>
      </c>
      <c r="L165" t="s">
        <v>404</v>
      </c>
      <c r="M165">
        <v>25</v>
      </c>
      <c r="N165" s="92">
        <v>44562</v>
      </c>
      <c r="O165" s="92"/>
      <c r="Q165" t="s">
        <v>210</v>
      </c>
      <c r="R165">
        <v>1</v>
      </c>
    </row>
    <row r="166" spans="1:18" x14ac:dyDescent="0.25">
      <c r="B166"/>
      <c r="E166"/>
      <c r="F166" s="50"/>
      <c r="G166" s="51" t="s">
        <v>444</v>
      </c>
      <c r="H166" s="256">
        <v>44562</v>
      </c>
      <c r="J166" s="259" t="s">
        <v>142</v>
      </c>
      <c r="K166" s="257" t="s">
        <v>56</v>
      </c>
      <c r="L166" s="50" t="s">
        <v>141</v>
      </c>
      <c r="N166" t="s">
        <v>445</v>
      </c>
      <c r="O166" s="227">
        <v>45548</v>
      </c>
    </row>
    <row r="167" spans="1:18" x14ac:dyDescent="0.25">
      <c r="A167" t="s">
        <v>0</v>
      </c>
      <c r="B167" s="1" t="s">
        <v>446</v>
      </c>
      <c r="C167" t="s">
        <v>447</v>
      </c>
      <c r="D167" t="s">
        <v>3</v>
      </c>
      <c r="E167" s="53" t="s">
        <v>448</v>
      </c>
      <c r="F167" t="s">
        <v>449</v>
      </c>
      <c r="G167" t="s">
        <v>450</v>
      </c>
      <c r="H167" t="s">
        <v>451</v>
      </c>
      <c r="I167" t="s">
        <v>21</v>
      </c>
      <c r="J167" t="s">
        <v>452</v>
      </c>
      <c r="K167" s="1" t="s">
        <v>1</v>
      </c>
      <c r="L167" t="s">
        <v>453</v>
      </c>
      <c r="M167" t="s">
        <v>52</v>
      </c>
      <c r="N167" s="105" t="s">
        <v>454</v>
      </c>
      <c r="O167" s="105" t="s">
        <v>455</v>
      </c>
      <c r="Q167" t="s">
        <v>456</v>
      </c>
      <c r="R167" t="s">
        <v>457</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458</v>
      </c>
      <c r="H168">
        <v>1</v>
      </c>
      <c r="I168" t="s">
        <v>459</v>
      </c>
      <c r="J168" t="s">
        <v>211</v>
      </c>
      <c r="K168" s="1">
        <v>1</v>
      </c>
      <c r="L168" t="s">
        <v>405</v>
      </c>
      <c r="M168">
        <v>25</v>
      </c>
      <c r="N168" s="92">
        <v>44562</v>
      </c>
      <c r="O168" s="92"/>
      <c r="Q168" t="s">
        <v>211</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458</v>
      </c>
      <c r="H169">
        <v>1</v>
      </c>
      <c r="I169" t="s">
        <v>459</v>
      </c>
      <c r="J169" t="s">
        <v>212</v>
      </c>
      <c r="K169" s="1">
        <v>1</v>
      </c>
      <c r="L169" t="s">
        <v>399</v>
      </c>
      <c r="M169">
        <v>25</v>
      </c>
      <c r="N169" s="92">
        <v>44562</v>
      </c>
      <c r="O169" s="92"/>
      <c r="Q169" t="s">
        <v>212</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458</v>
      </c>
      <c r="H170">
        <v>1</v>
      </c>
      <c r="I170" t="s">
        <v>459</v>
      </c>
      <c r="J170" t="s">
        <v>216</v>
      </c>
      <c r="K170" s="1">
        <v>1</v>
      </c>
      <c r="L170" t="s">
        <v>400</v>
      </c>
      <c r="M170">
        <v>25</v>
      </c>
      <c r="N170" s="92">
        <v>44562</v>
      </c>
      <c r="O170" s="92"/>
      <c r="Q170" t="s">
        <v>216</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458</v>
      </c>
      <c r="H171">
        <v>1</v>
      </c>
      <c r="I171" t="s">
        <v>459</v>
      </c>
      <c r="J171" t="s">
        <v>215</v>
      </c>
      <c r="K171" s="1">
        <v>1</v>
      </c>
      <c r="L171" t="s">
        <v>401</v>
      </c>
      <c r="M171">
        <v>25</v>
      </c>
      <c r="N171" s="92">
        <v>44562</v>
      </c>
      <c r="O171" s="92"/>
      <c r="Q171" t="s">
        <v>215</v>
      </c>
      <c r="R171">
        <v>1</v>
      </c>
    </row>
    <row r="172" spans="1:18" x14ac:dyDescent="0.25">
      <c r="B172"/>
      <c r="E172"/>
      <c r="F172" s="50"/>
      <c r="G172" s="51" t="s">
        <v>444</v>
      </c>
      <c r="H172" s="226">
        <v>44197</v>
      </c>
      <c r="J172" s="50" t="s">
        <v>55</v>
      </c>
      <c r="K172" s="52" t="s">
        <v>56</v>
      </c>
      <c r="L172" s="50" t="s">
        <v>54</v>
      </c>
      <c r="N172" t="s">
        <v>445</v>
      </c>
      <c r="O172" s="227"/>
    </row>
    <row r="173" spans="1:18" x14ac:dyDescent="0.25">
      <c r="A173" t="s">
        <v>0</v>
      </c>
      <c r="B173" s="1" t="s">
        <v>446</v>
      </c>
      <c r="C173" t="s">
        <v>447</v>
      </c>
      <c r="D173" t="s">
        <v>3</v>
      </c>
      <c r="E173" s="53" t="s">
        <v>448</v>
      </c>
      <c r="F173" t="s">
        <v>449</v>
      </c>
      <c r="G173" t="s">
        <v>450</v>
      </c>
      <c r="H173" t="s">
        <v>451</v>
      </c>
      <c r="I173" t="s">
        <v>21</v>
      </c>
      <c r="J173" t="s">
        <v>452</v>
      </c>
      <c r="K173" s="1" t="s">
        <v>1</v>
      </c>
      <c r="L173" t="s">
        <v>453</v>
      </c>
      <c r="M173" t="s">
        <v>52</v>
      </c>
      <c r="N173" s="105" t="s">
        <v>454</v>
      </c>
      <c r="O173" s="105" t="s">
        <v>455</v>
      </c>
      <c r="Q173" t="s">
        <v>456</v>
      </c>
      <c r="R173" t="s">
        <v>457</v>
      </c>
    </row>
    <row r="174" spans="1:18" x14ac:dyDescent="0.25">
      <c r="A174" t="str">
        <f>TableGCEDUC[[#This Row],[Study Package Code]]</f>
        <v>Option</v>
      </c>
      <c r="B174" s="1">
        <f>TableGCEDUC[[#This Row],[Ver]]</f>
        <v>0</v>
      </c>
      <c r="D174" t="str">
        <f>TableGCEDUC[[#This Row],[Structure Line]]</f>
        <v>Choose Options to the value of 100CP</v>
      </c>
      <c r="E174" s="53">
        <f>TableGCEDUC[[#This Row],[Credit Points]]</f>
        <v>100</v>
      </c>
      <c r="F174">
        <v>1</v>
      </c>
      <c r="G174" t="s">
        <v>428</v>
      </c>
      <c r="H174">
        <v>1</v>
      </c>
      <c r="I174" t="s">
        <v>459</v>
      </c>
      <c r="J174" t="s">
        <v>428</v>
      </c>
      <c r="K174" s="1">
        <v>0</v>
      </c>
      <c r="L174" t="s">
        <v>467</v>
      </c>
      <c r="M174">
        <v>100</v>
      </c>
      <c r="N174" s="92"/>
      <c r="O174" s="92"/>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428</v>
      </c>
      <c r="H175">
        <v>1</v>
      </c>
      <c r="I175" t="s">
        <v>459</v>
      </c>
      <c r="J175" t="s">
        <v>81</v>
      </c>
      <c r="K175" s="1">
        <v>1</v>
      </c>
      <c r="L175" t="s">
        <v>335</v>
      </c>
      <c r="M175">
        <v>25</v>
      </c>
      <c r="N175" s="92">
        <v>43101</v>
      </c>
      <c r="O175" s="92"/>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428</v>
      </c>
      <c r="H176">
        <v>1</v>
      </c>
      <c r="I176" t="s">
        <v>459</v>
      </c>
      <c r="J176" t="s">
        <v>107</v>
      </c>
      <c r="K176" s="1">
        <v>1</v>
      </c>
      <c r="L176" t="s">
        <v>337</v>
      </c>
      <c r="M176">
        <v>25</v>
      </c>
      <c r="N176" s="92">
        <v>43101</v>
      </c>
      <c r="O176" s="92"/>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428</v>
      </c>
      <c r="H177">
        <v>1</v>
      </c>
      <c r="I177" t="s">
        <v>459</v>
      </c>
      <c r="J177" t="s">
        <v>115</v>
      </c>
      <c r="K177" s="1">
        <v>1</v>
      </c>
      <c r="L177" t="s">
        <v>338</v>
      </c>
      <c r="M177">
        <v>25</v>
      </c>
      <c r="N177" s="92">
        <v>43101</v>
      </c>
      <c r="O177" s="92"/>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428</v>
      </c>
      <c r="H178">
        <v>1</v>
      </c>
      <c r="I178" t="s">
        <v>459</v>
      </c>
      <c r="J178" t="s">
        <v>87</v>
      </c>
      <c r="K178" s="1">
        <v>1</v>
      </c>
      <c r="L178" t="s">
        <v>354</v>
      </c>
      <c r="M178">
        <v>25</v>
      </c>
      <c r="N178" s="92">
        <v>43101</v>
      </c>
      <c r="O178" s="92"/>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428</v>
      </c>
      <c r="H179">
        <v>1</v>
      </c>
      <c r="I179" t="s">
        <v>459</v>
      </c>
      <c r="J179" t="s">
        <v>108</v>
      </c>
      <c r="K179" s="1">
        <v>1</v>
      </c>
      <c r="L179" t="s">
        <v>356</v>
      </c>
      <c r="M179">
        <v>25</v>
      </c>
      <c r="N179" s="92">
        <v>43101</v>
      </c>
      <c r="O179" s="92"/>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428</v>
      </c>
      <c r="H180">
        <v>1</v>
      </c>
      <c r="I180" t="s">
        <v>459</v>
      </c>
      <c r="J180" t="s">
        <v>105</v>
      </c>
      <c r="K180" s="1">
        <v>1</v>
      </c>
      <c r="L180" t="s">
        <v>357</v>
      </c>
      <c r="M180">
        <v>25</v>
      </c>
      <c r="N180" s="92">
        <v>43101</v>
      </c>
      <c r="O180" s="92"/>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428</v>
      </c>
      <c r="H181">
        <v>1</v>
      </c>
      <c r="I181" t="s">
        <v>459</v>
      </c>
      <c r="J181" t="s">
        <v>113</v>
      </c>
      <c r="K181" s="1">
        <v>1</v>
      </c>
      <c r="L181" t="s">
        <v>359</v>
      </c>
      <c r="M181">
        <v>25</v>
      </c>
      <c r="N181" s="92">
        <v>43101</v>
      </c>
      <c r="O181" s="92"/>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428</v>
      </c>
      <c r="H182">
        <v>1</v>
      </c>
      <c r="I182" t="s">
        <v>459</v>
      </c>
      <c r="J182" t="s">
        <v>181</v>
      </c>
      <c r="K182" s="1">
        <v>1</v>
      </c>
      <c r="L182" t="s">
        <v>362</v>
      </c>
      <c r="M182">
        <v>25</v>
      </c>
      <c r="N182" s="92">
        <v>43101</v>
      </c>
      <c r="O182" s="92"/>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428</v>
      </c>
      <c r="H183">
        <v>1</v>
      </c>
      <c r="I183" t="s">
        <v>459</v>
      </c>
      <c r="J183" t="s">
        <v>72</v>
      </c>
      <c r="K183" s="1">
        <v>2</v>
      </c>
      <c r="L183" t="s">
        <v>381</v>
      </c>
      <c r="M183">
        <v>25</v>
      </c>
      <c r="N183" s="92">
        <v>44197</v>
      </c>
      <c r="O183" s="92"/>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428</v>
      </c>
      <c r="H184">
        <v>1</v>
      </c>
      <c r="I184" t="s">
        <v>459</v>
      </c>
      <c r="J184" t="s">
        <v>95</v>
      </c>
      <c r="K184" s="1">
        <v>1</v>
      </c>
      <c r="L184" t="s">
        <v>382</v>
      </c>
      <c r="M184">
        <v>25</v>
      </c>
      <c r="N184" s="92">
        <v>43101</v>
      </c>
      <c r="O184" s="92"/>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428</v>
      </c>
      <c r="H185">
        <v>1</v>
      </c>
      <c r="I185" t="s">
        <v>459</v>
      </c>
      <c r="J185" t="s">
        <v>96</v>
      </c>
      <c r="K185" s="1">
        <v>1</v>
      </c>
      <c r="L185" t="s">
        <v>383</v>
      </c>
      <c r="M185">
        <v>25</v>
      </c>
      <c r="N185" s="92">
        <v>43101</v>
      </c>
      <c r="O185" s="92"/>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428</v>
      </c>
      <c r="H186">
        <v>1</v>
      </c>
      <c r="I186" t="s">
        <v>459</v>
      </c>
      <c r="J186" t="s">
        <v>86</v>
      </c>
      <c r="K186" s="1">
        <v>1</v>
      </c>
      <c r="L186" t="s">
        <v>384</v>
      </c>
      <c r="M186">
        <v>25</v>
      </c>
      <c r="N186" s="92">
        <v>43101</v>
      </c>
      <c r="O186" s="92"/>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428</v>
      </c>
      <c r="H187">
        <v>1</v>
      </c>
      <c r="I187" t="s">
        <v>459</v>
      </c>
      <c r="J187" t="s">
        <v>178</v>
      </c>
      <c r="K187" s="1">
        <v>1</v>
      </c>
      <c r="L187" t="s">
        <v>390</v>
      </c>
      <c r="M187">
        <v>25</v>
      </c>
      <c r="N187" s="92">
        <v>44562</v>
      </c>
      <c r="O187" s="92"/>
    </row>
    <row r="189" spans="1:18" x14ac:dyDescent="0.25">
      <c r="B189"/>
      <c r="E189"/>
      <c r="F189" s="50"/>
      <c r="G189" s="51" t="s">
        <v>444</v>
      </c>
      <c r="H189" s="256">
        <v>43466</v>
      </c>
      <c r="J189" s="259" t="s">
        <v>69</v>
      </c>
      <c r="K189" s="257" t="s">
        <v>56</v>
      </c>
      <c r="L189" s="50" t="s">
        <v>68</v>
      </c>
      <c r="N189" t="s">
        <v>445</v>
      </c>
      <c r="O189" s="227">
        <v>45548</v>
      </c>
    </row>
    <row r="190" spans="1:18" x14ac:dyDescent="0.25">
      <c r="A190" t="s">
        <v>0</v>
      </c>
      <c r="B190" s="1" t="s">
        <v>446</v>
      </c>
      <c r="C190" t="s">
        <v>447</v>
      </c>
      <c r="D190" t="s">
        <v>3</v>
      </c>
      <c r="E190" s="53" t="s">
        <v>448</v>
      </c>
      <c r="F190" t="s">
        <v>449</v>
      </c>
      <c r="G190" t="s">
        <v>450</v>
      </c>
      <c r="H190" t="s">
        <v>451</v>
      </c>
      <c r="I190" t="s">
        <v>21</v>
      </c>
      <c r="J190" t="s">
        <v>452</v>
      </c>
      <c r="K190" s="1" t="s">
        <v>1</v>
      </c>
      <c r="L190" t="s">
        <v>453</v>
      </c>
      <c r="M190" t="s">
        <v>52</v>
      </c>
      <c r="N190" s="105" t="s">
        <v>454</v>
      </c>
      <c r="O190" s="105" t="s">
        <v>455</v>
      </c>
      <c r="Q190" t="s">
        <v>456</v>
      </c>
      <c r="R190" t="s">
        <v>457</v>
      </c>
    </row>
    <row r="191" spans="1:18" x14ac:dyDescent="0.25">
      <c r="A191" t="str">
        <f>TableGCEDHE[[#This Row],[Study Package Code]]</f>
        <v>EDHE5007</v>
      </c>
      <c r="B191" s="1">
        <f>TableGCEDHE[[#This Row],[Ver]]</f>
        <v>1</v>
      </c>
      <c r="D191" t="str">
        <f>TableGCEDHE[[#This Row],[Structure Line]]</f>
        <v>The Learning Cycle: Design and Curriculum</v>
      </c>
      <c r="E191" s="53">
        <f>TableGCEDHE[[#This Row],[Credit Points]]</f>
        <v>25</v>
      </c>
      <c r="F191">
        <v>1</v>
      </c>
      <c r="G191" t="s">
        <v>458</v>
      </c>
      <c r="H191">
        <v>0</v>
      </c>
      <c r="I191" t="s">
        <v>459</v>
      </c>
      <c r="J191" t="s">
        <v>344</v>
      </c>
      <c r="K191" s="1">
        <v>1</v>
      </c>
      <c r="L191" t="s">
        <v>345</v>
      </c>
      <c r="M191">
        <v>25</v>
      </c>
      <c r="N191" s="92">
        <v>43466</v>
      </c>
      <c r="O191" s="92"/>
      <c r="Q191" t="s">
        <v>344</v>
      </c>
      <c r="R191">
        <v>1</v>
      </c>
    </row>
    <row r="192" spans="1:18" x14ac:dyDescent="0.25">
      <c r="A192" t="str">
        <f>TableGCEDHE[[#This Row],[Study Package Code]]</f>
        <v>EDHE5008</v>
      </c>
      <c r="B192" s="1">
        <f>TableGCEDHE[[#This Row],[Ver]]</f>
        <v>1</v>
      </c>
      <c r="D192" t="str">
        <f>TableGCEDHE[[#This Row],[Structure Line]]</f>
        <v>Design Thinking and Educational Innovation</v>
      </c>
      <c r="E192" s="53">
        <f>TableGCEDHE[[#This Row],[Credit Points]]</f>
        <v>25</v>
      </c>
      <c r="F192">
        <v>2</v>
      </c>
      <c r="G192" t="s">
        <v>458</v>
      </c>
      <c r="H192">
        <v>0</v>
      </c>
      <c r="I192" t="s">
        <v>459</v>
      </c>
      <c r="J192" t="s">
        <v>346</v>
      </c>
      <c r="K192" s="1">
        <v>1</v>
      </c>
      <c r="L192" t="s">
        <v>347</v>
      </c>
      <c r="M192">
        <v>25</v>
      </c>
      <c r="N192" s="92">
        <v>43466</v>
      </c>
      <c r="O192" s="92"/>
      <c r="Q192" t="s">
        <v>346</v>
      </c>
      <c r="R192">
        <v>1</v>
      </c>
    </row>
    <row r="193" spans="1:18" x14ac:dyDescent="0.25">
      <c r="A193" t="str">
        <f>TableGCEDHE[[#This Row],[Study Package Code]]</f>
        <v>EDHE5010</v>
      </c>
      <c r="B193" s="1">
        <f>TableGCEDHE[[#This Row],[Ver]]</f>
        <v>1</v>
      </c>
      <c r="D193" t="str">
        <f>TableGCEDHE[[#This Row],[Structure Line]]</f>
        <v>Research for the Scholarship of Learning and Teaching</v>
      </c>
      <c r="E193" s="53">
        <f>TableGCEDHE[[#This Row],[Credit Points]]</f>
        <v>25</v>
      </c>
      <c r="F193">
        <v>3</v>
      </c>
      <c r="G193" t="s">
        <v>458</v>
      </c>
      <c r="H193">
        <v>0</v>
      </c>
      <c r="I193" t="s">
        <v>459</v>
      </c>
      <c r="J193" t="s">
        <v>348</v>
      </c>
      <c r="K193" s="1">
        <v>1</v>
      </c>
      <c r="L193" t="s">
        <v>349</v>
      </c>
      <c r="M193">
        <v>25</v>
      </c>
      <c r="N193" s="92">
        <v>43466</v>
      </c>
      <c r="O193" s="92"/>
      <c r="Q193" t="s">
        <v>348</v>
      </c>
      <c r="R193">
        <v>1</v>
      </c>
    </row>
    <row r="194" spans="1:18" x14ac:dyDescent="0.25">
      <c r="A194" t="str">
        <f>TableGCEDHE[[#This Row],[Study Package Code]]</f>
        <v>EDHE5011</v>
      </c>
      <c r="B194" s="1">
        <f>TableGCEDHE[[#This Row],[Ver]]</f>
        <v>1</v>
      </c>
      <c r="D194" t="str">
        <f>TableGCEDHE[[#This Row],[Structure Line]]</f>
        <v>Teaching Portfolio</v>
      </c>
      <c r="E194" s="53">
        <f>TableGCEDHE[[#This Row],[Credit Points]]</f>
        <v>25</v>
      </c>
      <c r="F194">
        <v>4</v>
      </c>
      <c r="G194" t="s">
        <v>458</v>
      </c>
      <c r="H194">
        <v>0</v>
      </c>
      <c r="I194" t="s">
        <v>459</v>
      </c>
      <c r="J194" t="s">
        <v>350</v>
      </c>
      <c r="K194" s="1">
        <v>1</v>
      </c>
      <c r="L194" t="s">
        <v>351</v>
      </c>
      <c r="M194">
        <v>25</v>
      </c>
      <c r="N194" s="92">
        <v>43466</v>
      </c>
      <c r="O194" s="92"/>
      <c r="Q194" t="s">
        <v>350</v>
      </c>
      <c r="R194">
        <v>1</v>
      </c>
    </row>
    <row r="196" spans="1:18" x14ac:dyDescent="0.25">
      <c r="B196"/>
      <c r="E196"/>
      <c r="F196" s="50"/>
      <c r="G196" s="51" t="s">
        <v>444</v>
      </c>
      <c r="H196" s="256">
        <v>45292</v>
      </c>
      <c r="J196" s="259" t="s">
        <v>83</v>
      </c>
      <c r="K196" s="257" t="s">
        <v>56</v>
      </c>
      <c r="L196" s="50" t="s">
        <v>82</v>
      </c>
      <c r="N196" t="s">
        <v>445</v>
      </c>
      <c r="O196" s="227">
        <v>45548</v>
      </c>
    </row>
    <row r="197" spans="1:18" x14ac:dyDescent="0.25">
      <c r="A197" t="s">
        <v>0</v>
      </c>
      <c r="B197" s="1" t="s">
        <v>446</v>
      </c>
      <c r="C197" t="s">
        <v>447</v>
      </c>
      <c r="D197" t="s">
        <v>3</v>
      </c>
      <c r="E197" s="53" t="s">
        <v>448</v>
      </c>
      <c r="F197" t="s">
        <v>449</v>
      </c>
      <c r="G197" t="s">
        <v>450</v>
      </c>
      <c r="H197" t="s">
        <v>451</v>
      </c>
      <c r="I197" t="s">
        <v>21</v>
      </c>
      <c r="J197" t="s">
        <v>452</v>
      </c>
      <c r="K197" s="1" t="s">
        <v>1</v>
      </c>
      <c r="L197" t="s">
        <v>453</v>
      </c>
      <c r="M197" t="s">
        <v>52</v>
      </c>
      <c r="N197" s="105" t="s">
        <v>454</v>
      </c>
      <c r="O197" s="105" t="s">
        <v>455</v>
      </c>
      <c r="Q197" t="s">
        <v>456</v>
      </c>
      <c r="R197" t="s">
        <v>457</v>
      </c>
    </row>
    <row r="198" spans="1:18" x14ac:dyDescent="0.25">
      <c r="A198" t="str">
        <f>TableGDEDUC[[#This Row],[Study Package Code]]</f>
        <v>MajorGDEDUC</v>
      </c>
      <c r="B198" s="1">
        <f>TableGDEDUC[[#This Row],[Ver]]</f>
        <v>0</v>
      </c>
      <c r="D198" t="str">
        <f>TableGDEDUC[[#This Row],[Structure Line]]</f>
        <v>Choose a Major</v>
      </c>
      <c r="E198" s="53">
        <f>TableGDEDUC[[#This Row],[Credit Points]]</f>
        <v>200</v>
      </c>
      <c r="F198">
        <v>1</v>
      </c>
      <c r="G198" t="s">
        <v>458</v>
      </c>
      <c r="H198">
        <v>0</v>
      </c>
      <c r="I198" t="s">
        <v>459</v>
      </c>
      <c r="J198" t="s">
        <v>426</v>
      </c>
      <c r="K198" s="1">
        <v>0</v>
      </c>
      <c r="L198" t="s">
        <v>427</v>
      </c>
      <c r="M198">
        <v>200</v>
      </c>
      <c r="N198" s="92"/>
      <c r="O198" s="92"/>
      <c r="Q198" t="s">
        <v>426</v>
      </c>
      <c r="R198">
        <v>0</v>
      </c>
    </row>
    <row r="199" spans="1:18" x14ac:dyDescent="0.25">
      <c r="A199" t="str">
        <f>TableGDEDUC[[#This Row],[Study Package Code]]</f>
        <v>MJRP-EDUPR</v>
      </c>
      <c r="B199" s="1">
        <f>TableGDEDUC[[#This Row],[Ver]]</f>
        <v>1</v>
      </c>
      <c r="D199" t="str">
        <f>TableGDEDUC[[#This Row],[Structure Line]]</f>
        <v>Primary Education Major (GradDipEdu)</v>
      </c>
      <c r="E199" s="53">
        <f>TableGDEDUC[[#This Row],[Credit Points]]</f>
        <v>200</v>
      </c>
      <c r="F199">
        <v>1</v>
      </c>
      <c r="G199" t="s">
        <v>458</v>
      </c>
      <c r="H199">
        <v>0</v>
      </c>
      <c r="I199" t="s">
        <v>459</v>
      </c>
      <c r="J199" t="s">
        <v>304</v>
      </c>
      <c r="K199" s="1">
        <v>1</v>
      </c>
      <c r="L199" t="s">
        <v>238</v>
      </c>
      <c r="M199">
        <v>200</v>
      </c>
      <c r="N199" s="92">
        <v>45292</v>
      </c>
      <c r="O199" s="92"/>
      <c r="Q199" t="s">
        <v>304</v>
      </c>
      <c r="R199">
        <v>1</v>
      </c>
    </row>
    <row r="200" spans="1:18" x14ac:dyDescent="0.25">
      <c r="A200" t="str">
        <f>TableGDEDUC[[#This Row],[Study Package Code]]</f>
        <v>MJRP-EDUSC</v>
      </c>
      <c r="B200" s="1">
        <f>TableGDEDUC[[#This Row],[Ver]]</f>
        <v>1</v>
      </c>
      <c r="D200" t="str">
        <f>TableGDEDUC[[#This Row],[Structure Line]]</f>
        <v>Secondary Education Major (GradDipEdu)</v>
      </c>
      <c r="E200" s="53">
        <f>TableGDEDUC[[#This Row],[Credit Points]]</f>
        <v>200</v>
      </c>
      <c r="F200">
        <v>1</v>
      </c>
      <c r="G200" t="s">
        <v>458</v>
      </c>
      <c r="H200">
        <v>0</v>
      </c>
      <c r="I200" t="s">
        <v>459</v>
      </c>
      <c r="J200" t="s">
        <v>306</v>
      </c>
      <c r="K200" s="1">
        <v>1</v>
      </c>
      <c r="L200" t="s">
        <v>240</v>
      </c>
      <c r="M200">
        <v>200</v>
      </c>
      <c r="N200" s="92">
        <v>45292</v>
      </c>
      <c r="O200" s="92"/>
      <c r="Q200" t="s">
        <v>306</v>
      </c>
      <c r="R200">
        <v>1</v>
      </c>
    </row>
    <row r="201" spans="1:18" x14ac:dyDescent="0.25">
      <c r="B201"/>
      <c r="E201"/>
      <c r="F201" s="50"/>
      <c r="G201" s="51" t="s">
        <v>444</v>
      </c>
      <c r="H201" s="256">
        <v>45292</v>
      </c>
      <c r="J201" s="259" t="s">
        <v>304</v>
      </c>
      <c r="K201" s="257" t="s">
        <v>56</v>
      </c>
      <c r="L201" s="50" t="s">
        <v>238</v>
      </c>
      <c r="N201" t="s">
        <v>445</v>
      </c>
      <c r="O201" s="227">
        <v>45548</v>
      </c>
    </row>
    <row r="202" spans="1:18" x14ac:dyDescent="0.25">
      <c r="A202" t="s">
        <v>0</v>
      </c>
      <c r="B202" s="1" t="s">
        <v>446</v>
      </c>
      <c r="C202" t="s">
        <v>447</v>
      </c>
      <c r="D202" t="s">
        <v>3</v>
      </c>
      <c r="E202" s="53" t="s">
        <v>448</v>
      </c>
      <c r="F202" t="s">
        <v>449</v>
      </c>
      <c r="G202" t="s">
        <v>450</v>
      </c>
      <c r="H202" t="s">
        <v>451</v>
      </c>
      <c r="I202" t="s">
        <v>21</v>
      </c>
      <c r="J202" t="s">
        <v>452</v>
      </c>
      <c r="K202" s="1" t="s">
        <v>1</v>
      </c>
      <c r="L202" t="s">
        <v>453</v>
      </c>
      <c r="M202" t="s">
        <v>52</v>
      </c>
      <c r="N202" s="105" t="s">
        <v>454</v>
      </c>
      <c r="O202" s="105" t="s">
        <v>455</v>
      </c>
      <c r="Q202" t="s">
        <v>456</v>
      </c>
      <c r="R202" t="s">
        <v>457</v>
      </c>
    </row>
    <row r="203" spans="1:18" x14ac:dyDescent="0.25">
      <c r="A203" t="str">
        <f>TableMJRPEDUPR[[#This Row],[Study Package Code]]</f>
        <v>EDPR5000</v>
      </c>
      <c r="B203" s="1">
        <f>TableMJRPEDUPR[[#This Row],[Ver]]</f>
        <v>2</v>
      </c>
      <c r="D203" t="str">
        <f>TableMJRPEDUPR[[#This Row],[Structure Line]]</f>
        <v>Primary Professional Experience 1: Planning for Writing</v>
      </c>
      <c r="E203" s="53">
        <f>TableMJRPEDUPR[[#This Row],[Credit Points]]</f>
        <v>25</v>
      </c>
      <c r="F203">
        <v>1</v>
      </c>
      <c r="G203" t="s">
        <v>458</v>
      </c>
      <c r="H203">
        <v>1</v>
      </c>
      <c r="I203" t="s">
        <v>468</v>
      </c>
      <c r="J203" t="s">
        <v>91</v>
      </c>
      <c r="K203" s="1">
        <v>2</v>
      </c>
      <c r="L203" t="s">
        <v>352</v>
      </c>
      <c r="M203">
        <v>25</v>
      </c>
      <c r="N203" s="92">
        <v>44562</v>
      </c>
      <c r="O203" s="92"/>
      <c r="Q203" t="s">
        <v>91</v>
      </c>
      <c r="R203">
        <v>2</v>
      </c>
    </row>
    <row r="204" spans="1:18" x14ac:dyDescent="0.25">
      <c r="A204" t="str">
        <f>TableMJRPEDUPR[[#This Row],[Study Package Code]]</f>
        <v>EDUC5005</v>
      </c>
      <c r="B204" s="1">
        <f>TableMJRPEDUPR[[#This Row],[Ver]]</f>
        <v>2</v>
      </c>
      <c r="D204" t="str">
        <f>TableMJRPEDUPR[[#This Row],[Structure Line]]</f>
        <v>Theories of Development and Learning</v>
      </c>
      <c r="E204" s="53">
        <f>TableMJRPEDUPR[[#This Row],[Credit Points]]</f>
        <v>25</v>
      </c>
      <c r="F204">
        <v>2</v>
      </c>
      <c r="G204" t="s">
        <v>458</v>
      </c>
      <c r="H204">
        <v>1</v>
      </c>
      <c r="I204" t="s">
        <v>468</v>
      </c>
      <c r="J204" t="s">
        <v>72</v>
      </c>
      <c r="K204" s="1">
        <v>2</v>
      </c>
      <c r="L204" t="s">
        <v>381</v>
      </c>
      <c r="M204">
        <v>25</v>
      </c>
      <c r="N204" s="92">
        <v>44197</v>
      </c>
      <c r="O204" s="92"/>
      <c r="Q204" t="s">
        <v>72</v>
      </c>
      <c r="R204">
        <v>2</v>
      </c>
    </row>
    <row r="205" spans="1:18" x14ac:dyDescent="0.25">
      <c r="A205" t="str">
        <f>TableMJRPEDUPR[[#This Row],[Study Package Code]]</f>
        <v>EDPR5001</v>
      </c>
      <c r="B205" s="1">
        <f>TableMJRPEDUPR[[#This Row],[Ver]]</f>
        <v>1</v>
      </c>
      <c r="D205" t="str">
        <f>TableMJRPEDUPR[[#This Row],[Structure Line]]</f>
        <v>Primary Professional Experience 2: Assessment and Reporting</v>
      </c>
      <c r="E205" s="53">
        <f>TableMJRPEDUPR[[#This Row],[Credit Points]]</f>
        <v>25</v>
      </c>
      <c r="F205">
        <v>3</v>
      </c>
      <c r="G205" t="s">
        <v>458</v>
      </c>
      <c r="H205">
        <v>1</v>
      </c>
      <c r="I205" t="s">
        <v>469</v>
      </c>
      <c r="J205" t="s">
        <v>101</v>
      </c>
      <c r="K205" s="1">
        <v>1</v>
      </c>
      <c r="L205" t="s">
        <v>353</v>
      </c>
      <c r="M205">
        <v>25</v>
      </c>
      <c r="N205" s="92">
        <v>43101</v>
      </c>
      <c r="O205" s="92"/>
      <c r="Q205" t="s">
        <v>101</v>
      </c>
      <c r="R205">
        <v>1</v>
      </c>
    </row>
    <row r="206" spans="1:18" x14ac:dyDescent="0.25">
      <c r="A206" t="str">
        <f>TableMJRPEDUPR[[#This Row],[Study Package Code]]</f>
        <v>EDPR5005</v>
      </c>
      <c r="B206" s="1">
        <f>TableMJRPEDUPR[[#This Row],[Ver]]</f>
        <v>1</v>
      </c>
      <c r="D206" t="str">
        <f>TableMJRPEDUPR[[#This Row],[Structure Line]]</f>
        <v>Teaching Science in the Primary Years</v>
      </c>
      <c r="E206" s="53">
        <f>TableMJRPEDUPR[[#This Row],[Credit Points]]</f>
        <v>25</v>
      </c>
      <c r="F206">
        <v>4</v>
      </c>
      <c r="G206" t="s">
        <v>458</v>
      </c>
      <c r="H206">
        <v>1</v>
      </c>
      <c r="I206" t="s">
        <v>469</v>
      </c>
      <c r="J206" t="s">
        <v>105</v>
      </c>
      <c r="K206" s="1">
        <v>1</v>
      </c>
      <c r="L206" t="s">
        <v>357</v>
      </c>
      <c r="M206">
        <v>25</v>
      </c>
      <c r="N206" s="92">
        <v>43101</v>
      </c>
      <c r="O206" s="92"/>
      <c r="Q206" t="s">
        <v>105</v>
      </c>
      <c r="R206">
        <v>1</v>
      </c>
    </row>
    <row r="207" spans="1:18" x14ac:dyDescent="0.25">
      <c r="A207" t="str">
        <f>TableMJRPEDUPR[[#This Row],[Study Package Code]]</f>
        <v>EDUC5031</v>
      </c>
      <c r="B207" s="1">
        <f>TableMJRPEDUPR[[#This Row],[Ver]]</f>
        <v>1</v>
      </c>
      <c r="D207" t="str">
        <f>TableMJRPEDUPR[[#This Row],[Structure Line]]</f>
        <v>Introduction to English: Reading</v>
      </c>
      <c r="E207" s="53">
        <f>TableMJRPEDUPR[[#This Row],[Credit Points]]</f>
        <v>25</v>
      </c>
      <c r="F207">
        <v>5</v>
      </c>
      <c r="G207" t="s">
        <v>458</v>
      </c>
      <c r="H207">
        <v>1</v>
      </c>
      <c r="I207" t="s">
        <v>470</v>
      </c>
      <c r="J207" t="s">
        <v>77</v>
      </c>
      <c r="K207" s="1">
        <v>1</v>
      </c>
      <c r="L207" t="s">
        <v>389</v>
      </c>
      <c r="M207">
        <v>25</v>
      </c>
      <c r="N207" s="92">
        <v>44562</v>
      </c>
      <c r="O207" s="92"/>
      <c r="Q207" t="s">
        <v>77</v>
      </c>
      <c r="R207">
        <v>1</v>
      </c>
    </row>
    <row r="208" spans="1:18" x14ac:dyDescent="0.25">
      <c r="A208" t="str">
        <f>TableMJRPEDUPR[[#This Row],[Study Package Code]]</f>
        <v>EDUC6062</v>
      </c>
      <c r="B208" s="1">
        <f>TableMJRPEDUPR[[#This Row],[Ver]]</f>
        <v>1</v>
      </c>
      <c r="D208" t="str">
        <f>TableMJRPEDUPR[[#This Row],[Structure Line]]</f>
        <v>Professional Experience 3: Using Data to Inform Teaching and Learning</v>
      </c>
      <c r="E208" s="53">
        <f>TableMJRPEDUPR[[#This Row],[Credit Points]]</f>
        <v>25</v>
      </c>
      <c r="F208">
        <v>6</v>
      </c>
      <c r="G208" t="s">
        <v>458</v>
      </c>
      <c r="H208">
        <v>1</v>
      </c>
      <c r="I208" t="s">
        <v>470</v>
      </c>
      <c r="J208" t="s">
        <v>117</v>
      </c>
      <c r="K208" s="1">
        <v>1</v>
      </c>
      <c r="L208" t="s">
        <v>406</v>
      </c>
      <c r="M208">
        <v>25</v>
      </c>
      <c r="N208" s="92">
        <v>44562</v>
      </c>
      <c r="O208" s="92"/>
      <c r="Q208" t="s">
        <v>117</v>
      </c>
      <c r="R208">
        <v>1</v>
      </c>
    </row>
    <row r="209" spans="1:18" x14ac:dyDescent="0.25">
      <c r="A209" t="str">
        <f>TableMJRPEDUPR[[#This Row],[Study Package Code]]</f>
        <v>EDUC5006</v>
      </c>
      <c r="B209" s="1">
        <f>TableMJRPEDUPR[[#This Row],[Ver]]</f>
        <v>1</v>
      </c>
      <c r="D209" t="str">
        <f>TableMJRPEDUPR[[#This Row],[Structure Line]]</f>
        <v>Creative Technologies</v>
      </c>
      <c r="E209" s="53">
        <f>TableMJRPEDUPR[[#This Row],[Credit Points]]</f>
        <v>25</v>
      </c>
      <c r="F209">
        <v>7</v>
      </c>
      <c r="G209" t="s">
        <v>458</v>
      </c>
      <c r="H209">
        <v>1</v>
      </c>
      <c r="I209" t="s">
        <v>471</v>
      </c>
      <c r="J209" t="s">
        <v>95</v>
      </c>
      <c r="K209" s="1">
        <v>1</v>
      </c>
      <c r="L209" t="s">
        <v>382</v>
      </c>
      <c r="M209">
        <v>25</v>
      </c>
      <c r="N209" s="92">
        <v>43101</v>
      </c>
      <c r="O209" s="92"/>
      <c r="Q209" t="s">
        <v>95</v>
      </c>
      <c r="R209">
        <v>1</v>
      </c>
    </row>
    <row r="210" spans="1:18" x14ac:dyDescent="0.25">
      <c r="A210" t="str">
        <f>TableMJRPEDUPR[[#This Row],[Study Package Code]]</f>
        <v>EDPR5003</v>
      </c>
      <c r="B210" s="1">
        <f>TableMJRPEDUPR[[#This Row],[Ver]]</f>
        <v>1</v>
      </c>
      <c r="D210" t="str">
        <f>TableMJRPEDUPR[[#This Row],[Structure Line]]</f>
        <v>Teaching Number, Algebra and Probability in the Primary Years</v>
      </c>
      <c r="E210" s="53">
        <f>TableMJRPEDUPR[[#This Row],[Credit Points]]</f>
        <v>25</v>
      </c>
      <c r="F210">
        <v>8</v>
      </c>
      <c r="G210" t="s">
        <v>458</v>
      </c>
      <c r="H210">
        <v>1</v>
      </c>
      <c r="I210" t="s">
        <v>471</v>
      </c>
      <c r="J210" t="s">
        <v>87</v>
      </c>
      <c r="K210" s="1">
        <v>1</v>
      </c>
      <c r="L210" t="s">
        <v>354</v>
      </c>
      <c r="M210">
        <v>25</v>
      </c>
      <c r="N210" s="92">
        <v>43101</v>
      </c>
      <c r="O210" s="92"/>
      <c r="Q210" t="s">
        <v>87</v>
      </c>
      <c r="R210">
        <v>1</v>
      </c>
    </row>
    <row r="211" spans="1:18" x14ac:dyDescent="0.25">
      <c r="B211"/>
      <c r="E211"/>
      <c r="F211" s="50"/>
      <c r="G211" s="51" t="s">
        <v>444</v>
      </c>
      <c r="H211" s="256">
        <v>45292</v>
      </c>
      <c r="J211" s="259" t="s">
        <v>306</v>
      </c>
      <c r="K211" s="257" t="s">
        <v>56</v>
      </c>
      <c r="L211" s="50" t="s">
        <v>240</v>
      </c>
      <c r="N211" t="s">
        <v>445</v>
      </c>
      <c r="O211" s="227">
        <v>45548</v>
      </c>
    </row>
    <row r="212" spans="1:18" x14ac:dyDescent="0.25">
      <c r="A212" t="s">
        <v>0</v>
      </c>
      <c r="B212" s="1" t="s">
        <v>446</v>
      </c>
      <c r="C212" t="s">
        <v>447</v>
      </c>
      <c r="D212" t="s">
        <v>3</v>
      </c>
      <c r="E212" s="53" t="s">
        <v>448</v>
      </c>
      <c r="F212" t="s">
        <v>449</v>
      </c>
      <c r="G212" t="s">
        <v>450</v>
      </c>
      <c r="H212" t="s">
        <v>451</v>
      </c>
      <c r="I212" t="s">
        <v>21</v>
      </c>
      <c r="J212" t="s">
        <v>452</v>
      </c>
      <c r="K212" s="1" t="s">
        <v>1</v>
      </c>
      <c r="L212" t="s">
        <v>453</v>
      </c>
      <c r="M212" t="s">
        <v>52</v>
      </c>
      <c r="N212" s="105" t="s">
        <v>454</v>
      </c>
      <c r="O212" s="105" t="s">
        <v>455</v>
      </c>
      <c r="Q212" t="s">
        <v>456</v>
      </c>
      <c r="R212" t="s">
        <v>457</v>
      </c>
    </row>
    <row r="213" spans="1:18" x14ac:dyDescent="0.25">
      <c r="A213" t="str">
        <f>TableMJRPEDUSC[[#This Row],[Study Package Code]]</f>
        <v>Option</v>
      </c>
      <c r="B213" s="1">
        <f>TableMJRPEDUSC[[#This Row],[Ver]]</f>
        <v>0</v>
      </c>
      <c r="D213" t="str">
        <f>TableMJRPEDUSC[[#This Row],[Structure Line]]</f>
        <v>Teaching Area Options</v>
      </c>
      <c r="E213" s="53">
        <f>TableMJRPEDUSC[[#This Row],[Credit Points]]</f>
        <v>50</v>
      </c>
      <c r="F213">
        <v>1</v>
      </c>
      <c r="G213" t="s">
        <v>428</v>
      </c>
      <c r="H213">
        <v>1</v>
      </c>
      <c r="I213" t="s">
        <v>459</v>
      </c>
      <c r="J213" t="s">
        <v>428</v>
      </c>
      <c r="K213" s="1">
        <v>0</v>
      </c>
      <c r="L213" t="s">
        <v>429</v>
      </c>
      <c r="M213">
        <v>50</v>
      </c>
      <c r="N213" s="92"/>
      <c r="O213" s="92"/>
      <c r="Q213" t="s">
        <v>428</v>
      </c>
      <c r="R213">
        <v>0</v>
      </c>
    </row>
    <row r="214" spans="1:18" x14ac:dyDescent="0.25">
      <c r="A214" t="str">
        <f>TableMJRPEDUSC[[#This Row],[Study Package Code]]</f>
        <v>EDSC5028</v>
      </c>
      <c r="B214" s="1">
        <f>TableMJRPEDUSC[[#This Row],[Ver]]</f>
        <v>1</v>
      </c>
      <c r="D214" t="str">
        <f>TableMJRPEDUSC[[#This Row],[Structure Line]]</f>
        <v>Secondary Professional Experience 1: Planning</v>
      </c>
      <c r="E214" s="53">
        <f>TableMJRPEDUSC[[#This Row],[Credit Points]]</f>
        <v>25</v>
      </c>
      <c r="F214">
        <v>2</v>
      </c>
      <c r="G214" t="s">
        <v>458</v>
      </c>
      <c r="H214">
        <v>1</v>
      </c>
      <c r="I214" t="s">
        <v>468</v>
      </c>
      <c r="J214" t="s">
        <v>268</v>
      </c>
      <c r="K214" s="1">
        <v>1</v>
      </c>
      <c r="L214" t="s">
        <v>368</v>
      </c>
      <c r="M214">
        <v>25</v>
      </c>
      <c r="N214" s="92">
        <v>43101</v>
      </c>
      <c r="O214" s="92"/>
      <c r="Q214" t="s">
        <v>268</v>
      </c>
      <c r="R214">
        <v>1</v>
      </c>
    </row>
    <row r="215" spans="1:18" x14ac:dyDescent="0.25">
      <c r="A215" t="str">
        <f>TableMJRPEDUSC[[#This Row],[Study Package Code]]</f>
        <v>EDSC5035</v>
      </c>
      <c r="B215" s="1">
        <f>TableMJRPEDUSC[[#This Row],[Ver]]</f>
        <v>1</v>
      </c>
      <c r="D215" t="str">
        <f>TableMJRPEDUSC[[#This Row],[Structure Line]]</f>
        <v>Teaching in the Secondary School</v>
      </c>
      <c r="E215" s="53">
        <f>TableMJRPEDUSC[[#This Row],[Credit Points]]</f>
        <v>25</v>
      </c>
      <c r="F215">
        <v>3</v>
      </c>
      <c r="G215" t="s">
        <v>458</v>
      </c>
      <c r="H215">
        <v>1</v>
      </c>
      <c r="I215" t="s">
        <v>468</v>
      </c>
      <c r="J215" t="s">
        <v>259</v>
      </c>
      <c r="K215" s="1">
        <v>1</v>
      </c>
      <c r="L215" t="s">
        <v>375</v>
      </c>
      <c r="M215">
        <v>25</v>
      </c>
      <c r="N215" s="92">
        <v>43101</v>
      </c>
      <c r="O215" s="92"/>
      <c r="Q215" t="s">
        <v>259</v>
      </c>
      <c r="R215">
        <v>1</v>
      </c>
    </row>
    <row r="216" spans="1:18" x14ac:dyDescent="0.25">
      <c r="A216" t="str">
        <f>TableMJRPEDUSC[[#This Row],[Study Package Code]]</f>
        <v>EDSC5029</v>
      </c>
      <c r="B216" s="1">
        <f>TableMJRPEDUSC[[#This Row],[Ver]]</f>
        <v>1</v>
      </c>
      <c r="D216" t="str">
        <f>TableMJRPEDUSC[[#This Row],[Structure Line]]</f>
        <v>Secondary Professional Experience 2: Assessment and Reporting</v>
      </c>
      <c r="E216" s="53">
        <f>TableMJRPEDUSC[[#This Row],[Credit Points]]</f>
        <v>25</v>
      </c>
      <c r="F216">
        <v>4</v>
      </c>
      <c r="G216" t="s">
        <v>458</v>
      </c>
      <c r="H216">
        <v>1</v>
      </c>
      <c r="I216" t="s">
        <v>469</v>
      </c>
      <c r="J216" t="s">
        <v>273</v>
      </c>
      <c r="K216" s="1">
        <v>1</v>
      </c>
      <c r="L216" t="s">
        <v>369</v>
      </c>
      <c r="M216">
        <v>25</v>
      </c>
      <c r="N216" s="92">
        <v>43101</v>
      </c>
      <c r="O216" s="92"/>
      <c r="Q216" t="s">
        <v>273</v>
      </c>
      <c r="R216">
        <v>1</v>
      </c>
    </row>
    <row r="217" spans="1:18" x14ac:dyDescent="0.25">
      <c r="A217" t="str">
        <f>TableMJRPEDUSC[[#This Row],[Study Package Code]]</f>
        <v>EDUC5009</v>
      </c>
      <c r="B217" s="1">
        <f>TableMJRPEDUSC[[#This Row],[Ver]]</f>
        <v>1</v>
      </c>
      <c r="D217" t="str">
        <f>TableMJRPEDUSC[[#This Row],[Structure Line]]</f>
        <v>Pedagogies for Diversity</v>
      </c>
      <c r="E217" s="53">
        <f>TableMJRPEDUSC[[#This Row],[Credit Points]]</f>
        <v>25</v>
      </c>
      <c r="F217">
        <v>5</v>
      </c>
      <c r="G217" t="s">
        <v>458</v>
      </c>
      <c r="H217">
        <v>1</v>
      </c>
      <c r="I217" t="s">
        <v>470</v>
      </c>
      <c r="J217" t="s">
        <v>96</v>
      </c>
      <c r="K217" s="1">
        <v>1</v>
      </c>
      <c r="L217" t="s">
        <v>383</v>
      </c>
      <c r="M217">
        <v>25</v>
      </c>
      <c r="N217" s="92">
        <v>43101</v>
      </c>
      <c r="O217" s="92"/>
      <c r="Q217" t="s">
        <v>96</v>
      </c>
      <c r="R217">
        <v>1</v>
      </c>
    </row>
    <row r="218" spans="1:18" x14ac:dyDescent="0.25">
      <c r="A218" t="str">
        <f>TableMJRPEDUSC[[#This Row],[Study Package Code]]</f>
        <v>EDUC6062</v>
      </c>
      <c r="B218" s="1">
        <f>TableMJRPEDUSC[[#This Row],[Ver]]</f>
        <v>1</v>
      </c>
      <c r="D218" t="str">
        <f>TableMJRPEDUSC[[#This Row],[Structure Line]]</f>
        <v>Professional Experience 3: Using Data to Inform Teaching and Learning</v>
      </c>
      <c r="E218" s="53">
        <f>TableMJRPEDUSC[[#This Row],[Credit Points]]</f>
        <v>25</v>
      </c>
      <c r="F218">
        <v>6</v>
      </c>
      <c r="G218" t="s">
        <v>458</v>
      </c>
      <c r="H218">
        <v>1</v>
      </c>
      <c r="I218" t="s">
        <v>470</v>
      </c>
      <c r="J218" t="s">
        <v>117</v>
      </c>
      <c r="K218" s="1">
        <v>1</v>
      </c>
      <c r="L218" t="s">
        <v>406</v>
      </c>
      <c r="M218">
        <v>25</v>
      </c>
      <c r="N218" s="92">
        <v>44562</v>
      </c>
      <c r="O218" s="92"/>
      <c r="Q218" t="s">
        <v>117</v>
      </c>
      <c r="R218">
        <v>1</v>
      </c>
    </row>
    <row r="219" spans="1:18" x14ac:dyDescent="0.25">
      <c r="A219" t="str">
        <f>TableMJRPEDUSC[[#This Row],[Study Package Code]]</f>
        <v>EDUC5006</v>
      </c>
      <c r="B219" s="1">
        <f>TableMJRPEDUSC[[#This Row],[Ver]]</f>
        <v>1</v>
      </c>
      <c r="D219" t="str">
        <f>TableMJRPEDUSC[[#This Row],[Structure Line]]</f>
        <v>Creative Technologies</v>
      </c>
      <c r="E219" s="53">
        <f>TableMJRPEDUSC[[#This Row],[Credit Points]]</f>
        <v>25</v>
      </c>
      <c r="F219">
        <v>7</v>
      </c>
      <c r="G219" t="s">
        <v>458</v>
      </c>
      <c r="H219">
        <v>1</v>
      </c>
      <c r="I219" t="s">
        <v>471</v>
      </c>
      <c r="J219" t="s">
        <v>95</v>
      </c>
      <c r="K219" s="1">
        <v>1</v>
      </c>
      <c r="L219" t="s">
        <v>382</v>
      </c>
      <c r="M219">
        <v>25</v>
      </c>
      <c r="N219" s="92">
        <v>43101</v>
      </c>
      <c r="O219" s="92"/>
      <c r="Q219" t="s">
        <v>95</v>
      </c>
      <c r="R219">
        <v>1</v>
      </c>
    </row>
    <row r="220" spans="1:18" x14ac:dyDescent="0.25">
      <c r="A220" t="str">
        <f>TableMJRPEDUSC[[#This Row],[Study Package Code]]</f>
        <v>STRP-SCART</v>
      </c>
      <c r="B220" s="1">
        <f>TableMJRPEDUSC[[#This Row],[Ver]]</f>
        <v>1</v>
      </c>
      <c r="D220" t="str">
        <f>TableMJRPEDUSC[[#This Row],[Structure Line]]</f>
        <v>The Arts Teaching Area Stream (MTch Sec)</v>
      </c>
      <c r="E220" s="53">
        <f>TableMJRPEDUSC[[#This Row],[Credit Points]]</f>
        <v>50</v>
      </c>
      <c r="F220">
        <v>1</v>
      </c>
      <c r="G220" t="s">
        <v>428</v>
      </c>
      <c r="H220">
        <v>1</v>
      </c>
      <c r="I220" t="s">
        <v>459</v>
      </c>
      <c r="J220" t="s">
        <v>264</v>
      </c>
      <c r="K220" s="1">
        <v>1</v>
      </c>
      <c r="L220" t="s">
        <v>436</v>
      </c>
      <c r="M220">
        <v>50</v>
      </c>
      <c r="N220" s="92">
        <v>44562</v>
      </c>
      <c r="O220" s="92"/>
      <c r="Q220" t="s">
        <v>264</v>
      </c>
      <c r="R220">
        <v>1</v>
      </c>
    </row>
    <row r="221" spans="1:18" x14ac:dyDescent="0.25">
      <c r="A221" t="str">
        <f>TableMJRPEDUSC[[#This Row],[Study Package Code]]</f>
        <v>STRP-SCENG</v>
      </c>
      <c r="B221" s="1">
        <f>TableMJRPEDUSC[[#This Row],[Ver]]</f>
        <v>1</v>
      </c>
      <c r="D221" t="str">
        <f>TableMJRPEDUSC[[#This Row],[Structure Line]]</f>
        <v>English Teaching Area Stream (MTch Sec)</v>
      </c>
      <c r="E221" s="53">
        <f>TableMJRPEDUSC[[#This Row],[Credit Points]]</f>
        <v>50</v>
      </c>
      <c r="F221">
        <v>1</v>
      </c>
      <c r="G221" t="s">
        <v>428</v>
      </c>
      <c r="H221">
        <v>1</v>
      </c>
      <c r="I221" t="s">
        <v>459</v>
      </c>
      <c r="J221" t="s">
        <v>270</v>
      </c>
      <c r="K221" s="1">
        <v>1</v>
      </c>
      <c r="L221" t="s">
        <v>437</v>
      </c>
      <c r="M221">
        <v>50</v>
      </c>
      <c r="N221" s="92">
        <v>44562</v>
      </c>
      <c r="O221" s="92"/>
      <c r="Q221" t="s">
        <v>270</v>
      </c>
      <c r="R221">
        <v>1</v>
      </c>
    </row>
    <row r="222" spans="1:18" x14ac:dyDescent="0.25">
      <c r="A222" t="str">
        <f>TableMJRPEDUSC[[#This Row],[Study Package Code]]</f>
        <v>STRP-SCHLP</v>
      </c>
      <c r="B222" s="1">
        <f>TableMJRPEDUSC[[#This Row],[Ver]]</f>
        <v>1</v>
      </c>
      <c r="D222" t="str">
        <f>TableMJRPEDUSC[[#This Row],[Structure Line]]</f>
        <v>Health and Physical Education Teaching Area Stream (MTch Sec)</v>
      </c>
      <c r="E222" s="53">
        <f>TableMJRPEDUSC[[#This Row],[Credit Points]]</f>
        <v>50</v>
      </c>
      <c r="F222">
        <v>1</v>
      </c>
      <c r="G222" t="s">
        <v>428</v>
      </c>
      <c r="H222">
        <v>1</v>
      </c>
      <c r="I222" t="s">
        <v>459</v>
      </c>
      <c r="J222" t="s">
        <v>272</v>
      </c>
      <c r="K222" s="1">
        <v>1</v>
      </c>
      <c r="L222" t="s">
        <v>439</v>
      </c>
      <c r="M222">
        <v>50</v>
      </c>
      <c r="N222" s="92">
        <v>44562</v>
      </c>
      <c r="O222" s="92"/>
      <c r="Q222" t="s">
        <v>272</v>
      </c>
      <c r="R222">
        <v>1</v>
      </c>
    </row>
    <row r="223" spans="1:18" x14ac:dyDescent="0.25">
      <c r="A223" t="str">
        <f>TableMJRPEDUSC[[#This Row],[Study Package Code]]</f>
        <v>STRP-SCHUS</v>
      </c>
      <c r="B223" s="1">
        <f>TableMJRPEDUSC[[#This Row],[Ver]]</f>
        <v>1</v>
      </c>
      <c r="D223" t="str">
        <f>TableMJRPEDUSC[[#This Row],[Structure Line]]</f>
        <v>Humanities and Social Sciences Teaching Area Stream (MTch Sec)</v>
      </c>
      <c r="E223" s="53">
        <f>TableMJRPEDUSC[[#This Row],[Credit Points]]</f>
        <v>50</v>
      </c>
      <c r="F223">
        <v>1</v>
      </c>
      <c r="G223" t="s">
        <v>428</v>
      </c>
      <c r="H223">
        <v>1</v>
      </c>
      <c r="I223" t="s">
        <v>459</v>
      </c>
      <c r="J223" t="s">
        <v>275</v>
      </c>
      <c r="K223" s="1">
        <v>1</v>
      </c>
      <c r="L223" t="s">
        <v>440</v>
      </c>
      <c r="M223">
        <v>50</v>
      </c>
      <c r="N223" s="92">
        <v>44562</v>
      </c>
      <c r="O223" s="92"/>
      <c r="Q223" t="s">
        <v>275</v>
      </c>
      <c r="R223">
        <v>1</v>
      </c>
    </row>
    <row r="224" spans="1:18" x14ac:dyDescent="0.25">
      <c r="A224" t="str">
        <f>TableMJRPEDUSC[[#This Row],[Study Package Code]]</f>
        <v>STRP-SCMAT</v>
      </c>
      <c r="B224" s="1">
        <f>TableMJRPEDUSC[[#This Row],[Ver]]</f>
        <v>1</v>
      </c>
      <c r="D224" t="str">
        <f>TableMJRPEDUSC[[#This Row],[Structure Line]]</f>
        <v>Mathematics Teaching Area Stream (MTch Sec)</v>
      </c>
      <c r="E224" s="53">
        <f>TableMJRPEDUSC[[#This Row],[Credit Points]]</f>
        <v>50</v>
      </c>
      <c r="F224">
        <v>1</v>
      </c>
      <c r="G224" t="s">
        <v>428</v>
      </c>
      <c r="H224">
        <v>1</v>
      </c>
      <c r="I224" t="s">
        <v>459</v>
      </c>
      <c r="J224" t="s">
        <v>277</v>
      </c>
      <c r="K224" s="1">
        <v>1</v>
      </c>
      <c r="L224" t="s">
        <v>441</v>
      </c>
      <c r="M224">
        <v>50</v>
      </c>
      <c r="N224" s="92">
        <v>44562</v>
      </c>
      <c r="O224" s="92"/>
      <c r="Q224" t="s">
        <v>277</v>
      </c>
      <c r="R224">
        <v>1</v>
      </c>
    </row>
    <row r="225" spans="1:18" x14ac:dyDescent="0.25">
      <c r="A225" t="str">
        <f>TableMJRPEDUSC[[#This Row],[Study Package Code]]</f>
        <v>STRP-SCSCI</v>
      </c>
      <c r="B225" s="1">
        <f>TableMJRPEDUSC[[#This Row],[Ver]]</f>
        <v>1</v>
      </c>
      <c r="D225" t="str">
        <f>TableMJRPEDUSC[[#This Row],[Structure Line]]</f>
        <v>Science Teaching Area Stream (MTch Sec)</v>
      </c>
      <c r="E225" s="53">
        <f>TableMJRPEDUSC[[#This Row],[Credit Points]]</f>
        <v>50</v>
      </c>
      <c r="F225">
        <v>1</v>
      </c>
      <c r="G225" t="s">
        <v>428</v>
      </c>
      <c r="H225">
        <v>1</v>
      </c>
      <c r="I225" t="s">
        <v>459</v>
      </c>
      <c r="J225" t="s">
        <v>280</v>
      </c>
      <c r="K225" s="1">
        <v>1</v>
      </c>
      <c r="L225" t="s">
        <v>442</v>
      </c>
      <c r="M225">
        <v>50</v>
      </c>
      <c r="N225" s="92">
        <v>44562</v>
      </c>
      <c r="O225" s="92"/>
      <c r="Q225" t="s">
        <v>280</v>
      </c>
      <c r="R225">
        <v>1</v>
      </c>
    </row>
  </sheetData>
  <conditionalFormatting sqref="J4:J7">
    <cfRule type="duplicateValues" dxfId="93" priority="72"/>
  </conditionalFormatting>
  <conditionalFormatting sqref="J10:J25">
    <cfRule type="duplicateValues" dxfId="92" priority="69"/>
  </conditionalFormatting>
  <conditionalFormatting sqref="J28:J43">
    <cfRule type="duplicateValues" dxfId="91" priority="66"/>
  </conditionalFormatting>
  <conditionalFormatting sqref="J46:J72">
    <cfRule type="duplicateValues" dxfId="90" priority="63"/>
  </conditionalFormatting>
  <conditionalFormatting sqref="J75:J76">
    <cfRule type="duplicateValues" dxfId="89" priority="60"/>
  </conditionalFormatting>
  <conditionalFormatting sqref="J79:J80">
    <cfRule type="duplicateValues" dxfId="88" priority="57"/>
  </conditionalFormatting>
  <conditionalFormatting sqref="J83:J84">
    <cfRule type="duplicateValues" dxfId="87" priority="54"/>
  </conditionalFormatting>
  <conditionalFormatting sqref="J87:J88">
    <cfRule type="duplicateValues" dxfId="86" priority="51"/>
  </conditionalFormatting>
  <conditionalFormatting sqref="J91:J92">
    <cfRule type="duplicateValues" dxfId="85" priority="48"/>
  </conditionalFormatting>
  <conditionalFormatting sqref="J95:J96">
    <cfRule type="duplicateValues" dxfId="84" priority="45"/>
  </conditionalFormatting>
  <conditionalFormatting sqref="J99:J100">
    <cfRule type="duplicateValues" dxfId="83" priority="42"/>
  </conditionalFormatting>
  <conditionalFormatting sqref="J104:J118">
    <cfRule type="duplicateValues" dxfId="82" priority="39"/>
  </conditionalFormatting>
  <conditionalFormatting sqref="J121:J127">
    <cfRule type="duplicateValues" dxfId="81" priority="36"/>
  </conditionalFormatting>
  <conditionalFormatting sqref="J130:J133">
    <cfRule type="duplicateValues" dxfId="80" priority="33"/>
  </conditionalFormatting>
  <conditionalFormatting sqref="J137:J143 J145:J153">
    <cfRule type="duplicateValues" dxfId="79" priority="139"/>
  </conditionalFormatting>
  <conditionalFormatting sqref="J144">
    <cfRule type="duplicateValues" dxfId="78" priority="4"/>
  </conditionalFormatting>
  <conditionalFormatting sqref="J156:J159">
    <cfRule type="duplicateValues" dxfId="77" priority="27"/>
  </conditionalFormatting>
  <conditionalFormatting sqref="J162:J165">
    <cfRule type="duplicateValues" dxfId="76" priority="24"/>
  </conditionalFormatting>
  <conditionalFormatting sqref="J168:J171">
    <cfRule type="duplicateValues" dxfId="75" priority="21"/>
  </conditionalFormatting>
  <conditionalFormatting sqref="J174:J187">
    <cfRule type="duplicateValues" dxfId="74" priority="18"/>
  </conditionalFormatting>
  <conditionalFormatting sqref="J191:J194">
    <cfRule type="duplicateValues" dxfId="73" priority="15"/>
  </conditionalFormatting>
  <conditionalFormatting sqref="J198:J200">
    <cfRule type="duplicateValues" dxfId="72" priority="12"/>
  </conditionalFormatting>
  <conditionalFormatting sqref="J203:J210">
    <cfRule type="duplicateValues" dxfId="71" priority="9"/>
  </conditionalFormatting>
  <conditionalFormatting sqref="J213:J225">
    <cfRule type="duplicateValues" dxfId="70" priority="6"/>
  </conditionalFormatting>
  <conditionalFormatting sqref="N4:N7">
    <cfRule type="cellIs" dxfId="69" priority="73" operator="greaterThan">
      <formula>$P$2</formula>
    </cfRule>
  </conditionalFormatting>
  <conditionalFormatting sqref="N10:N25">
    <cfRule type="cellIs" dxfId="68" priority="70" operator="greaterThan">
      <formula>$P$2</formula>
    </cfRule>
  </conditionalFormatting>
  <conditionalFormatting sqref="N28:N43">
    <cfRule type="cellIs" dxfId="67" priority="67" operator="greaterThan">
      <formula>$P$2</formula>
    </cfRule>
  </conditionalFormatting>
  <conditionalFormatting sqref="N46:N72">
    <cfRule type="cellIs" dxfId="66" priority="64" operator="greaterThan">
      <formula>$P$2</formula>
    </cfRule>
  </conditionalFormatting>
  <conditionalFormatting sqref="N75:N76">
    <cfRule type="cellIs" dxfId="65" priority="61" operator="greaterThan">
      <formula>$P$2</formula>
    </cfRule>
  </conditionalFormatting>
  <conditionalFormatting sqref="N79:N80">
    <cfRule type="cellIs" dxfId="64" priority="58" operator="greaterThan">
      <formula>$P$2</formula>
    </cfRule>
  </conditionalFormatting>
  <conditionalFormatting sqref="N83:N84">
    <cfRule type="cellIs" dxfId="63" priority="55" operator="greaterThan">
      <formula>$P$2</formula>
    </cfRule>
  </conditionalFormatting>
  <conditionalFormatting sqref="N87:N88">
    <cfRule type="cellIs" dxfId="62" priority="52" operator="greaterThan">
      <formula>$P$2</formula>
    </cfRule>
  </conditionalFormatting>
  <conditionalFormatting sqref="N91:N92">
    <cfRule type="cellIs" dxfId="61" priority="49" operator="greaterThan">
      <formula>$P$2</formula>
    </cfRule>
  </conditionalFormatting>
  <conditionalFormatting sqref="N95:N96">
    <cfRule type="cellIs" dxfId="60" priority="46" operator="greaterThan">
      <formula>$P$2</formula>
    </cfRule>
  </conditionalFormatting>
  <conditionalFormatting sqref="N99:N100">
    <cfRule type="cellIs" dxfId="59" priority="43" operator="greaterThan">
      <formula>$P$2</formula>
    </cfRule>
  </conditionalFormatting>
  <conditionalFormatting sqref="N104:N118">
    <cfRule type="cellIs" dxfId="58" priority="40" operator="greaterThan">
      <formula>$P$2</formula>
    </cfRule>
  </conditionalFormatting>
  <conditionalFormatting sqref="N121:N127">
    <cfRule type="cellIs" dxfId="57" priority="37" operator="greaterThan">
      <formula>$P$2</formula>
    </cfRule>
  </conditionalFormatting>
  <conditionalFormatting sqref="N130:N133">
    <cfRule type="cellIs" dxfId="56" priority="34" operator="greaterThan">
      <formula>$P$2</formula>
    </cfRule>
  </conditionalFormatting>
  <conditionalFormatting sqref="N137:N153">
    <cfRule type="cellIs" dxfId="55" priority="2" operator="greaterThan">
      <formula>$P$2</formula>
    </cfRule>
  </conditionalFormatting>
  <conditionalFormatting sqref="N156:N159">
    <cfRule type="cellIs" dxfId="54" priority="28" operator="greaterThan">
      <formula>$P$2</formula>
    </cfRule>
  </conditionalFormatting>
  <conditionalFormatting sqref="N162:N165">
    <cfRule type="cellIs" dxfId="53" priority="25" operator="greaterThan">
      <formula>$P$2</formula>
    </cfRule>
  </conditionalFormatting>
  <conditionalFormatting sqref="N168:N171">
    <cfRule type="cellIs" dxfId="52" priority="22" operator="greaterThan">
      <formula>$P$2</formula>
    </cfRule>
  </conditionalFormatting>
  <conditionalFormatting sqref="N174:N187">
    <cfRule type="cellIs" dxfId="51" priority="19" operator="greaterThan">
      <formula>$P$2</formula>
    </cfRule>
  </conditionalFormatting>
  <conditionalFormatting sqref="N191:N194">
    <cfRule type="cellIs" dxfId="50" priority="16" operator="greaterThan">
      <formula>$P$2</formula>
    </cfRule>
  </conditionalFormatting>
  <conditionalFormatting sqref="N198:N200">
    <cfRule type="cellIs" dxfId="49" priority="13" operator="greaterThan">
      <formula>$P$2</formula>
    </cfRule>
  </conditionalFormatting>
  <conditionalFormatting sqref="N203:N210">
    <cfRule type="cellIs" dxfId="48" priority="10" operator="greaterThan">
      <formula>$P$2</formula>
    </cfRule>
  </conditionalFormatting>
  <conditionalFormatting sqref="N213:N225">
    <cfRule type="cellIs" dxfId="47" priority="7" operator="greaterThan">
      <formula>$P$2</formula>
    </cfRule>
  </conditionalFormatting>
  <conditionalFormatting sqref="O4:O7">
    <cfRule type="notContainsBlanks" dxfId="46" priority="128">
      <formula>LEN(TRIM(O4))&gt;0</formula>
    </cfRule>
  </conditionalFormatting>
  <conditionalFormatting sqref="O10:O25">
    <cfRule type="notContainsBlanks" dxfId="45" priority="71">
      <formula>LEN(TRIM(O10))&gt;0</formula>
    </cfRule>
  </conditionalFormatting>
  <conditionalFormatting sqref="O28:O43">
    <cfRule type="notContainsBlanks" dxfId="44" priority="68">
      <formula>LEN(TRIM(O28))&gt;0</formula>
    </cfRule>
  </conditionalFormatting>
  <conditionalFormatting sqref="O46:O72">
    <cfRule type="notContainsBlanks" dxfId="43" priority="65">
      <formula>LEN(TRIM(O46))&gt;0</formula>
    </cfRule>
  </conditionalFormatting>
  <conditionalFormatting sqref="O75:O76">
    <cfRule type="notContainsBlanks" dxfId="42" priority="62">
      <formula>LEN(TRIM(O75))&gt;0</formula>
    </cfRule>
  </conditionalFormatting>
  <conditionalFormatting sqref="O79:O80">
    <cfRule type="notContainsBlanks" dxfId="41" priority="59">
      <formula>LEN(TRIM(O79))&gt;0</formula>
    </cfRule>
  </conditionalFormatting>
  <conditionalFormatting sqref="O83:O84">
    <cfRule type="notContainsBlanks" dxfId="40" priority="56">
      <formula>LEN(TRIM(O83))&gt;0</formula>
    </cfRule>
  </conditionalFormatting>
  <conditionalFormatting sqref="O87:O88">
    <cfRule type="notContainsBlanks" dxfId="39" priority="53">
      <formula>LEN(TRIM(O87))&gt;0</formula>
    </cfRule>
  </conditionalFormatting>
  <conditionalFormatting sqref="O91:O92">
    <cfRule type="notContainsBlanks" dxfId="38" priority="50">
      <formula>LEN(TRIM(O91))&gt;0</formula>
    </cfRule>
  </conditionalFormatting>
  <conditionalFormatting sqref="O95:O96">
    <cfRule type="notContainsBlanks" dxfId="37" priority="47">
      <formula>LEN(TRIM(O95))&gt;0</formula>
    </cfRule>
  </conditionalFormatting>
  <conditionalFormatting sqref="O99:O100">
    <cfRule type="notContainsBlanks" dxfId="36" priority="44">
      <formula>LEN(TRIM(O99))&gt;0</formula>
    </cfRule>
  </conditionalFormatting>
  <conditionalFormatting sqref="O104:O118">
    <cfRule type="notContainsBlanks" dxfId="35" priority="41">
      <formula>LEN(TRIM(O104))&gt;0</formula>
    </cfRule>
  </conditionalFormatting>
  <conditionalFormatting sqref="O121:O127">
    <cfRule type="notContainsBlanks" dxfId="34" priority="38">
      <formula>LEN(TRIM(O121))&gt;0</formula>
    </cfRule>
  </conditionalFormatting>
  <conditionalFormatting sqref="O130:O133">
    <cfRule type="notContainsBlanks" dxfId="33" priority="35">
      <formula>LEN(TRIM(O130))&gt;0</formula>
    </cfRule>
  </conditionalFormatting>
  <conditionalFormatting sqref="O137:O153">
    <cfRule type="notContainsBlanks" dxfId="32" priority="3">
      <formula>LEN(TRIM(O137))&gt;0</formula>
    </cfRule>
  </conditionalFormatting>
  <conditionalFormatting sqref="O156:O159">
    <cfRule type="notContainsBlanks" dxfId="31" priority="29">
      <formula>LEN(TRIM(O156))&gt;0</formula>
    </cfRule>
  </conditionalFormatting>
  <conditionalFormatting sqref="O162:O165">
    <cfRule type="notContainsBlanks" dxfId="30" priority="26">
      <formula>LEN(TRIM(O162))&gt;0</formula>
    </cfRule>
  </conditionalFormatting>
  <conditionalFormatting sqref="O168:O171">
    <cfRule type="notContainsBlanks" dxfId="29" priority="23">
      <formula>LEN(TRIM(O168))&gt;0</formula>
    </cfRule>
  </conditionalFormatting>
  <conditionalFormatting sqref="O174:O187">
    <cfRule type="notContainsBlanks" dxfId="28" priority="20">
      <formula>LEN(TRIM(O174))&gt;0</formula>
    </cfRule>
  </conditionalFormatting>
  <conditionalFormatting sqref="O191:O194">
    <cfRule type="notContainsBlanks" dxfId="27" priority="17">
      <formula>LEN(TRIM(O191))&gt;0</formula>
    </cfRule>
  </conditionalFormatting>
  <conditionalFormatting sqref="O198:O200">
    <cfRule type="notContainsBlanks" dxfId="26" priority="14">
      <formula>LEN(TRIM(O198))&gt;0</formula>
    </cfRule>
  </conditionalFormatting>
  <conditionalFormatting sqref="O203:O210">
    <cfRule type="notContainsBlanks" dxfId="25" priority="11">
      <formula>LEN(TRIM(O203))&gt;0</formula>
    </cfRule>
  </conditionalFormatting>
  <conditionalFormatting sqref="O213:O225">
    <cfRule type="notContainsBlanks" dxfId="24" priority="8">
      <formula>LEN(TRIM(O213))&gt;0</formula>
    </cfRule>
  </conditionalFormatting>
  <conditionalFormatting sqref="Q4:R7 Q137:R153 Q198:R200 Q203:R210 Q213:R225">
    <cfRule type="expression" dxfId="23" priority="93">
      <formula>Q4&lt;&gt;J4</formula>
    </cfRule>
  </conditionalFormatting>
  <conditionalFormatting sqref="Q10:R25">
    <cfRule type="expression" dxfId="22" priority="92">
      <formula>Q10&lt;&gt;J10</formula>
    </cfRule>
  </conditionalFormatting>
  <conditionalFormatting sqref="Q28:R43">
    <cfRule type="expression" dxfId="21" priority="91">
      <formula>Q28&lt;&gt;J28</formula>
    </cfRule>
  </conditionalFormatting>
  <conditionalFormatting sqref="Q46:R72">
    <cfRule type="expression" dxfId="20" priority="90">
      <formula>Q46&lt;&gt;J46</formula>
    </cfRule>
  </conditionalFormatting>
  <conditionalFormatting sqref="Q75:R76">
    <cfRule type="expression" dxfId="19" priority="89">
      <formula>Q75&lt;&gt;J75</formula>
    </cfRule>
  </conditionalFormatting>
  <conditionalFormatting sqref="Q79:R80">
    <cfRule type="expression" dxfId="18" priority="88">
      <formula>Q79&lt;&gt;J79</formula>
    </cfRule>
  </conditionalFormatting>
  <conditionalFormatting sqref="Q83:R84">
    <cfRule type="expression" dxfId="17" priority="87">
      <formula>Q83&lt;&gt;J83</formula>
    </cfRule>
  </conditionalFormatting>
  <conditionalFormatting sqref="Q87:R88">
    <cfRule type="expression" dxfId="16" priority="86">
      <formula>Q87&lt;&gt;J87</formula>
    </cfRule>
  </conditionalFormatting>
  <conditionalFormatting sqref="Q91:R92">
    <cfRule type="expression" dxfId="15" priority="85">
      <formula>Q91&lt;&gt;J91</formula>
    </cfRule>
  </conditionalFormatting>
  <conditionalFormatting sqref="Q95:R96">
    <cfRule type="expression" dxfId="14" priority="84">
      <formula>Q95&lt;&gt;J95</formula>
    </cfRule>
  </conditionalFormatting>
  <conditionalFormatting sqref="Q99:R100">
    <cfRule type="expression" dxfId="13" priority="83">
      <formula>Q99&lt;&gt;J99</formula>
    </cfRule>
  </conditionalFormatting>
  <conditionalFormatting sqref="Q104:R118">
    <cfRule type="expression" dxfId="12" priority="94">
      <formula>Q104&lt;&gt;J104</formula>
    </cfRule>
  </conditionalFormatting>
  <conditionalFormatting sqref="Q121:R127">
    <cfRule type="expression" dxfId="11" priority="101">
      <formula>Q121&lt;&gt;J121</formula>
    </cfRule>
  </conditionalFormatting>
  <conditionalFormatting sqref="Q130:R133">
    <cfRule type="expression" dxfId="10" priority="1">
      <formula>Q130&lt;&gt;J130</formula>
    </cfRule>
  </conditionalFormatting>
  <conditionalFormatting sqref="Q156:R159">
    <cfRule type="expression" dxfId="9" priority="97">
      <formula>Q156&lt;&gt;J156</formula>
    </cfRule>
  </conditionalFormatting>
  <conditionalFormatting sqref="Q162:R165">
    <cfRule type="expression" dxfId="8" priority="96">
      <formula>Q162&lt;&gt;J162</formula>
    </cfRule>
  </conditionalFormatting>
  <conditionalFormatting sqref="Q168:R171">
    <cfRule type="expression" dxfId="7" priority="95">
      <formula>Q168&lt;&gt;J168</formula>
    </cfRule>
  </conditionalFormatting>
  <conditionalFormatting sqref="Q174:R187">
    <cfRule type="expression" dxfId="6" priority="130">
      <formula>Q174&lt;&gt;J174</formula>
    </cfRule>
  </conditionalFormatting>
  <conditionalFormatting sqref="Q191:R194">
    <cfRule type="expression" dxfId="5" priority="103">
      <formula>Q191&lt;&gt;J191</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D5" sqref="D5"/>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472</v>
      </c>
      <c r="K1" s="95">
        <v>45603</v>
      </c>
    </row>
    <row r="2" spans="1:11" ht="68.25" x14ac:dyDescent="0.25">
      <c r="A2" t="s">
        <v>473</v>
      </c>
      <c r="B2" s="224" t="s">
        <v>474</v>
      </c>
      <c r="C2" s="224" t="s">
        <v>475</v>
      </c>
      <c r="D2" s="224" t="s">
        <v>476</v>
      </c>
      <c r="E2" s="224" t="s">
        <v>477</v>
      </c>
      <c r="F2" s="224" t="s">
        <v>478</v>
      </c>
      <c r="G2" s="224" t="s">
        <v>479</v>
      </c>
      <c r="H2" s="224" t="s">
        <v>480</v>
      </c>
      <c r="I2" s="224" t="s">
        <v>481</v>
      </c>
    </row>
    <row r="3" spans="1:11" x14ac:dyDescent="0.25">
      <c r="A3" t="s">
        <v>89</v>
      </c>
      <c r="B3" s="1"/>
      <c r="C3" s="1"/>
      <c r="D3" s="1">
        <v>1</v>
      </c>
      <c r="E3" s="1">
        <v>1</v>
      </c>
      <c r="F3" s="1"/>
      <c r="G3" s="1"/>
      <c r="H3" s="1"/>
      <c r="I3" s="1"/>
    </row>
    <row r="4" spans="1:11" x14ac:dyDescent="0.25">
      <c r="A4" t="s">
        <v>99</v>
      </c>
      <c r="B4" s="1"/>
      <c r="C4" s="1"/>
      <c r="D4" s="1"/>
      <c r="E4" s="1"/>
      <c r="F4" s="1">
        <v>1</v>
      </c>
      <c r="G4" s="1">
        <v>1</v>
      </c>
      <c r="H4" s="1"/>
      <c r="I4" s="1"/>
    </row>
    <row r="5" spans="1:11" x14ac:dyDescent="0.25">
      <c r="A5" t="s">
        <v>81</v>
      </c>
      <c r="B5" s="1"/>
      <c r="C5" s="1"/>
      <c r="D5" s="1"/>
      <c r="E5" s="1"/>
      <c r="F5" s="1">
        <v>1</v>
      </c>
      <c r="G5" s="1">
        <v>1</v>
      </c>
      <c r="H5" s="1"/>
      <c r="I5" s="1"/>
    </row>
    <row r="6" spans="1:11" x14ac:dyDescent="0.25">
      <c r="A6" t="s">
        <v>107</v>
      </c>
      <c r="B6" s="1"/>
      <c r="C6" s="1"/>
      <c r="D6" s="1">
        <v>1</v>
      </c>
      <c r="E6" s="1">
        <v>1</v>
      </c>
      <c r="F6" s="1"/>
      <c r="G6" s="1"/>
      <c r="H6" s="1"/>
      <c r="I6" s="1"/>
    </row>
    <row r="7" spans="1:11" x14ac:dyDescent="0.25">
      <c r="A7" t="s">
        <v>115</v>
      </c>
      <c r="B7" s="1">
        <v>1</v>
      </c>
      <c r="C7" s="1">
        <v>1</v>
      </c>
      <c r="D7" s="1"/>
      <c r="E7" s="1"/>
      <c r="F7" s="1"/>
      <c r="G7" s="1"/>
      <c r="H7" s="1"/>
      <c r="I7" s="1"/>
    </row>
    <row r="8" spans="1:11" x14ac:dyDescent="0.25">
      <c r="A8" t="s">
        <v>123</v>
      </c>
      <c r="B8" s="1"/>
      <c r="C8" s="1"/>
      <c r="D8" s="1">
        <v>1</v>
      </c>
      <c r="E8" s="1">
        <v>1</v>
      </c>
      <c r="F8" s="1"/>
      <c r="G8" s="1"/>
      <c r="H8" s="1"/>
      <c r="I8" s="1"/>
    </row>
    <row r="9" spans="1:11" x14ac:dyDescent="0.25">
      <c r="A9" t="s">
        <v>90</v>
      </c>
      <c r="B9" s="1"/>
      <c r="C9" s="1"/>
      <c r="D9" s="1"/>
      <c r="E9" s="1"/>
      <c r="F9" s="1"/>
      <c r="G9" s="1"/>
      <c r="H9" s="1">
        <v>1</v>
      </c>
      <c r="I9" s="1">
        <v>1</v>
      </c>
    </row>
    <row r="10" spans="1:11" x14ac:dyDescent="0.25">
      <c r="A10" t="s">
        <v>100</v>
      </c>
      <c r="B10" s="1">
        <v>1</v>
      </c>
      <c r="C10" s="1">
        <v>1</v>
      </c>
      <c r="D10" s="1">
        <v>1</v>
      </c>
      <c r="E10" s="1">
        <v>1</v>
      </c>
      <c r="F10" s="1"/>
      <c r="G10" s="1"/>
      <c r="H10" s="1"/>
      <c r="I10" s="1"/>
    </row>
    <row r="11" spans="1:11" x14ac:dyDescent="0.25">
      <c r="A11" t="s">
        <v>120</v>
      </c>
      <c r="B11" s="1"/>
      <c r="C11" s="1"/>
      <c r="D11" s="1"/>
      <c r="E11" s="1"/>
      <c r="F11" s="1"/>
      <c r="G11" s="1"/>
      <c r="H11" s="1">
        <v>1</v>
      </c>
      <c r="I11" s="1">
        <v>1</v>
      </c>
    </row>
    <row r="12" spans="1:11" x14ac:dyDescent="0.25">
      <c r="A12" t="s">
        <v>116</v>
      </c>
      <c r="B12" s="1"/>
      <c r="C12" s="1"/>
      <c r="D12" s="1"/>
      <c r="E12" s="1"/>
      <c r="F12" s="1">
        <v>1</v>
      </c>
      <c r="G12" s="1">
        <v>1</v>
      </c>
      <c r="H12" s="1"/>
      <c r="I12" s="1"/>
    </row>
    <row r="13" spans="1:11" x14ac:dyDescent="0.25">
      <c r="A13" t="s">
        <v>344</v>
      </c>
      <c r="B13" s="1"/>
      <c r="C13" s="1">
        <v>1</v>
      </c>
      <c r="D13" s="1"/>
      <c r="E13" s="1"/>
      <c r="F13" s="1"/>
      <c r="G13" s="1">
        <v>1</v>
      </c>
      <c r="H13" s="1"/>
      <c r="I13" s="1"/>
    </row>
    <row r="14" spans="1:11" x14ac:dyDescent="0.25">
      <c r="A14" t="s">
        <v>346</v>
      </c>
      <c r="B14" s="1"/>
      <c r="C14" s="1"/>
      <c r="D14" s="1"/>
      <c r="E14" s="1">
        <v>1</v>
      </c>
      <c r="F14" s="1"/>
      <c r="G14" s="1"/>
      <c r="H14" s="1"/>
      <c r="I14" s="1">
        <v>1</v>
      </c>
    </row>
    <row r="15" spans="1:11" x14ac:dyDescent="0.25">
      <c r="A15" t="s">
        <v>348</v>
      </c>
      <c r="B15" s="1"/>
      <c r="C15" s="1">
        <v>1</v>
      </c>
      <c r="D15" s="1"/>
      <c r="E15" s="1"/>
      <c r="F15" s="1"/>
      <c r="G15" s="1">
        <v>1</v>
      </c>
      <c r="H15" s="1"/>
      <c r="I15" s="1"/>
    </row>
    <row r="16" spans="1:11" x14ac:dyDescent="0.25">
      <c r="A16" t="s">
        <v>350</v>
      </c>
      <c r="B16" s="1"/>
      <c r="C16" s="1"/>
      <c r="D16" s="1"/>
      <c r="E16" s="1">
        <v>1</v>
      </c>
      <c r="F16" s="1"/>
      <c r="G16" s="1"/>
      <c r="H16" s="1"/>
      <c r="I16" s="1">
        <v>1</v>
      </c>
    </row>
    <row r="17" spans="1:9" x14ac:dyDescent="0.25">
      <c r="A17" t="s">
        <v>91</v>
      </c>
      <c r="B17" s="1">
        <v>1</v>
      </c>
      <c r="C17" s="1">
        <v>1</v>
      </c>
      <c r="D17" s="1">
        <v>1</v>
      </c>
      <c r="E17" s="1">
        <v>1</v>
      </c>
      <c r="F17" s="1"/>
      <c r="G17" s="1"/>
      <c r="H17" s="1"/>
      <c r="I17" s="1"/>
    </row>
    <row r="18" spans="1:9" x14ac:dyDescent="0.25">
      <c r="A18" t="s">
        <v>101</v>
      </c>
      <c r="B18" s="1"/>
      <c r="C18" s="1"/>
      <c r="D18" s="1">
        <v>1</v>
      </c>
      <c r="E18" s="1">
        <v>1</v>
      </c>
      <c r="F18" s="1">
        <v>1</v>
      </c>
      <c r="G18" s="1">
        <v>1</v>
      </c>
      <c r="H18" s="1"/>
      <c r="I18" s="1"/>
    </row>
    <row r="19" spans="1:9" x14ac:dyDescent="0.25">
      <c r="A19" t="s">
        <v>87</v>
      </c>
      <c r="B19" s="1"/>
      <c r="C19" s="1"/>
      <c r="D19" s="1"/>
      <c r="E19" s="1"/>
      <c r="F19" s="1"/>
      <c r="G19" s="1"/>
      <c r="H19" s="1">
        <v>1</v>
      </c>
      <c r="I19" s="1">
        <v>1</v>
      </c>
    </row>
    <row r="20" spans="1:9" x14ac:dyDescent="0.25">
      <c r="A20" t="s">
        <v>108</v>
      </c>
      <c r="B20" s="1"/>
      <c r="C20" s="1"/>
      <c r="D20" s="1"/>
      <c r="E20" s="1"/>
      <c r="F20" s="1"/>
      <c r="G20" s="1"/>
      <c r="H20" s="1">
        <v>1</v>
      </c>
      <c r="I20" s="1">
        <v>1</v>
      </c>
    </row>
    <row r="21" spans="1:9" x14ac:dyDescent="0.25">
      <c r="A21" t="s">
        <v>105</v>
      </c>
      <c r="B21" s="1"/>
      <c r="C21" s="1"/>
      <c r="D21" s="1">
        <v>1</v>
      </c>
      <c r="E21" s="1">
        <v>1</v>
      </c>
      <c r="F21" s="1"/>
      <c r="G21" s="1"/>
      <c r="H21" s="1"/>
      <c r="I21" s="1"/>
    </row>
    <row r="22" spans="1:9" x14ac:dyDescent="0.25">
      <c r="A22" t="s">
        <v>121</v>
      </c>
      <c r="B22" s="1"/>
      <c r="C22" s="1"/>
      <c r="D22" s="1">
        <v>1</v>
      </c>
      <c r="E22" s="1">
        <v>1</v>
      </c>
      <c r="F22" s="1"/>
      <c r="G22" s="1"/>
      <c r="H22" s="1"/>
      <c r="I22" s="1"/>
    </row>
    <row r="23" spans="1:9" x14ac:dyDescent="0.25">
      <c r="A23" t="s">
        <v>113</v>
      </c>
      <c r="B23" s="1">
        <v>1</v>
      </c>
      <c r="C23" s="1">
        <v>1</v>
      </c>
      <c r="D23" s="1"/>
      <c r="E23" s="1"/>
      <c r="F23" s="1"/>
      <c r="G23" s="1"/>
      <c r="H23" s="1"/>
      <c r="I23" s="1"/>
    </row>
    <row r="24" spans="1:9" x14ac:dyDescent="0.25">
      <c r="A24" t="s">
        <v>118</v>
      </c>
      <c r="B24" s="1"/>
      <c r="C24" s="1"/>
      <c r="D24" s="1"/>
      <c r="E24" s="1"/>
      <c r="F24" s="1">
        <v>1</v>
      </c>
      <c r="G24" s="1">
        <v>1</v>
      </c>
      <c r="H24" s="1"/>
      <c r="I24" s="1"/>
    </row>
    <row r="25" spans="1:9" x14ac:dyDescent="0.25">
      <c r="A25" t="s">
        <v>265</v>
      </c>
      <c r="B25" s="1"/>
      <c r="C25" s="1"/>
      <c r="D25" s="1">
        <v>1</v>
      </c>
      <c r="E25" s="1">
        <v>1</v>
      </c>
      <c r="F25" s="1"/>
      <c r="G25" s="1"/>
      <c r="H25" s="1">
        <v>1</v>
      </c>
      <c r="I25" s="1">
        <v>1</v>
      </c>
    </row>
    <row r="26" spans="1:9" x14ac:dyDescent="0.25">
      <c r="A26" t="s">
        <v>181</v>
      </c>
      <c r="B26" s="1">
        <v>1</v>
      </c>
      <c r="C26" s="1">
        <v>1</v>
      </c>
      <c r="D26" s="1"/>
      <c r="E26" s="1"/>
      <c r="F26" s="1">
        <v>1</v>
      </c>
      <c r="G26" s="1">
        <v>1</v>
      </c>
      <c r="H26" s="1"/>
      <c r="I26" s="1"/>
    </row>
    <row r="27" spans="1:9" x14ac:dyDescent="0.25">
      <c r="A27" t="s">
        <v>290</v>
      </c>
      <c r="B27" s="1"/>
      <c r="C27" s="1"/>
      <c r="D27" s="1">
        <v>1</v>
      </c>
      <c r="E27" s="1">
        <v>1</v>
      </c>
      <c r="F27" s="1"/>
      <c r="G27" s="1"/>
      <c r="H27" s="1">
        <v>1</v>
      </c>
      <c r="I27" s="1">
        <v>1</v>
      </c>
    </row>
    <row r="28" spans="1:9" x14ac:dyDescent="0.25">
      <c r="A28" t="s">
        <v>291</v>
      </c>
      <c r="B28" s="1"/>
      <c r="C28" s="1"/>
      <c r="D28" s="1">
        <v>1</v>
      </c>
      <c r="E28" s="1">
        <v>1</v>
      </c>
      <c r="F28" s="1"/>
      <c r="G28" s="1"/>
      <c r="H28" s="1">
        <v>1</v>
      </c>
      <c r="I28" s="1">
        <v>1</v>
      </c>
    </row>
    <row r="29" spans="1:9" x14ac:dyDescent="0.25">
      <c r="A29" t="s">
        <v>293</v>
      </c>
      <c r="B29" s="1"/>
      <c r="C29" s="1"/>
      <c r="D29" s="1">
        <v>1</v>
      </c>
      <c r="E29" s="1">
        <v>1</v>
      </c>
      <c r="F29" s="1"/>
      <c r="G29" s="1"/>
      <c r="H29" s="1">
        <v>1</v>
      </c>
      <c r="I29" s="1">
        <v>1</v>
      </c>
    </row>
    <row r="30" spans="1:9" x14ac:dyDescent="0.25">
      <c r="A30" t="s">
        <v>294</v>
      </c>
      <c r="B30" s="1"/>
      <c r="C30" s="1"/>
      <c r="D30" s="1">
        <v>1</v>
      </c>
      <c r="E30" s="1">
        <v>1</v>
      </c>
      <c r="F30" s="1"/>
      <c r="G30" s="1"/>
      <c r="H30" s="1">
        <v>1</v>
      </c>
      <c r="I30" s="1">
        <v>1</v>
      </c>
    </row>
    <row r="31" spans="1:9" x14ac:dyDescent="0.25">
      <c r="A31" t="s">
        <v>295</v>
      </c>
      <c r="B31" s="1"/>
      <c r="C31" s="1"/>
      <c r="D31" s="1">
        <v>1</v>
      </c>
      <c r="E31" s="1">
        <v>1</v>
      </c>
      <c r="F31" s="1"/>
      <c r="G31" s="1"/>
      <c r="H31" s="1">
        <v>1</v>
      </c>
      <c r="I31" s="1">
        <v>1</v>
      </c>
    </row>
    <row r="32" spans="1:9" x14ac:dyDescent="0.25">
      <c r="A32" t="s">
        <v>268</v>
      </c>
      <c r="B32" s="1">
        <v>1</v>
      </c>
      <c r="C32" s="1">
        <v>1</v>
      </c>
      <c r="D32" s="1">
        <v>1</v>
      </c>
      <c r="E32" s="1">
        <v>1</v>
      </c>
      <c r="F32" s="1"/>
      <c r="G32" s="1"/>
      <c r="H32" s="1"/>
      <c r="I32" s="1"/>
    </row>
    <row r="33" spans="1:9" x14ac:dyDescent="0.25">
      <c r="A33" t="s">
        <v>273</v>
      </c>
      <c r="B33" s="1"/>
      <c r="C33" s="1"/>
      <c r="D33" s="1">
        <v>1</v>
      </c>
      <c r="E33" s="1">
        <v>1</v>
      </c>
      <c r="F33" s="1">
        <v>1</v>
      </c>
      <c r="G33" s="1">
        <v>1</v>
      </c>
      <c r="H33" s="1"/>
      <c r="I33" s="1"/>
    </row>
    <row r="34" spans="1:9" x14ac:dyDescent="0.25">
      <c r="A34" t="s">
        <v>298</v>
      </c>
      <c r="B34" s="1"/>
      <c r="C34" s="1"/>
      <c r="D34" s="1">
        <v>1</v>
      </c>
      <c r="E34" s="1">
        <v>1</v>
      </c>
      <c r="F34" s="1"/>
      <c r="G34" s="1"/>
      <c r="H34" s="1">
        <v>1</v>
      </c>
      <c r="I34" s="1">
        <v>1</v>
      </c>
    </row>
    <row r="35" spans="1:9" x14ac:dyDescent="0.25">
      <c r="A35" t="s">
        <v>301</v>
      </c>
      <c r="B35" s="1"/>
      <c r="C35" s="1"/>
      <c r="D35" s="1">
        <v>1</v>
      </c>
      <c r="E35" s="1">
        <v>1</v>
      </c>
      <c r="F35" s="1"/>
      <c r="G35" s="1"/>
      <c r="H35" s="1">
        <v>1</v>
      </c>
      <c r="I35" s="1">
        <v>1</v>
      </c>
    </row>
    <row r="36" spans="1:9" x14ac:dyDescent="0.25">
      <c r="A36" t="s">
        <v>302</v>
      </c>
      <c r="B36" s="1"/>
      <c r="C36" s="1"/>
      <c r="D36" s="1">
        <v>1</v>
      </c>
      <c r="E36" s="1">
        <v>1</v>
      </c>
      <c r="F36" s="1"/>
      <c r="G36" s="1"/>
      <c r="H36" s="1">
        <v>1</v>
      </c>
      <c r="I36" s="1">
        <v>1</v>
      </c>
    </row>
    <row r="37" spans="1:9" x14ac:dyDescent="0.25">
      <c r="A37" t="s">
        <v>303</v>
      </c>
      <c r="B37" s="1"/>
      <c r="C37" s="1"/>
      <c r="D37" s="1">
        <v>1</v>
      </c>
      <c r="E37" s="1">
        <v>1</v>
      </c>
      <c r="F37" s="1"/>
      <c r="G37" s="1"/>
      <c r="H37" s="1">
        <v>1</v>
      </c>
      <c r="I37" s="1">
        <v>1</v>
      </c>
    </row>
    <row r="38" spans="1:9" x14ac:dyDescent="0.25">
      <c r="A38" t="s">
        <v>259</v>
      </c>
      <c r="B38" s="1">
        <v>1</v>
      </c>
      <c r="C38" s="1">
        <v>1</v>
      </c>
      <c r="D38" s="1">
        <v>1</v>
      </c>
      <c r="E38" s="1">
        <v>1</v>
      </c>
      <c r="F38" s="1"/>
      <c r="G38" s="1"/>
      <c r="H38" s="1"/>
      <c r="I38" s="1"/>
    </row>
    <row r="39" spans="1:9" x14ac:dyDescent="0.25">
      <c r="A39" t="s">
        <v>299</v>
      </c>
      <c r="B39" s="1"/>
      <c r="C39" s="1"/>
      <c r="D39" s="1">
        <v>1</v>
      </c>
      <c r="E39" s="1">
        <v>1</v>
      </c>
      <c r="F39" s="1"/>
      <c r="G39" s="1"/>
      <c r="H39" s="1">
        <v>1</v>
      </c>
      <c r="I39" s="1">
        <v>1</v>
      </c>
    </row>
    <row r="40" spans="1:9" x14ac:dyDescent="0.25">
      <c r="A40" t="s">
        <v>292</v>
      </c>
      <c r="B40" s="1"/>
      <c r="C40" s="1"/>
      <c r="D40" s="1">
        <v>1</v>
      </c>
      <c r="E40" s="1">
        <v>1</v>
      </c>
      <c r="F40" s="1"/>
      <c r="G40" s="1"/>
      <c r="H40" s="1">
        <v>1</v>
      </c>
      <c r="I40" s="1">
        <v>1</v>
      </c>
    </row>
    <row r="41" spans="1:9" x14ac:dyDescent="0.25">
      <c r="A41" t="s">
        <v>300</v>
      </c>
      <c r="B41" s="1"/>
      <c r="C41" s="1"/>
      <c r="D41" s="1">
        <v>1</v>
      </c>
      <c r="E41" s="1">
        <v>1</v>
      </c>
      <c r="F41" s="1"/>
      <c r="G41" s="1"/>
      <c r="H41" s="1">
        <v>1</v>
      </c>
      <c r="I41" s="1">
        <v>1</v>
      </c>
    </row>
    <row r="42" spans="1:9" x14ac:dyDescent="0.25">
      <c r="A42" t="s">
        <v>309</v>
      </c>
      <c r="B42" s="1"/>
      <c r="C42" s="1"/>
      <c r="D42" s="1">
        <v>1</v>
      </c>
      <c r="E42" s="1">
        <v>1</v>
      </c>
      <c r="F42" s="1"/>
      <c r="G42" s="1"/>
      <c r="H42" s="1">
        <v>1</v>
      </c>
      <c r="I42" s="1">
        <v>1</v>
      </c>
    </row>
    <row r="43" spans="1:9" x14ac:dyDescent="0.25">
      <c r="A43" t="s">
        <v>281</v>
      </c>
      <c r="B43" s="1">
        <v>1</v>
      </c>
      <c r="C43" s="1">
        <v>1</v>
      </c>
      <c r="D43" s="1"/>
      <c r="E43" s="1"/>
      <c r="F43" s="1"/>
      <c r="G43" s="1"/>
      <c r="H43" s="1"/>
      <c r="I43" s="1"/>
    </row>
    <row r="44" spans="1:9" x14ac:dyDescent="0.25">
      <c r="A44" t="s">
        <v>72</v>
      </c>
      <c r="B44" s="1">
        <v>1</v>
      </c>
      <c r="C44" s="1">
        <v>1</v>
      </c>
      <c r="D44" s="1"/>
      <c r="E44" s="1"/>
      <c r="F44" s="1">
        <v>1</v>
      </c>
      <c r="G44" s="1">
        <v>1</v>
      </c>
      <c r="H44" s="1"/>
      <c r="I44" s="1"/>
    </row>
    <row r="45" spans="1:9" x14ac:dyDescent="0.25">
      <c r="A45" t="s">
        <v>95</v>
      </c>
      <c r="B45" s="1"/>
      <c r="C45" s="1"/>
      <c r="D45" s="1">
        <v>1</v>
      </c>
      <c r="E45" s="1">
        <v>1</v>
      </c>
      <c r="F45" s="1">
        <v>1</v>
      </c>
      <c r="G45" s="1">
        <v>1</v>
      </c>
      <c r="H45" s="1">
        <v>1</v>
      </c>
      <c r="I45" s="1">
        <v>1</v>
      </c>
    </row>
    <row r="46" spans="1:9" x14ac:dyDescent="0.25">
      <c r="A46" t="s">
        <v>96</v>
      </c>
      <c r="B46" s="1">
        <v>1</v>
      </c>
      <c r="C46" s="1">
        <v>1</v>
      </c>
      <c r="D46" s="1"/>
      <c r="E46" s="1"/>
      <c r="F46" s="1">
        <v>1</v>
      </c>
      <c r="G46" s="1">
        <v>1</v>
      </c>
      <c r="H46" s="1"/>
      <c r="I46" s="1"/>
    </row>
    <row r="47" spans="1:9" x14ac:dyDescent="0.25">
      <c r="A47" t="s">
        <v>86</v>
      </c>
      <c r="B47" s="1"/>
      <c r="C47" s="1"/>
      <c r="D47" s="1">
        <v>1</v>
      </c>
      <c r="E47" s="1">
        <v>1</v>
      </c>
      <c r="F47" s="1"/>
      <c r="G47" s="1"/>
      <c r="H47" s="1">
        <v>1</v>
      </c>
      <c r="I47" s="1">
        <v>1</v>
      </c>
    </row>
    <row r="48" spans="1:9" x14ac:dyDescent="0.25">
      <c r="A48" t="s">
        <v>168</v>
      </c>
      <c r="B48" s="1"/>
      <c r="C48" s="1"/>
      <c r="D48" s="1">
        <v>1</v>
      </c>
      <c r="E48" s="1">
        <v>1</v>
      </c>
      <c r="F48" s="1"/>
      <c r="G48" s="1"/>
      <c r="H48" s="1">
        <v>1</v>
      </c>
      <c r="I48" s="1">
        <v>1</v>
      </c>
    </row>
    <row r="49" spans="1:9" x14ac:dyDescent="0.25">
      <c r="A49" t="s">
        <v>156</v>
      </c>
      <c r="B49" s="1">
        <v>1</v>
      </c>
      <c r="C49" s="1">
        <v>1</v>
      </c>
      <c r="D49" s="1"/>
      <c r="E49" s="1"/>
      <c r="F49" s="1"/>
      <c r="G49" s="1">
        <v>1</v>
      </c>
      <c r="H49" s="1"/>
      <c r="I49" s="1"/>
    </row>
    <row r="50" spans="1:9" x14ac:dyDescent="0.25">
      <c r="A50" t="s">
        <v>161</v>
      </c>
      <c r="B50" s="1"/>
      <c r="C50" s="1">
        <v>1</v>
      </c>
      <c r="D50" s="1"/>
      <c r="E50" s="1"/>
      <c r="F50" s="1">
        <v>1</v>
      </c>
      <c r="G50" s="1">
        <v>1</v>
      </c>
      <c r="H50" s="1"/>
      <c r="I50" s="1"/>
    </row>
    <row r="51" spans="1:9" x14ac:dyDescent="0.25">
      <c r="A51" t="s">
        <v>175</v>
      </c>
      <c r="B51" s="1"/>
      <c r="C51" s="1"/>
      <c r="D51" s="1">
        <v>1</v>
      </c>
      <c r="E51" s="1">
        <v>1</v>
      </c>
      <c r="F51" s="1"/>
      <c r="G51" s="1"/>
      <c r="H51" s="1"/>
      <c r="I51" s="1">
        <v>1</v>
      </c>
    </row>
    <row r="52" spans="1:9" x14ac:dyDescent="0.25">
      <c r="A52" t="s">
        <v>77</v>
      </c>
      <c r="B52" s="1">
        <v>1</v>
      </c>
      <c r="C52" s="1">
        <v>1</v>
      </c>
      <c r="D52" s="1"/>
      <c r="E52" s="1"/>
      <c r="F52" s="1">
        <v>1</v>
      </c>
      <c r="G52" s="1">
        <v>1</v>
      </c>
      <c r="H52" s="1"/>
      <c r="I52" s="1"/>
    </row>
    <row r="53" spans="1:9" x14ac:dyDescent="0.25">
      <c r="A53" t="s">
        <v>178</v>
      </c>
      <c r="B53" s="1"/>
      <c r="C53" s="1"/>
      <c r="D53" s="1">
        <v>1</v>
      </c>
      <c r="E53" s="1">
        <v>1</v>
      </c>
      <c r="F53" s="1"/>
      <c r="G53" s="1"/>
      <c r="H53" s="1">
        <v>1</v>
      </c>
      <c r="I53" s="1">
        <v>1</v>
      </c>
    </row>
    <row r="54" spans="1:9" x14ac:dyDescent="0.25">
      <c r="A54" t="s">
        <v>206</v>
      </c>
      <c r="B54" s="1">
        <v>1</v>
      </c>
      <c r="C54" s="1">
        <v>1</v>
      </c>
      <c r="D54" s="1"/>
      <c r="E54" s="1"/>
      <c r="F54" s="1">
        <v>1</v>
      </c>
      <c r="G54" s="1">
        <v>1</v>
      </c>
      <c r="H54" s="1"/>
      <c r="I54" s="1"/>
    </row>
    <row r="55" spans="1:9" x14ac:dyDescent="0.25">
      <c r="A55" t="s">
        <v>184</v>
      </c>
      <c r="B55" s="1"/>
      <c r="C55" s="1"/>
      <c r="D55" s="1">
        <v>1</v>
      </c>
      <c r="E55" s="1">
        <v>1</v>
      </c>
      <c r="F55" s="1"/>
      <c r="G55" s="1"/>
      <c r="H55" s="1">
        <v>1</v>
      </c>
      <c r="I55" s="1">
        <v>1</v>
      </c>
    </row>
    <row r="56" spans="1:9" x14ac:dyDescent="0.25">
      <c r="A56" t="s">
        <v>163</v>
      </c>
      <c r="B56" s="1"/>
      <c r="C56" s="1"/>
      <c r="D56" s="1"/>
      <c r="E56" s="1"/>
      <c r="F56" s="1">
        <v>1</v>
      </c>
      <c r="G56" s="1">
        <v>1</v>
      </c>
      <c r="H56" s="1"/>
      <c r="I56" s="1"/>
    </row>
    <row r="57" spans="1:9" x14ac:dyDescent="0.25">
      <c r="A57" t="s">
        <v>177</v>
      </c>
      <c r="B57" s="1"/>
      <c r="C57" s="1"/>
      <c r="D57" s="1">
        <v>1</v>
      </c>
      <c r="E57" s="1">
        <v>1</v>
      </c>
      <c r="F57" s="1"/>
      <c r="G57" s="1"/>
      <c r="H57" s="1">
        <v>1</v>
      </c>
      <c r="I57" s="1">
        <v>1</v>
      </c>
    </row>
    <row r="58" spans="1:9" x14ac:dyDescent="0.25">
      <c r="A58" t="s">
        <v>169</v>
      </c>
      <c r="B58" s="1"/>
      <c r="C58" s="1"/>
      <c r="D58" s="1">
        <v>1</v>
      </c>
      <c r="E58" s="1">
        <v>1</v>
      </c>
      <c r="F58" s="1"/>
      <c r="G58" s="1"/>
      <c r="H58" s="1"/>
      <c r="I58" s="1">
        <v>1</v>
      </c>
    </row>
    <row r="59" spans="1:9" x14ac:dyDescent="0.25">
      <c r="A59" t="s">
        <v>158</v>
      </c>
      <c r="B59" s="1">
        <v>1</v>
      </c>
      <c r="C59" s="1">
        <v>1</v>
      </c>
      <c r="D59" s="1"/>
      <c r="E59" s="1"/>
      <c r="F59" s="1">
        <v>1</v>
      </c>
      <c r="G59" s="1">
        <v>1</v>
      </c>
      <c r="H59" s="1"/>
      <c r="I59" s="1"/>
    </row>
    <row r="60" spans="1:9" x14ac:dyDescent="0.25">
      <c r="A60" t="s">
        <v>214</v>
      </c>
      <c r="B60" s="1"/>
      <c r="C60" s="1"/>
      <c r="D60" s="1">
        <v>1</v>
      </c>
      <c r="E60" s="1">
        <v>1</v>
      </c>
      <c r="F60" s="1"/>
      <c r="G60" s="1"/>
      <c r="H60" s="1">
        <v>1</v>
      </c>
      <c r="I60" s="1">
        <v>1</v>
      </c>
    </row>
    <row r="61" spans="1:9" x14ac:dyDescent="0.25">
      <c r="A61" t="s">
        <v>212</v>
      </c>
      <c r="B61" s="1"/>
      <c r="C61" s="1"/>
      <c r="D61" s="1"/>
      <c r="E61" s="1"/>
      <c r="F61" s="1">
        <v>1</v>
      </c>
      <c r="G61" s="1">
        <v>1</v>
      </c>
      <c r="H61" s="1"/>
      <c r="I61" s="1"/>
    </row>
    <row r="62" spans="1:9" x14ac:dyDescent="0.25">
      <c r="A62" t="s">
        <v>216</v>
      </c>
      <c r="B62" s="1">
        <v>1</v>
      </c>
      <c r="C62" s="1">
        <v>1</v>
      </c>
      <c r="D62" s="1"/>
      <c r="E62" s="1"/>
      <c r="F62" s="1">
        <v>1</v>
      </c>
      <c r="G62" s="1">
        <v>1</v>
      </c>
      <c r="H62" s="1"/>
      <c r="I62" s="1"/>
    </row>
    <row r="63" spans="1:9" x14ac:dyDescent="0.25">
      <c r="A63" t="s">
        <v>215</v>
      </c>
      <c r="B63" s="1"/>
      <c r="C63" s="1"/>
      <c r="D63" s="1">
        <v>1</v>
      </c>
      <c r="E63" s="1">
        <v>1</v>
      </c>
      <c r="F63" s="1"/>
      <c r="G63" s="1"/>
      <c r="H63" s="1">
        <v>1</v>
      </c>
      <c r="I63" s="1">
        <v>1</v>
      </c>
    </row>
    <row r="64" spans="1:9" x14ac:dyDescent="0.25">
      <c r="A64" t="s">
        <v>209</v>
      </c>
      <c r="B64" s="1">
        <v>1</v>
      </c>
      <c r="C64" s="1">
        <v>1</v>
      </c>
      <c r="D64" s="1"/>
      <c r="E64" s="1"/>
      <c r="F64" s="1"/>
      <c r="G64" s="1"/>
      <c r="H64" s="1"/>
      <c r="I64" s="1"/>
    </row>
    <row r="65" spans="1:9" x14ac:dyDescent="0.25">
      <c r="A65" t="s">
        <v>208</v>
      </c>
      <c r="B65" s="1">
        <v>1</v>
      </c>
      <c r="C65" s="1">
        <v>1</v>
      </c>
      <c r="D65" s="1"/>
      <c r="E65" s="1"/>
      <c r="F65" s="1"/>
      <c r="G65" s="1"/>
      <c r="H65" s="1"/>
      <c r="I65" s="1"/>
    </row>
    <row r="66" spans="1:9" x14ac:dyDescent="0.25">
      <c r="A66" t="s">
        <v>210</v>
      </c>
      <c r="B66" s="1"/>
      <c r="C66" s="1"/>
      <c r="D66" s="1"/>
      <c r="E66" s="1"/>
      <c r="F66" s="1">
        <v>1</v>
      </c>
      <c r="G66" s="1">
        <v>1</v>
      </c>
      <c r="H66" s="1"/>
      <c r="I66" s="1"/>
    </row>
    <row r="67" spans="1:9" x14ac:dyDescent="0.25">
      <c r="A67" t="s">
        <v>211</v>
      </c>
      <c r="B67" s="1">
        <v>1</v>
      </c>
      <c r="C67" s="1">
        <v>1</v>
      </c>
      <c r="D67" s="1"/>
      <c r="E67" s="1"/>
      <c r="F67" s="1"/>
      <c r="G67" s="1"/>
      <c r="H67" s="1"/>
      <c r="I67" s="1"/>
    </row>
    <row r="68" spans="1:9" x14ac:dyDescent="0.25">
      <c r="A68" t="s">
        <v>117</v>
      </c>
      <c r="B68" s="1">
        <v>1</v>
      </c>
      <c r="C68" s="1">
        <v>1</v>
      </c>
      <c r="D68" s="1"/>
      <c r="E68" s="1"/>
      <c r="F68" s="1">
        <v>1</v>
      </c>
      <c r="G68" s="1">
        <v>1</v>
      </c>
      <c r="H68" s="1"/>
      <c r="I68" s="1"/>
    </row>
    <row r="69" spans="1:9" x14ac:dyDescent="0.25">
      <c r="A69" t="s">
        <v>129</v>
      </c>
      <c r="B69" s="1">
        <v>1</v>
      </c>
      <c r="C69" s="1">
        <v>1</v>
      </c>
      <c r="D69" s="1">
        <v>1</v>
      </c>
      <c r="E69" s="1">
        <v>1</v>
      </c>
      <c r="F69" s="1">
        <v>1</v>
      </c>
      <c r="G69" s="1">
        <v>1</v>
      </c>
      <c r="H69" s="1">
        <v>1</v>
      </c>
      <c r="I69" s="1">
        <v>1</v>
      </c>
    </row>
    <row r="70" spans="1:9" x14ac:dyDescent="0.25">
      <c r="A70" t="s">
        <v>124</v>
      </c>
      <c r="B70" s="1">
        <v>1</v>
      </c>
      <c r="C70" s="1">
        <v>1</v>
      </c>
      <c r="D70" s="1"/>
      <c r="E70" s="1"/>
      <c r="F70" s="1"/>
      <c r="G70" s="1"/>
      <c r="H70" s="1">
        <v>1</v>
      </c>
      <c r="I70" s="1">
        <v>1</v>
      </c>
    </row>
    <row r="71" spans="1:9" x14ac:dyDescent="0.25">
      <c r="A71" t="s">
        <v>423</v>
      </c>
      <c r="B71" s="1"/>
      <c r="C71" s="1">
        <v>1</v>
      </c>
      <c r="D71" s="1"/>
      <c r="E71" s="1"/>
      <c r="F71" s="1"/>
      <c r="G71" s="1"/>
      <c r="H71" s="1"/>
      <c r="I71" s="1"/>
    </row>
    <row r="72" spans="1:9" x14ac:dyDescent="0.25">
      <c r="A72" t="s">
        <v>180</v>
      </c>
      <c r="B72" s="1">
        <v>1</v>
      </c>
      <c r="C72" s="1">
        <v>1</v>
      </c>
      <c r="D72" s="1"/>
      <c r="E72" s="1"/>
      <c r="F72" s="1">
        <v>1</v>
      </c>
      <c r="G72" s="1">
        <v>1</v>
      </c>
      <c r="H72" s="1"/>
      <c r="I72" s="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D5" sqref="D5"/>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482</v>
      </c>
      <c r="B1" t="s">
        <v>0</v>
      </c>
      <c r="C1" t="s">
        <v>446</v>
      </c>
      <c r="D1" t="s">
        <v>447</v>
      </c>
      <c r="E1" t="s">
        <v>3</v>
      </c>
      <c r="F1" t="s">
        <v>483</v>
      </c>
      <c r="G1" t="s">
        <v>499</v>
      </c>
    </row>
    <row r="2" spans="1:7" x14ac:dyDescent="0.25">
      <c r="A2" t="s">
        <v>484</v>
      </c>
      <c r="B2" t="s">
        <v>87</v>
      </c>
      <c r="C2">
        <v>1</v>
      </c>
      <c r="D2" t="s">
        <v>460</v>
      </c>
      <c r="E2" t="s">
        <v>354</v>
      </c>
      <c r="F2" s="105" t="s">
        <v>485</v>
      </c>
      <c r="G2" s="271" t="s">
        <v>500</v>
      </c>
    </row>
    <row r="3" spans="1:7" x14ac:dyDescent="0.25">
      <c r="A3" t="s">
        <v>486</v>
      </c>
      <c r="B3" t="s">
        <v>298</v>
      </c>
      <c r="C3">
        <v>2</v>
      </c>
      <c r="E3" t="s">
        <v>370</v>
      </c>
      <c r="F3" s="105" t="s">
        <v>487</v>
      </c>
      <c r="G3" s="271" t="s">
        <v>500</v>
      </c>
    </row>
    <row r="4" spans="1:7" x14ac:dyDescent="0.25">
      <c r="A4" t="s">
        <v>486</v>
      </c>
      <c r="B4" t="s">
        <v>301</v>
      </c>
      <c r="C4">
        <v>2</v>
      </c>
      <c r="E4" t="s">
        <v>372</v>
      </c>
      <c r="F4" s="105" t="s">
        <v>488</v>
      </c>
      <c r="G4" s="271" t="s">
        <v>500</v>
      </c>
    </row>
    <row r="5" spans="1:7" x14ac:dyDescent="0.25">
      <c r="A5" t="s">
        <v>486</v>
      </c>
      <c r="B5" t="s">
        <v>302</v>
      </c>
      <c r="C5">
        <v>2</v>
      </c>
      <c r="E5" t="s">
        <v>373</v>
      </c>
      <c r="F5" s="105" t="s">
        <v>489</v>
      </c>
      <c r="G5" s="271" t="s">
        <v>500</v>
      </c>
    </row>
    <row r="6" spans="1:7" x14ac:dyDescent="0.25">
      <c r="A6" t="s">
        <v>486</v>
      </c>
      <c r="B6" t="s">
        <v>303</v>
      </c>
      <c r="C6">
        <v>2</v>
      </c>
      <c r="E6" t="s">
        <v>374</v>
      </c>
      <c r="F6" s="105" t="s">
        <v>490</v>
      </c>
      <c r="G6" s="271" t="s">
        <v>500</v>
      </c>
    </row>
    <row r="7" spans="1:7" x14ac:dyDescent="0.25">
      <c r="A7" t="s">
        <v>486</v>
      </c>
      <c r="B7" t="s">
        <v>299</v>
      </c>
      <c r="C7">
        <v>1</v>
      </c>
      <c r="E7" t="s">
        <v>376</v>
      </c>
      <c r="F7" s="105" t="s">
        <v>491</v>
      </c>
      <c r="G7" s="271" t="s">
        <v>500</v>
      </c>
    </row>
    <row r="8" spans="1:7" x14ac:dyDescent="0.25">
      <c r="A8" t="s">
        <v>486</v>
      </c>
      <c r="B8" t="s">
        <v>300</v>
      </c>
      <c r="C8">
        <v>1</v>
      </c>
      <c r="E8" t="s">
        <v>378</v>
      </c>
      <c r="F8" s="105" t="s">
        <v>492</v>
      </c>
      <c r="G8" s="271" t="s">
        <v>500</v>
      </c>
    </row>
    <row r="9" spans="1:7" ht="31.5" x14ac:dyDescent="0.25">
      <c r="A9" t="s">
        <v>493</v>
      </c>
      <c r="B9" t="s">
        <v>236</v>
      </c>
      <c r="C9">
        <v>1</v>
      </c>
      <c r="E9" t="s">
        <v>419</v>
      </c>
      <c r="F9" s="105" t="s">
        <v>494</v>
      </c>
      <c r="G9" s="271" t="s">
        <v>501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IFERROR(IF(HLOOKUP($P$6,RangeUnitsetsGDEDUCAcc,Q10,FALSE)=0,"",HLOOKUP($P$6,RangeUnitsetsGDEDUCAcc,Q10,FALSE)),"")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IFERROR(IF(HLOOKUP($P$6,RangeUnitsetsGDEDUCAcc,Q11,FALSE)=0,"",HLOOKUP($P$6,RangeUnitsetsGDEDUCAcc,Q11,FALSE)),"")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21" customHeight="1" x14ac:dyDescent="0.15">
      <c r="A12" s="144" t="str">
        <f>IFERROR(IF(HLOOKUP($P$6,RangeUnitsetsGDEDUCAcc,Q12,FALSE)=0,"",HLOOKUP($P$6,RangeUnitsetsGDEDUCAcc,Q12,FALSE)),"")</f>
        <v>EDUC5031</v>
      </c>
      <c r="B12" s="145">
        <f>IFERROR(IF(VLOOKUP($A12,TableHandbook[],2,FALSE)=0,"",VLOOKUP($A12,TableHandbook[],2,FALSE)),"")</f>
        <v>1</v>
      </c>
      <c r="C12" s="145" t="str">
        <f>IFERROR(IF(VLOOKUP($A12,TableHandbook[],3,FALSE)=0,"",VLOOKUP($A12,TableHandbook[],3,FALSE)),"")</f>
        <v/>
      </c>
      <c r="D12" s="146" t="str">
        <f>IFERROR(IF(VLOOKUP($A12,TableHandbook[],4,FALSE)=0,"",VLOOKUP($A12,TableHandbook[],4,FALSE)),"")</f>
        <v>Introduction to English: Reading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
      </c>
      <c r="K12" s="149" t="str">
        <f>IFERROR(VLOOKUP($A12,TableHandbook[],K$2,FALSE),"")</f>
        <v/>
      </c>
      <c r="L12" s="148" t="str">
        <f>IFERROR(VLOOKUP($A12,TableHandbook[],L$2,FALSE),"")</f>
        <v>Y</v>
      </c>
      <c r="M12" s="149" t="str">
        <f>IFERROR(VLOOKUP($A12,TableHandbook[],M$2,FALSE),"")</f>
        <v>Y</v>
      </c>
      <c r="N12" s="148" t="str">
        <f>IFERROR(VLOOKUP($A12,TableHandbook[],N$2,FALSE),"")</f>
        <v/>
      </c>
      <c r="O12" s="149" t="str">
        <f>IFERROR(VLOOKUP($A12,TableHandbook[],O$2,FALSE),"")</f>
        <v/>
      </c>
      <c r="P12" s="24"/>
      <c r="Q12" s="150">
        <v>4</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IFERROR(IF(HLOOKUP($P$6,RangeUnitsetsGDEDUCAcc,Q14,FALSE)=0,"",HLOOKUP($P$6,RangeUnitsetsGDEDUCAcc,Q14,FALSE)),"")</f>
        <v>EDPR5005</v>
      </c>
      <c r="B14" s="145">
        <f>IFERROR(IF(VLOOKUP($A14,TableHandbook[],2,FALSE)=0,"",VLOOKUP($A14,TableHandbook[],2,FALSE)),"")</f>
        <v>1</v>
      </c>
      <c r="C14" s="145" t="str">
        <f>IFERROR(IF(VLOOKUP($A14,TableHandbook[],3,FALSE)=0,"",VLOOKUP($A14,TableHandbook[],3,FALSE)),"")</f>
        <v/>
      </c>
      <c r="D14" s="146" t="str">
        <f>IFERROR(IF(VLOOKUP($A14,TableHandbook[],4,FALSE)=0,"",VLOOKUP($A14,TableHandbook[],4,FALSE)),"")</f>
        <v>Teaching Science in the Primary Years</v>
      </c>
      <c r="E14" s="145" t="str">
        <f>IF(OR(A14="",A14="--"),"",VLOOKUP($D$7,TableStudyPeriods[],3,FALSE))</f>
        <v>SSP2</v>
      </c>
      <c r="F14" s="147" t="str">
        <f>IFERROR(IF(VLOOKUP($A14,TableHandbook[],6,FALSE)=0,"",VLOOKUP($A14,TableHandbook[],6,FALSE)),"")</f>
        <v>Nil</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row>
    <row r="15" spans="1:20" s="14" customFormat="1" ht="21" customHeight="1" x14ac:dyDescent="0.15">
      <c r="A15" s="144" t="str">
        <f>IFERROR(IF(HLOOKUP($P$6,RangeUnitsetsGDEDUCAcc,Q15,FALSE)=0,"",HLOOKUP($P$6,RangeUnitsetsGDEDUCAcc,Q15,FALSE)),"")</f>
        <v>EDPR5001</v>
      </c>
      <c r="B15" s="152">
        <f>IFERROR(IF(VLOOKUP($A15,TableHandbook[],2,FALSE)=0,"",VLOOKUP($A15,TableHandbook[],2,FALSE)),"")</f>
        <v>1</v>
      </c>
      <c r="C15" s="152" t="str">
        <f>IFERROR(IF(VLOOKUP($A15,TableHandbook[],3,FALSE)=0,"",VLOOKUP($A15,TableHandbook[],3,FALSE)),"")</f>
        <v/>
      </c>
      <c r="D15" s="146" t="str">
        <f>IFERROR(IF(VLOOKUP($A15,TableHandbook[],4,FALSE)=0,"",VLOOKUP($A15,TableHandbook[],4,FALSE)),"")</f>
        <v>Primary Professional Experience 2: Assessment and Reporting</v>
      </c>
      <c r="E15" s="145" t="str">
        <f>IF(A15="","",E14)</f>
        <v>SSP2</v>
      </c>
      <c r="F15" s="147" t="str">
        <f>IFERROR(IF(VLOOKUP($A15,TableHandbook[],6,FALSE)=0,"",VLOOKUP($A15,TableHandbook[],6,FALSE)),"")</f>
        <v>EDPR5000</v>
      </c>
      <c r="G15" s="152">
        <f>IFERROR(IF(VLOOKUP($A15,TableHandbook[],5,FALSE)=0,"",VLOOKUP($A15,TableHandbook[],5,FALSE)),"")</f>
        <v>25</v>
      </c>
      <c r="H15" s="153" t="str">
        <f>IFERROR(VLOOKUP($A15,TableHandbook[],H$2,FALSE),"")</f>
        <v/>
      </c>
      <c r="I15" s="154" t="str">
        <f>IFERROR(VLOOKUP($A15,TableHandbook[],I$2,FALSE),"")</f>
        <v/>
      </c>
      <c r="J15" s="153" t="str">
        <f>IFERROR(VLOOKUP($A15,TableHandbook[],J$2,FALSE),"")</f>
        <v>Y</v>
      </c>
      <c r="K15" s="154" t="str">
        <f>IFERROR(VLOOKUP($A15,TableHandbook[],K$2,FALSE),"")</f>
        <v>Y</v>
      </c>
      <c r="L15" s="153" t="str">
        <f>IFERROR(VLOOKUP($A15,TableHandbook[],L$2,FALSE),"")</f>
        <v>Y</v>
      </c>
      <c r="M15" s="154" t="str">
        <f>IFERROR(VLOOKUP($A15,TableHandbook[],M$2,FALSE),"")</f>
        <v>Y</v>
      </c>
      <c r="N15" s="153" t="str">
        <f>IFERROR(VLOOKUP($A15,TableHandbook[],N$2,FALSE),"")</f>
        <v/>
      </c>
      <c r="O15" s="154" t="str">
        <f>IFERROR(VLOOKUP($A15,TableHandbook[],O$2,FALSE),"")</f>
        <v/>
      </c>
      <c r="P15" s="24"/>
      <c r="Q15" s="150">
        <v>6</v>
      </c>
      <c r="R15" s="151"/>
      <c r="S15" s="151"/>
    </row>
    <row r="16" spans="1:20" s="16" customFormat="1" ht="21" customHeight="1" x14ac:dyDescent="0.15">
      <c r="A16" s="144" t="str">
        <f>IFERROR(IF(HLOOKUP($P$6,RangeUnitsetsGDEDUCAcc,Q16,FALSE)=0,"",HLOOKUP($P$6,RangeUnitsetsGDEDUCAcc,Q16,FALSE)),"")</f>
        <v>EDPR5003</v>
      </c>
      <c r="B16" s="152">
        <f>IFERROR(IF(VLOOKUP($A16,TableHandbook[],2,FALSE)=0,"",VLOOKUP($A16,TableHandbook[],2,FALSE)),"")</f>
        <v>1</v>
      </c>
      <c r="C16" s="152" t="str">
        <f>IFERROR(IF(VLOOKUP($A16,TableHandbook[],3,FALSE)=0,"",VLOOKUP($A16,TableHandbook[],3,FALSE)),"")</f>
        <v/>
      </c>
      <c r="D16" s="146" t="str">
        <f>IFERROR(IF(VLOOKUP($A16,TableHandbook[],4,FALSE)=0,"",VLOOKUP($A16,TableHandbook[],4,FALSE)),"")</f>
        <v>Teaching Number, Algebra and Probability in the Primary Years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Y</v>
      </c>
      <c r="O16" s="154" t="str">
        <f>IFERROR(VLOOKUP($A16,TableHandbook[],O$2,FALSE),"")</f>
        <v>Y</v>
      </c>
      <c r="P16" s="24"/>
      <c r="Q16" s="150">
        <v>7</v>
      </c>
      <c r="R16" s="155"/>
      <c r="S16" s="15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row>
    <row r="18" spans="1:27" s="16" customFormat="1" ht="21" customHeight="1" x14ac:dyDescent="0.15">
      <c r="A18" s="144" t="str">
        <f>IFERROR(IF(HLOOKUP($P$6,RangeUnitsetsGDEDUCAcc,Q18,FALSE)=0,"",HLOOKUP($P$6,RangeUnitsetsGDEDUCAcc,Q18,FALSE)),"")</f>
        <v>EDUC5006</v>
      </c>
      <c r="B18" s="152">
        <f>IFERROR(IF(VLOOKUP($A18,TableHandbook[],2,FALSE)=0,"",VLOOKUP($A18,TableHandbook[],2,FALSE)),"")</f>
        <v>1</v>
      </c>
      <c r="C18" s="152" t="str">
        <f>IFERROR(IF(VLOOKUP($A18,TableHandbook[],3,FALSE)=0,"",VLOOKUP($A18,TableHandbook[],3,FALSE)),"")</f>
        <v/>
      </c>
      <c r="D18" s="146" t="str">
        <f>IFERROR(IF(VLOOKUP($A18,TableHandbook[],4,FALSE)=0,"",VLOOKUP($A18,TableHandbook[],4,FALSE)),"")</f>
        <v>Creative Technologies</v>
      </c>
      <c r="E18" s="145" t="str">
        <f>IF(OR(A18="",A18="--"),"",VLOOKUP($D$7,TableStudyPeriods[],4,FALSE))</f>
        <v>SSP3</v>
      </c>
      <c r="F18" s="147" t="str">
        <f>IFERROR(IF(VLOOKUP($A18,TableHandbook[],6,FALSE)=0,"",VLOOKUP($A18,TableHandbook[],6,FALSE)),"")</f>
        <v>Nil</v>
      </c>
      <c r="G18" s="152">
        <f>IFERROR(IF(VLOOKUP($A18,TableHandbook[],5,FALSE)=0,"",VLOOKUP($A18,TableHandbook[],5,FALSE)),"")</f>
        <v>25</v>
      </c>
      <c r="H18" s="153" t="str">
        <f>IFERROR(VLOOKUP($A18,TableHandbook[],H$2,FALSE),"")</f>
        <v/>
      </c>
      <c r="I18" s="154" t="str">
        <f>IFERROR(VLOOKUP($A18,TableHandbook[],I$2,FALSE),"")</f>
        <v/>
      </c>
      <c r="J18" s="153" t="str">
        <f>IFERROR(VLOOKUP($A18,TableHandbook[],J$2,FALSE),"")</f>
        <v>Y</v>
      </c>
      <c r="K18" s="154" t="str">
        <f>IFERROR(VLOOKUP($A18,TableHandbook[],K$2,FALSE),"")</f>
        <v>Y</v>
      </c>
      <c r="L18" s="153" t="str">
        <f>IFERROR(VLOOKUP($A18,TableHandbook[],L$2,FALSE),"")</f>
        <v>Y</v>
      </c>
      <c r="M18" s="154" t="str">
        <f>IFERROR(VLOOKUP($A18,TableHandbook[],M$2,FALSE),"")</f>
        <v>Y</v>
      </c>
      <c r="N18" s="153" t="str">
        <f>IFERROR(VLOOKUP($A18,TableHandbook[],N$2,FALSE),"")</f>
        <v>Y</v>
      </c>
      <c r="O18" s="154" t="str">
        <f>IFERROR(VLOOKUP($A18,TableHandbook[],O$2,FALSE),"")</f>
        <v>Y</v>
      </c>
      <c r="P18" s="24"/>
      <c r="Q18" s="150">
        <v>8</v>
      </c>
      <c r="R18" s="155"/>
      <c r="S18" s="155"/>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78" t="str">
        <f>IFERROR(IF(VLOOKUP($A19,TableHandbook[],4,FALSE)=0,"",VLOOKUP($A19,TableHandbook[],4,FALSE)),"")</f>
        <v>Professional Experience 3: Using Data to Inform Teaching and Learning</v>
      </c>
      <c r="E19" s="152" t="str">
        <f>IF(A19="","",E18)</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9</v>
      </c>
      <c r="R19" s="155"/>
      <c r="S19" s="155"/>
    </row>
    <row r="20" spans="1:27" ht="16.5" customHeight="1" x14ac:dyDescent="0.25">
      <c r="A20" s="160"/>
      <c r="B20" s="160"/>
      <c r="C20" s="160"/>
      <c r="D20" s="161"/>
      <c r="E20" s="161"/>
      <c r="F20" s="162"/>
      <c r="G20" s="162"/>
      <c r="H20" s="162"/>
      <c r="I20" s="162"/>
      <c r="J20" s="162"/>
      <c r="K20" s="162"/>
      <c r="L20" s="162"/>
      <c r="M20" s="162"/>
      <c r="N20" s="162"/>
      <c r="O20" s="162"/>
      <c r="P20" s="162"/>
      <c r="Q20" s="88"/>
    </row>
    <row r="21" spans="1:27" s="10" customFormat="1" ht="18" x14ac:dyDescent="0.25">
      <c r="A21" s="199" t="s">
        <v>34</v>
      </c>
      <c r="B21" s="199"/>
      <c r="C21" s="199"/>
      <c r="D21" s="199"/>
      <c r="E21" s="199"/>
      <c r="F21" s="199"/>
      <c r="G21" s="199"/>
      <c r="H21" s="199"/>
      <c r="I21" s="199"/>
      <c r="J21" s="199"/>
      <c r="K21" s="199"/>
      <c r="L21" s="199"/>
      <c r="M21" s="199"/>
      <c r="N21" s="199"/>
      <c r="O21" s="199"/>
      <c r="P21" s="199"/>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3"/>
      <c r="R22" s="163"/>
      <c r="S22" s="163"/>
    </row>
    <row r="23" spans="1:27" x14ac:dyDescent="0.25">
      <c r="A23" s="164" t="s">
        <v>36</v>
      </c>
      <c r="B23" s="164"/>
      <c r="C23" s="164"/>
      <c r="D23" s="164"/>
      <c r="E23" s="165"/>
      <c r="F23" s="162"/>
      <c r="G23" s="166"/>
      <c r="H23" s="166"/>
      <c r="I23" s="166"/>
      <c r="J23" s="166"/>
      <c r="K23" s="166"/>
      <c r="L23" s="166"/>
      <c r="M23" s="166"/>
      <c r="N23" s="166"/>
      <c r="O23" s="166"/>
      <c r="P23" s="166"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D5" sqref="D5"/>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245</v>
      </c>
      <c r="E7" s="123"/>
      <c r="F7" s="121" t="s">
        <v>243</v>
      </c>
      <c r="G7" s="128" t="str">
        <f>IFERROR(CONCATENATE(VLOOKUP(D7,TableTeachingArea1[],2,FALSE)," ",VLOOKUP(D7,TableTeachingArea1[],3,FALSE)),"")</f>
        <v>STRP-SCART v.1</v>
      </c>
      <c r="H7" s="168"/>
      <c r="I7" s="123"/>
      <c r="J7" s="123"/>
      <c r="K7" s="123"/>
      <c r="L7" s="123"/>
      <c r="M7" s="123"/>
      <c r="N7" s="123"/>
      <c r="O7" s="123"/>
      <c r="P7" s="170" t="str">
        <f>VLOOKUP(D7,TableTeachingArea1[],2,FALSE)</f>
        <v>STRP-SCART</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IFERROR(IF(HLOOKUP($P$6,RangeUnitsetsGDEDUCAcc,Q11,FALSE)=0,"",HLOOKUP($P$6,RangeUnitsetsGDEDUCAcc,Q11,FALSE)),"")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IFERROR(IF(HLOOKUP($P$6,RangeUnitsetsGDEDUCAcc,Q12,FALSE)=0,"",HLOOKUP($P$6,RangeUnitsetsGDEDUCAcc,Q12,FALSE)),"")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21" customHeight="1" x14ac:dyDescent="0.15">
      <c r="A13" s="144" t="str">
        <f>IFERROR(IF(HLOOKUP($P$6,RangeUnitsetsGDEDUCAcc,Q13,FALSE)=0,"",HLOOKUP($P$6,RangeUnitsetsGDEDUCAcc,Q13,FALSE)),"")</f>
        <v>EDUC5009</v>
      </c>
      <c r="B13" s="145">
        <f>IFERROR(IF(VLOOKUP($A13,TableHandbook[],2,FALSE)=0,"",VLOOKUP($A13,TableHandbook[],2,FALSE)),"")</f>
        <v>1</v>
      </c>
      <c r="C13" s="145" t="str">
        <f>IFERROR(IF(VLOOKUP($A13,TableHandbook[],3,FALSE)=0,"",VLOOKUP($A13,TableHandbook[],3,FALSE)),"")</f>
        <v/>
      </c>
      <c r="D13" s="146" t="str">
        <f>IFERROR(IF(VLOOKUP($A13,TableHandbook[],4,FALSE)=0,"",VLOOKUP($A13,TableHandbook[],4,FALSE)),"")</f>
        <v>Pedagogies for Diversity</v>
      </c>
      <c r="E13" s="145" t="str">
        <f>IF(A13="","",E12)</f>
        <v>SSP1</v>
      </c>
      <c r="F13" s="147" t="str">
        <f>IFERROR(IF(VLOOKUP($A13,TableHandbook[],6,FALSE)=0,"",VLOOKUP($A13,TableHandbook[],6,FALSE)),"")</f>
        <v>Nil</v>
      </c>
      <c r="G13" s="145">
        <f>IFERROR(IF(VLOOKUP($A13,TableHandbook[],5,FALSE)=0,"",VLOOKUP($A13,TableHandbook[],5,FALSE)),"")</f>
        <v>25</v>
      </c>
      <c r="H13" s="148" t="str">
        <f>IFERROR(VLOOKUP($A13,TableHandbook[],H$2,FALSE),"")</f>
        <v>Y</v>
      </c>
      <c r="I13" s="149" t="str">
        <f>IFERROR(VLOOKUP($A13,TableHandbook[],I$2,FALSE),"")</f>
        <v>Y</v>
      </c>
      <c r="J13" s="148" t="str">
        <f>IFERROR(VLOOKUP($A13,TableHandbook[],J$2,FALSE),"")</f>
        <v/>
      </c>
      <c r="K13" s="149" t="str">
        <f>IFERROR(VLOOKUP($A13,TableHandbook[],K$2,FALSE),"")</f>
        <v/>
      </c>
      <c r="L13" s="148" t="str">
        <f>IFERROR(VLOOKUP($A13,TableHandbook[],L$2,FALSE),"")</f>
        <v>Y</v>
      </c>
      <c r="M13" s="149" t="str">
        <f>IFERROR(VLOOKUP($A13,TableHandbook[],M$2,FALSE),"")</f>
        <v>Y</v>
      </c>
      <c r="N13" s="148" t="str">
        <f>IFERROR(VLOOKUP($A13,TableHandbook[],N$2,FALSE),"")</f>
        <v/>
      </c>
      <c r="O13" s="149" t="str">
        <f>IFERROR(VLOOKUP($A13,TableHandbook[],O$2,FALSE),"")</f>
        <v/>
      </c>
      <c r="P13" s="24"/>
      <c r="Q13" s="150">
        <v>4</v>
      </c>
      <c r="R13" s="151"/>
      <c r="S13" s="151"/>
    </row>
    <row r="14" spans="1:20"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row>
    <row r="15" spans="1:20" s="14" customFormat="1" ht="21" customHeight="1" x14ac:dyDescent="0.15">
      <c r="A15" s="144" t="str">
        <f>IFERROR(IF(HLOOKUP($P$6,RangeUnitsetsGDEDUCAcc,Q15,FALSE)=0,"",HLOOKUP($P$6,RangeUnitsetsGDEDUCAcc,Q15,FALSE)),"")</f>
        <v>EDSC5029</v>
      </c>
      <c r="B15" s="145">
        <f>IFERROR(IF(VLOOKUP($A15,TableHandbook[],2,FALSE)=0,"",VLOOKUP($A15,TableHandbook[],2,FALSE)),"")</f>
        <v>1</v>
      </c>
      <c r="C15" s="145" t="str">
        <f>IFERROR(IF(VLOOKUP($A15,TableHandbook[],3,FALSE)=0,"",VLOOKUP($A15,TableHandbook[],3,FALSE)),"")</f>
        <v/>
      </c>
      <c r="D15" s="146" t="str">
        <f>IFERROR(IF(VLOOKUP($A15,TableHandbook[],4,FALSE)=0,"",VLOOKUP($A15,TableHandbook[],4,FALSE)),"")</f>
        <v>Secondary Professional Experience 2: Assessment and Reporting</v>
      </c>
      <c r="E15" s="145" t="str">
        <f>IF(OR(A15="",A15="--"),"",VLOOKUP($D$8,TableStudyPeriods[],3,FALSE))</f>
        <v>SSP2</v>
      </c>
      <c r="F15" s="147" t="str">
        <f>IFERROR(IF(VLOOKUP($A15,TableHandbook[],6,FALSE)=0,"",VLOOKUP($A15,TableHandbook[],6,FALSE)),"")</f>
        <v>EDSC5028</v>
      </c>
      <c r="G15" s="145">
        <f>IFERROR(IF(VLOOKUP($A15,TableHandbook[],5,FALSE)=0,"",VLOOKUP($A15,TableHandbook[],5,FALSE)),"")</f>
        <v>25</v>
      </c>
      <c r="H15" s="148" t="str">
        <f>IFERROR(VLOOKUP($A15,TableHandbook[],H$2,FALSE),"")</f>
        <v/>
      </c>
      <c r="I15" s="149" t="str">
        <f>IFERROR(VLOOKUP($A15,TableHandbook[],I$2,FALSE),"")</f>
        <v/>
      </c>
      <c r="J15" s="148" t="str">
        <f>IFERROR(VLOOKUP($A15,TableHandbook[],J$2,FALSE),"")</f>
        <v>Y</v>
      </c>
      <c r="K15" s="149" t="str">
        <f>IFERROR(VLOOKUP($A15,TableHandbook[],K$2,FALSE),"")</f>
        <v>Y</v>
      </c>
      <c r="L15" s="148" t="str">
        <f>IFERROR(VLOOKUP($A15,TableHandbook[],L$2,FALSE),"")</f>
        <v>Y</v>
      </c>
      <c r="M15" s="149" t="str">
        <f>IFERROR(VLOOKUP($A15,TableHandbook[],M$2,FALSE),"")</f>
        <v>Y</v>
      </c>
      <c r="N15" s="148" t="str">
        <f>IFERROR(VLOOKUP($A15,TableHandbook[],N$2,FALSE),"")</f>
        <v/>
      </c>
      <c r="O15" s="149" t="str">
        <f>IFERROR(VLOOKUP($A15,TableHandbook[],O$2,FALSE),"")</f>
        <v/>
      </c>
      <c r="P15" s="23"/>
      <c r="Q15" s="150">
        <v>5</v>
      </c>
      <c r="R15" s="151"/>
      <c r="S15" s="151"/>
    </row>
    <row r="16" spans="1:20" s="14" customFormat="1" ht="21" customHeight="1" x14ac:dyDescent="0.15">
      <c r="A16" s="144" t="str">
        <f>IFERROR(IF(HLOOKUP($P$6,RangeUnitsetsGDEDUCAcc,Q16,FALSE)=0,"",HLOOKUP($P$6,RangeUnitsetsGDEDUCAcc,Q16,FALSE)),"")</f>
        <v>EDUC5006</v>
      </c>
      <c r="B16" s="152">
        <f>IFERROR(IF(VLOOKUP($A16,TableHandbook[],2,FALSE)=0,"",VLOOKUP($A16,TableHandbook[],2,FALSE)),"")</f>
        <v>1</v>
      </c>
      <c r="C16" s="152" t="str">
        <f>IFERROR(IF(VLOOKUP($A16,TableHandbook[],3,FALSE)=0,"",VLOOKUP($A16,TableHandbook[],3,FALSE)),"")</f>
        <v/>
      </c>
      <c r="D16" s="146" t="str">
        <f>IFERROR(IF(VLOOKUP($A16,TableHandbook[],4,FALSE)=0,"",VLOOKUP($A16,TableHandbook[],4,FALSE)),"")</f>
        <v>Creative Technologies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Y</v>
      </c>
      <c r="K16" s="154" t="str">
        <f>IFERROR(VLOOKUP($A16,TableHandbook[],K$2,FALSE),"")</f>
        <v>Y</v>
      </c>
      <c r="L16" s="153" t="str">
        <f>IFERROR(VLOOKUP($A16,TableHandbook[],L$2,FALSE),"")</f>
        <v>Y</v>
      </c>
      <c r="M16" s="154" t="str">
        <f>IFERROR(VLOOKUP($A16,TableHandbook[],M$2,FALSE),"")</f>
        <v>Y</v>
      </c>
      <c r="N16" s="153" t="str">
        <f>IFERROR(VLOOKUP($A16,TableHandbook[],N$2,FALSE),"")</f>
        <v>Y</v>
      </c>
      <c r="O16" s="154" t="str">
        <f>IFERROR(VLOOKUP($A16,TableHandbook[],O$2,FALSE),"")</f>
        <v>Y</v>
      </c>
      <c r="P16" s="24"/>
      <c r="Q16" s="150">
        <v>6</v>
      </c>
      <c r="R16" s="151"/>
      <c r="S16" s="151"/>
    </row>
    <row r="17" spans="1:27" s="16" customFormat="1" ht="21" customHeight="1" x14ac:dyDescent="0.15">
      <c r="A17" s="144" t="str">
        <f>IFERROR(IF(HLOOKUP($P$6,RangeUnitsetsGDEDUCAcc,Q17,FALSE)=0,"",HLOOKUP($P$6,RangeUnitsetsGDEDUCAcc,Q17,FALSE)),"")</f>
        <v>GDTAL</v>
      </c>
      <c r="B17" s="152" t="str">
        <f>IFERROR(IF(VLOOKUP($A17,TableHandbook[],2,FALSE)=0,"",VLOOKUP($A17,TableHandbook[],2,FALSE)),"")</f>
        <v/>
      </c>
      <c r="C17" s="152" t="str">
        <f>IFERROR(IF(VLOOKUP($A17,TableHandbook[],3,FALSE)=0,"",VLOOKUP($A17,TableHandbook[],3,FALSE)),"")</f>
        <v/>
      </c>
      <c r="D17" s="146" t="str">
        <f>IFERROR(IF(VLOOKUP($A17,TableHandbook[],4,FALSE)=0,"",VLOOKUP($A17,TableHandbook[],4,FALSE)),"")</f>
        <v>Teaching Area LOWER subject (see below)</v>
      </c>
      <c r="E17" s="145" t="str">
        <f>IF(A17="","",E16)</f>
        <v>SSP2</v>
      </c>
      <c r="F17" s="147" t="str">
        <f>IFERROR(IF(VLOOKUP($A17,TableHandbook[],6,FALSE)=0,"",VLOOKUP($A17,TableHandbook[],6,FALSE)),"")</f>
        <v>See below</v>
      </c>
      <c r="G17" s="152">
        <f>IFERROR(IF(VLOOKUP($A17,TableHandbook[],5,FALSE)=0,"",VLOOKUP($A17,TableHandbook[],5,FALSE)),"")</f>
        <v>25</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46" t="str">
        <f>IFERROR(IF(VLOOKUP($A19,TableHandbook[],4,FALSE)=0,"",VLOOKUP($A19,TableHandbook[],4,FALSE)),"")</f>
        <v>Professional Experience 3: Using Data to Inform Teaching and Learning</v>
      </c>
      <c r="E19" s="145" t="str">
        <f>IF(OR(A19="",A19="--"),"",VLOOKUP($D$8,TableStudyPeriods[],4,FALSE))</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8</v>
      </c>
      <c r="R19" s="155"/>
      <c r="S19" s="155"/>
    </row>
    <row r="20" spans="1:27" s="16" customFormat="1" ht="21" customHeight="1" x14ac:dyDescent="0.15">
      <c r="A20" s="144" t="str">
        <f>IFERROR(IF(HLOOKUP($P$6,RangeUnitsetsGDEDUCAcc,Q20,FALSE)=0,"",HLOOKUP($P$6,RangeUnitsetsGDEDUCAcc,Q20,FALSE)),"")</f>
        <v>GDTAS</v>
      </c>
      <c r="B20" s="152" t="str">
        <f>IFERROR(IF(VLOOKUP($A20,TableHandbook[],2,FALSE)=0,"",VLOOKUP($A20,TableHandbook[],2,FALSE)),"")</f>
        <v/>
      </c>
      <c r="C20" s="152" t="str">
        <f>IFERROR(IF(VLOOKUP($A20,TableHandbook[],3,FALSE)=0,"",VLOOKUP($A20,TableHandbook[],3,FALSE)),"")</f>
        <v/>
      </c>
      <c r="D20" s="178" t="str">
        <f>IFERROR(IF(VLOOKUP($A20,TableHandbook[],4,FALSE)=0,"",VLOOKUP($A20,TableHandbook[],4,FALSE)),"")</f>
        <v>Teaching Area SENIOR subject (see below)</v>
      </c>
      <c r="E20" s="152" t="str">
        <f>IF(A20="","",E19)</f>
        <v>SSP3</v>
      </c>
      <c r="F20" s="147" t="str">
        <f>IFERROR(IF(VLOOKUP($A20,TableHandbook[],6,FALSE)=0,"",VLOOKUP($A20,TableHandbook[],6,FALSE)),"")</f>
        <v>See below</v>
      </c>
      <c r="G20" s="152">
        <f>IFERROR(IF(VLOOKUP($A20,TableHandbook[],5,FALSE)=0,"",VLOOKUP($A20,TableHandbook[],5,FALSE)),"")</f>
        <v>25</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20" customFormat="1" ht="25.5" x14ac:dyDescent="0.25">
      <c r="A22" s="179" t="s">
        <v>244</v>
      </c>
      <c r="B22" s="180"/>
      <c r="C22" s="180"/>
      <c r="D22" s="181"/>
      <c r="E22" s="182"/>
      <c r="F22" s="182"/>
      <c r="G22" s="182"/>
      <c r="H22" s="183" t="str">
        <f>H9</f>
        <v>2025 Availabilities</v>
      </c>
      <c r="I22" s="184"/>
      <c r="J22" s="184"/>
      <c r="K22" s="184"/>
      <c r="L22" s="184"/>
      <c r="M22" s="184"/>
      <c r="N22" s="185"/>
      <c r="O22" s="186"/>
      <c r="P22" s="187"/>
      <c r="Q22" s="88"/>
    </row>
    <row r="23" spans="1:27" ht="31.5" x14ac:dyDescent="0.25">
      <c r="A23" s="134"/>
      <c r="B23" s="134"/>
      <c r="C23" s="134"/>
      <c r="D23" s="135" t="s">
        <v>3</v>
      </c>
      <c r="E23" s="141" t="s">
        <v>21</v>
      </c>
      <c r="F23" s="134" t="s">
        <v>44</v>
      </c>
      <c r="G23" s="134" t="s">
        <v>23</v>
      </c>
      <c r="H23" s="142" t="str">
        <f>H10</f>
        <v>SSP1 BEN</v>
      </c>
      <c r="I23" s="143" t="str">
        <f t="shared" ref="I23:P23" si="0">I10</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row>
    <row r="24" spans="1:27" x14ac:dyDescent="0.25">
      <c r="A24" s="188" t="str">
        <f>IFERROR(IF(HLOOKUP($P$6,RangeUnitsetsGDEDUC,Q24,FALSE)=0,"",HLOOKUP($P$6,RangeUnitsetsGDEDUC,Q24,FALSE)),"")</f>
        <v>GDTA</v>
      </c>
      <c r="B24" s="189" t="str">
        <f>IFERROR(IF(VLOOKUP($A24,TableHandbook[],2,FALSE)=0,"",VLOOKUP($A24,TableHandbook[],2,FALSE)),"")</f>
        <v/>
      </c>
      <c r="C24" s="190" t="str">
        <f>IFERROR(IF(VLOOKUP($A24,TableHandbook[],3,FALSE)=0,"",VLOOKUP($A24,TableHandbook[],3,FALSE)),"")</f>
        <v/>
      </c>
      <c r="D24" s="190" t="str">
        <f>IFERROR(IF(VLOOKUP($A24,TableHandbook[],4,FALSE)=0,"",VLOOKUP($A24,TableHandbook[],4,FALSE)),"")</f>
        <v>Teaching Area (study Lower before Senior)</v>
      </c>
      <c r="E24" s="191"/>
      <c r="F24" s="192" t="str">
        <f>IFERROR(IF(VLOOKUP($A24,TableHandbook[],6,FALSE)=0,"",VLOOKUP($A24,TableHandbook[],6,FALSE)),"")</f>
        <v/>
      </c>
      <c r="G24" s="192" t="str">
        <f>IFERROR(IF(VLOOKUP($A24,TableHandbook[],5,FALSE)=0,"",VLOOKUP($A24,TableHandbook[],5,FALSE)),"")</f>
        <v/>
      </c>
      <c r="H24" s="153" t="str">
        <f>IFERROR(VLOOKUP($A24,TableHandbook[],H$2,FALSE),"")</f>
        <v/>
      </c>
      <c r="I24" s="154" t="str">
        <f>IFERROR(VLOOKUP($A24,TableHandbook[],I$2,FALSE),"")</f>
        <v/>
      </c>
      <c r="J24" s="152" t="str">
        <f>IFERROR(VLOOKUP($A24,TableHandbook[],J$2,FALSE),"")</f>
        <v/>
      </c>
      <c r="K24" s="154" t="str">
        <f>IFERROR(VLOOKUP($A24,TableHandbook[],K$2,FALSE),"")</f>
        <v/>
      </c>
      <c r="L24" s="152" t="str">
        <f>IFERROR(VLOOKUP($A24,TableHandbook[],L$2,FALSE),"")</f>
        <v/>
      </c>
      <c r="M24" s="154" t="str">
        <f>IFERROR(VLOOKUP($A24,TableHandbook[],M$2,FALSE),"")</f>
        <v/>
      </c>
      <c r="N24" s="152" t="str">
        <f>IFERROR(VLOOKUP($A24,TableHandbook[],N$2,FALSE),"")</f>
        <v/>
      </c>
      <c r="O24" s="154" t="str">
        <f>IFERROR(VLOOKUP($A24,TableHandbook[],O$2,FALSE),"")</f>
        <v/>
      </c>
      <c r="P24" s="24"/>
      <c r="Q24" s="150">
        <v>10</v>
      </c>
    </row>
    <row r="25" spans="1:27" x14ac:dyDescent="0.25">
      <c r="A25" s="188" t="str">
        <f>IFERROR(IF(HLOOKUP($P$7,RangeTeachingAreas,Q25,FALSE)=0,"",HLOOKUP($P$7,RangeTeachingAreas,Q25,FALSE)),"")</f>
        <v>EDSC5023</v>
      </c>
      <c r="B25" s="189">
        <f>IFERROR(IF(VLOOKUP($A25,TableHandbook[],2,FALSE)=0,"",VLOOKUP($A25,TableHandbook[],2,FALSE)),"")</f>
        <v>2</v>
      </c>
      <c r="C25" s="190" t="str">
        <f>IFERROR(IF(VLOOKUP($A25,TableHandbook[],3,FALSE)=0,"",VLOOKUP($A25,TableHandbook[],3,FALSE)),"")</f>
        <v/>
      </c>
      <c r="D25" s="190" t="str">
        <f>IFERROR(IF(VLOOKUP($A25,TableHandbook[],4,FALSE)=0,"",VLOOKUP($A25,TableHandbook[],4,FALSE)),"")</f>
        <v>Curriculum and Instruction Lower Secondary: The Arts</v>
      </c>
      <c r="E25" s="191"/>
      <c r="F25" s="192" t="str">
        <f>IFERROR(IF(VLOOKUP($A25,TableHandbook[],6,FALSE)=0,"",VLOOKUP($A25,TableHandbook[],6,FALSE)),"")</f>
        <v>Nil</v>
      </c>
      <c r="G25" s="192">
        <f>IFERROR(IF(VLOOKUP($A25,TableHandbook[],5,FALSE)=0,"",VLOOKUP($A25,TableHandbook[],5,FALSE)),"")</f>
        <v>25</v>
      </c>
      <c r="H25" s="148" t="str">
        <f>IFERROR(VLOOKUP($A25,TableHandbook[],H$2,FALSE),"")</f>
        <v/>
      </c>
      <c r="I25" s="149" t="str">
        <f>IFERROR(VLOOKUP($A25,TableHandbook[],I$2,FALSE),"")</f>
        <v/>
      </c>
      <c r="J25" s="145" t="str">
        <f>IFERROR(VLOOKUP($A25,TableHandbook[],J$2,FALSE),"")</f>
        <v>Y</v>
      </c>
      <c r="K25" s="149" t="str">
        <f>IFERROR(VLOOKUP($A25,TableHandbook[],K$2,FALSE),"")</f>
        <v>Y</v>
      </c>
      <c r="L25" s="145" t="str">
        <f>IFERROR(VLOOKUP($A25,TableHandbook[],L$2,FALSE),"")</f>
        <v/>
      </c>
      <c r="M25" s="149" t="str">
        <f>IFERROR(VLOOKUP($A25,TableHandbook[],M$2,FALSE),"")</f>
        <v/>
      </c>
      <c r="N25" s="145" t="str">
        <f>IFERROR(VLOOKUP($A25,TableHandbook[],N$2,FALSE),"")</f>
        <v>Y</v>
      </c>
      <c r="O25" s="149" t="str">
        <f>IFERROR(VLOOKUP($A25,TableHandbook[],O$2,FALSE),"")</f>
        <v>Y</v>
      </c>
      <c r="P25" s="24"/>
      <c r="Q25" s="150">
        <v>3</v>
      </c>
    </row>
    <row r="26" spans="1:27" x14ac:dyDescent="0.25">
      <c r="A26" s="188" t="str">
        <f>IFERROR(IF(HLOOKUP($P$7,RangeTeachingAreas,Q26,FALSE)=0,"",HLOOKUP($P$7,RangeTeachingAreas,Q26,FALSE)),"")</f>
        <v>EDSC5030</v>
      </c>
      <c r="B26" s="189">
        <f>IFERROR(IF(VLOOKUP($A26,TableHandbook[],2,FALSE)=0,"",VLOOKUP($A26,TableHandbook[],2,FALSE)),"")</f>
        <v>2</v>
      </c>
      <c r="C26" s="190" t="str">
        <f>IFERROR(IF(VLOOKUP($A26,TableHandbook[],3,FALSE)=0,"",VLOOKUP($A26,TableHandbook[],3,FALSE)),"")</f>
        <v/>
      </c>
      <c r="D26" s="190" t="str">
        <f>IFERROR(IF(VLOOKUP($A26,TableHandbook[],4,FALSE)=0,"",VLOOKUP($A26,TableHandbook[],4,FALSE)),"")</f>
        <v>Curriculum and Instruction Senior Secondary: The Arts</v>
      </c>
      <c r="E26" s="191"/>
      <c r="F26" s="192" t="str">
        <f>IFERROR(IF(VLOOKUP($A26,TableHandbook[],6,FALSE)=0,"",VLOOKUP($A26,TableHandbook[],6,FALSE)),"")</f>
        <v>Nil</v>
      </c>
      <c r="G26" s="192">
        <f>IFERROR(IF(VLOOKUP($A26,TableHandbook[],5,FALSE)=0,"",VLOOKUP($A26,TableHandbook[],5,FALSE)),"")</f>
        <v>25</v>
      </c>
      <c r="H26" s="148" t="str">
        <f>IFERROR(VLOOKUP($A26,TableHandbook[],H$2,FALSE),"")</f>
        <v/>
      </c>
      <c r="I26" s="149" t="str">
        <f>IFERROR(VLOOKUP($A26,TableHandbook[],I$2,FALSE),"")</f>
        <v/>
      </c>
      <c r="J26" s="145" t="str">
        <f>IFERROR(VLOOKUP($A26,TableHandbook[],J$2,FALSE),"")</f>
        <v>Y</v>
      </c>
      <c r="K26" s="149" t="str">
        <f>IFERROR(VLOOKUP($A26,TableHandbook[],K$2,FALSE),"")</f>
        <v>Y</v>
      </c>
      <c r="L26" s="145" t="str">
        <f>IFERROR(VLOOKUP($A26,TableHandbook[],L$2,FALSE),"")</f>
        <v/>
      </c>
      <c r="M26" s="149" t="str">
        <f>IFERROR(VLOOKUP($A26,TableHandbook[],M$2,FALSE),"")</f>
        <v/>
      </c>
      <c r="N26" s="145" t="str">
        <f>IFERROR(VLOOKUP($A26,TableHandbook[],N$2,FALSE),"")</f>
        <v>Y</v>
      </c>
      <c r="O26" s="149" t="str">
        <f>IFERROR(VLOOKUP($A26,TableHandbook[],O$2,FALSE),"")</f>
        <v>Y</v>
      </c>
      <c r="P26" s="24"/>
      <c r="Q26" s="150">
        <v>4</v>
      </c>
    </row>
    <row r="27" spans="1:27" ht="15" customHeight="1" x14ac:dyDescent="0.25">
      <c r="A27" s="193"/>
      <c r="B27" s="193"/>
      <c r="C27" s="194"/>
      <c r="D27" s="194"/>
      <c r="E27" s="195"/>
      <c r="F27" s="196"/>
      <c r="G27" s="196"/>
      <c r="H27" s="197"/>
      <c r="I27" s="197"/>
      <c r="J27" s="197"/>
      <c r="K27" s="197"/>
      <c r="L27" s="197"/>
      <c r="M27" s="197"/>
      <c r="N27" s="197"/>
      <c r="O27" s="197"/>
      <c r="P27" s="198"/>
      <c r="Q27" s="150"/>
    </row>
    <row r="28" spans="1:27" s="10" customFormat="1" ht="18" x14ac:dyDescent="0.25">
      <c r="A28" s="199" t="s">
        <v>34</v>
      </c>
      <c r="B28" s="199"/>
      <c r="C28" s="199"/>
      <c r="D28" s="199"/>
      <c r="E28" s="199"/>
      <c r="F28" s="199"/>
      <c r="G28" s="199"/>
      <c r="H28" s="199"/>
      <c r="I28" s="199"/>
      <c r="J28" s="199"/>
      <c r="K28" s="199"/>
      <c r="L28" s="199"/>
      <c r="M28" s="199"/>
      <c r="N28" s="199"/>
      <c r="O28" s="199"/>
      <c r="P28" s="199"/>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3"/>
      <c r="R29" s="163"/>
      <c r="S29" s="163"/>
    </row>
    <row r="30" spans="1:27" x14ac:dyDescent="0.25">
      <c r="A30" s="164" t="s">
        <v>36</v>
      </c>
      <c r="B30" s="164"/>
      <c r="C30" s="164"/>
      <c r="D30" s="164"/>
      <c r="E30" s="165"/>
      <c r="F30" s="162"/>
      <c r="G30" s="166"/>
      <c r="H30" s="166"/>
      <c r="I30" s="166"/>
      <c r="J30" s="166"/>
      <c r="K30" s="166"/>
      <c r="L30" s="166"/>
      <c r="M30" s="166"/>
      <c r="N30" s="166"/>
      <c r="O30" s="166"/>
      <c r="P30" s="166"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ba69df13-0c3c-4942-8695-6ca01564010c"/>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cc9cb892-206f-4052-b06f-5783104e029f"/>
    <ds:schemaRef ds:uri="http://www.w3.org/XML/1998/namespace"/>
    <ds:schemaRef ds:uri="http://purl.org/dc/dcmitype/"/>
  </ds:schemaRefs>
</ds:datastoreItem>
</file>

<file path=customXml/itemProps2.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2024-11-15T05:42:20Z</cp:lastPrinted>
  <dcterms:created xsi:type="dcterms:W3CDTF">2022-02-28T04:48:12Z</dcterms:created>
  <dcterms:modified xsi:type="dcterms:W3CDTF">2024-11-15T05:43:36Z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