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CF09CE56-DA95-48F5-BD96-7122539FC7C5}" xr6:coauthVersionLast="47" xr6:coauthVersionMax="47" xr10:uidLastSave="{00000000-0000-0000-0000-000000000000}"/>
  <workbookProtection workbookAlgorithmName="SHA-512" workbookHashValue="rNqSPEz6aichOJvRWrZXS13QOwu3NFsE8hD3Lf0TDTV9phpyEYqdmiJGFscfXzbRZ4peFJMoEApow5IQgkDu6A==" workbookSaltValue="FGxOfkkbVN+FQqjd0SHh1w==" workbookSpinCount="100000" lockStructure="1"/>
  <bookViews>
    <workbookView xWindow="28680" yWindow="10680" windowWidth="29040" windowHeight="17520" firstSheet="1" activeTab="1" xr2:uid="{00000000-000D-0000-FFFF-FFFF00000000}"/>
  </bookViews>
  <sheets>
    <sheet name="GC-GD-MSc Project Managment" sheetId="5" state="hidden" r:id="rId1"/>
    <sheet name="Master of Project Management" sheetId="10" r:id="rId2"/>
    <sheet name="Unitsets" sheetId="2" state="hidden" r:id="rId3"/>
    <sheet name="Handbook" sheetId="3" state="hidden" r:id="rId4"/>
    <sheet name="Structures" sheetId="8" state="hidden" r:id="rId5"/>
    <sheet name="Availabilities" sheetId="9" state="hidden" r:id="rId6"/>
  </sheets>
  <definedNames>
    <definedName name="_xlnm._FilterDatabase" localSheetId="3" hidden="1">Handbook!#REF!</definedName>
    <definedName name="_xlnm.Print_Area" localSheetId="0">'GC-GD-MSc Project Managment'!$A$3:$L$32</definedName>
    <definedName name="_xlnm.Print_Area" localSheetId="1">'Master of Project Management'!$A$3:$L$37</definedName>
    <definedName name="RangeAltCores">Unitsets!$L$24:$AI$28</definedName>
    <definedName name="RangeUnitsets">Unitsets!$L$3:$AI$19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3" l="1"/>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J4" i="3"/>
  <c r="I4" i="3"/>
  <c r="H4" i="3"/>
  <c r="G4" i="3"/>
  <c r="G6" i="10" l="1"/>
  <c r="G6" i="5"/>
  <c r="B1" i="3"/>
  <c r="C1" i="3"/>
  <c r="D1" i="3"/>
  <c r="E1" i="3"/>
  <c r="F1" i="3"/>
  <c r="G1" i="3"/>
  <c r="H1" i="3"/>
  <c r="I1" i="3"/>
  <c r="J1" i="3"/>
  <c r="K1" i="3"/>
  <c r="L1" i="3"/>
  <c r="M1" i="3"/>
  <c r="N1" i="3"/>
  <c r="O1" i="3"/>
  <c r="P1" i="3"/>
  <c r="Q1" i="3"/>
  <c r="R1" i="3"/>
  <c r="S1" i="3"/>
  <c r="A1" i="3"/>
  <c r="L30" i="10" l="1"/>
  <c r="K30" i="10"/>
  <c r="J30" i="10"/>
  <c r="I30" i="10"/>
  <c r="H30" i="10"/>
  <c r="H29" i="10"/>
  <c r="L18" i="10"/>
  <c r="H18" i="10"/>
  <c r="K25" i="5"/>
  <c r="J25" i="5"/>
  <c r="I25" i="5"/>
  <c r="H25" i="5"/>
  <c r="K18" i="5"/>
  <c r="J18" i="5"/>
  <c r="I18" i="5"/>
  <c r="H18" i="5"/>
  <c r="L25" i="5"/>
  <c r="L18" i="5"/>
  <c r="H24" i="5"/>
  <c r="J3" i="3" l="1"/>
  <c r="I3" i="3"/>
  <c r="H3" i="3"/>
  <c r="G3" i="3"/>
  <c r="A95" i="8" l="1"/>
  <c r="B95" i="8"/>
  <c r="D95" i="8"/>
  <c r="E95" i="8"/>
  <c r="A73" i="8" l="1"/>
  <c r="B73" i="8"/>
  <c r="D73" i="8"/>
  <c r="E73" i="8"/>
  <c r="A18" i="8" l="1"/>
  <c r="B18" i="8"/>
  <c r="D18" i="8"/>
  <c r="E18" i="8"/>
  <c r="A19" i="8"/>
  <c r="B19" i="8"/>
  <c r="D19" i="8"/>
  <c r="E19" i="8"/>
  <c r="A20" i="8"/>
  <c r="B20" i="8"/>
  <c r="D20" i="8"/>
  <c r="E20" i="8"/>
  <c r="G5" i="10" l="1"/>
  <c r="L4" i="10"/>
  <c r="A27" i="10" s="1"/>
  <c r="E27" i="10" s="1"/>
  <c r="H27" i="10" l="1"/>
  <c r="K27" i="10"/>
  <c r="J27" i="10"/>
  <c r="I27" i="10"/>
  <c r="A11" i="10"/>
  <c r="A33" i="10"/>
  <c r="A10" i="10"/>
  <c r="A32" i="10"/>
  <c r="A20" i="10"/>
  <c r="A12" i="10"/>
  <c r="A14" i="10"/>
  <c r="A21" i="10"/>
  <c r="A22" i="10"/>
  <c r="A24" i="10"/>
  <c r="A9" i="10"/>
  <c r="A16" i="10"/>
  <c r="A26" i="10"/>
  <c r="A19" i="10"/>
  <c r="A31" i="10"/>
  <c r="A15" i="10"/>
  <c r="A25" i="10"/>
  <c r="D27" i="10"/>
  <c r="G27" i="10"/>
  <c r="C27" i="10"/>
  <c r="B27" i="10"/>
  <c r="F27" i="10"/>
  <c r="A17" i="10"/>
  <c r="G5" i="5"/>
  <c r="K32" i="10" l="1"/>
  <c r="J32" i="10"/>
  <c r="I32" i="10"/>
  <c r="H32" i="10"/>
  <c r="K33" i="10"/>
  <c r="J33" i="10"/>
  <c r="I33" i="10"/>
  <c r="H33" i="10"/>
  <c r="K31" i="10"/>
  <c r="J31" i="10"/>
  <c r="I31" i="10"/>
  <c r="H31" i="10"/>
  <c r="K16" i="10"/>
  <c r="J16" i="10"/>
  <c r="I16" i="10"/>
  <c r="H16" i="10"/>
  <c r="H10" i="10"/>
  <c r="I10" i="10"/>
  <c r="K10" i="10"/>
  <c r="J10" i="10"/>
  <c r="K24" i="10"/>
  <c r="J24" i="10"/>
  <c r="H24" i="10"/>
  <c r="I24" i="10"/>
  <c r="K9" i="10"/>
  <c r="J9" i="10"/>
  <c r="I9" i="10"/>
  <c r="C25" i="10"/>
  <c r="H25" i="10"/>
  <c r="I25" i="10"/>
  <c r="K25" i="10"/>
  <c r="J25" i="10"/>
  <c r="F22" i="10"/>
  <c r="H22" i="10"/>
  <c r="J22" i="10"/>
  <c r="I22" i="10"/>
  <c r="K22" i="10"/>
  <c r="K11" i="10"/>
  <c r="J11" i="10"/>
  <c r="I11" i="10"/>
  <c r="H11" i="10"/>
  <c r="H15" i="10"/>
  <c r="J15" i="10"/>
  <c r="K15" i="10"/>
  <c r="I15" i="10"/>
  <c r="K21" i="10"/>
  <c r="J21" i="10"/>
  <c r="H21" i="10"/>
  <c r="I21" i="10"/>
  <c r="H17" i="10"/>
  <c r="I17" i="10"/>
  <c r="J17" i="10"/>
  <c r="K17" i="10"/>
  <c r="C14" i="10"/>
  <c r="K14" i="10"/>
  <c r="J14" i="10"/>
  <c r="H14" i="10"/>
  <c r="I14" i="10"/>
  <c r="K19" i="10"/>
  <c r="J19" i="10"/>
  <c r="H19" i="10"/>
  <c r="I19" i="10"/>
  <c r="F12" i="10"/>
  <c r="H12" i="10"/>
  <c r="I12" i="10"/>
  <c r="K12" i="10"/>
  <c r="J12" i="10"/>
  <c r="K26" i="10"/>
  <c r="J26" i="10"/>
  <c r="I26" i="10"/>
  <c r="H26" i="10"/>
  <c r="D20" i="10"/>
  <c r="H20" i="10"/>
  <c r="K20" i="10"/>
  <c r="I20" i="10"/>
  <c r="J20" i="10"/>
  <c r="G9" i="10"/>
  <c r="H9" i="10"/>
  <c r="F26" i="10"/>
  <c r="B20" i="10"/>
  <c r="E9" i="10"/>
  <c r="E10" i="10" s="1"/>
  <c r="E11" i="10" s="1"/>
  <c r="E12" i="10" s="1"/>
  <c r="C10" i="10"/>
  <c r="F10" i="10"/>
  <c r="F9" i="10"/>
  <c r="B9" i="10"/>
  <c r="D10" i="10"/>
  <c r="B10" i="10"/>
  <c r="G26" i="10"/>
  <c r="C20" i="10"/>
  <c r="F20" i="10"/>
  <c r="D26" i="10"/>
  <c r="C26" i="10"/>
  <c r="B26" i="10"/>
  <c r="F19" i="10"/>
  <c r="G19" i="10"/>
  <c r="E24" i="10"/>
  <c r="E25" i="10" s="1"/>
  <c r="E26" i="10" s="1"/>
  <c r="E19" i="10"/>
  <c r="E20" i="10" s="1"/>
  <c r="E21" i="10" s="1"/>
  <c r="E22" i="10" s="1"/>
  <c r="B19" i="10"/>
  <c r="G25" i="10"/>
  <c r="G32" i="10"/>
  <c r="C33" i="10"/>
  <c r="D16" i="10"/>
  <c r="C32" i="10"/>
  <c r="C16" i="10"/>
  <c r="E14" i="10"/>
  <c r="E15" i="10" s="1"/>
  <c r="E16" i="10" s="1"/>
  <c r="E17" i="10" s="1"/>
  <c r="D24" i="10"/>
  <c r="B14" i="10"/>
  <c r="B32" i="10"/>
  <c r="C24" i="10"/>
  <c r="B24" i="10"/>
  <c r="F33" i="10"/>
  <c r="D33" i="10"/>
  <c r="B16" i="10"/>
  <c r="B33" i="10"/>
  <c r="G16" i="10"/>
  <c r="F32" i="10"/>
  <c r="D32" i="10"/>
  <c r="F16" i="10"/>
  <c r="D21" i="10"/>
  <c r="C21" i="10"/>
  <c r="B21" i="10"/>
  <c r="F21" i="10"/>
  <c r="G21" i="10"/>
  <c r="C31" i="10"/>
  <c r="F31" i="10"/>
  <c r="D31" i="10"/>
  <c r="F14" i="10"/>
  <c r="G14" i="10"/>
  <c r="C19" i="10"/>
  <c r="D19" i="10"/>
  <c r="D12" i="10"/>
  <c r="C12" i="10"/>
  <c r="B12" i="10"/>
  <c r="G12" i="10"/>
  <c r="B15" i="10"/>
  <c r="F15" i="10"/>
  <c r="D15" i="10"/>
  <c r="G31" i="10"/>
  <c r="G20" i="10"/>
  <c r="C15" i="10"/>
  <c r="D9" i="10"/>
  <c r="C9" i="10"/>
  <c r="G10" i="10"/>
  <c r="B31" i="10"/>
  <c r="D14" i="10"/>
  <c r="F24" i="10"/>
  <c r="G24" i="10"/>
  <c r="G33" i="10"/>
  <c r="G15" i="10"/>
  <c r="D25" i="10"/>
  <c r="B25" i="10"/>
  <c r="F25" i="10"/>
  <c r="D22" i="10"/>
  <c r="C22" i="10"/>
  <c r="B22" i="10"/>
  <c r="G22" i="10"/>
  <c r="D11" i="10"/>
  <c r="C11" i="10"/>
  <c r="B11" i="10"/>
  <c r="F11" i="10"/>
  <c r="G11" i="10"/>
  <c r="D17" i="10"/>
  <c r="F17" i="10"/>
  <c r="C17" i="10"/>
  <c r="G17" i="10"/>
  <c r="B17" i="10"/>
  <c r="E88" i="8" l="1"/>
  <c r="E89" i="8"/>
  <c r="E85" i="8"/>
  <c r="E84" i="8"/>
  <c r="E87" i="8"/>
  <c r="E86" i="8"/>
  <c r="E82" i="8"/>
  <c r="E83" i="8"/>
  <c r="E97" i="8"/>
  <c r="E98" i="8"/>
  <c r="E96" i="8"/>
  <c r="E94" i="8"/>
  <c r="E92" i="8"/>
  <c r="E93" i="8"/>
  <c r="E90" i="8"/>
  <c r="E91" i="8"/>
  <c r="E66" i="8"/>
  <c r="E70" i="8"/>
  <c r="E64" i="8"/>
  <c r="E63" i="8"/>
  <c r="E68" i="8"/>
  <c r="E67" i="8"/>
  <c r="E69" i="8"/>
  <c r="E65" i="8"/>
  <c r="E78" i="8"/>
  <c r="E79" i="8"/>
  <c r="E74" i="8"/>
  <c r="E77" i="8"/>
  <c r="E72" i="8"/>
  <c r="E75" i="8"/>
  <c r="E71" i="8"/>
  <c r="E76" i="8"/>
  <c r="E58" i="8"/>
  <c r="E59" i="8"/>
  <c r="E60" i="8"/>
  <c r="E43" i="8"/>
  <c r="E46" i="8"/>
  <c r="E45" i="8"/>
  <c r="E44" i="8"/>
  <c r="E49" i="8"/>
  <c r="E48" i="8"/>
  <c r="E47" i="8"/>
  <c r="E50" i="8"/>
  <c r="E52" i="8"/>
  <c r="E53" i="8"/>
  <c r="E51" i="8"/>
  <c r="E34" i="8"/>
  <c r="E33" i="8"/>
  <c r="E37" i="8"/>
  <c r="E36" i="8"/>
  <c r="E35" i="8"/>
  <c r="E31" i="8"/>
  <c r="E32" i="8"/>
  <c r="E30" i="8"/>
  <c r="E40" i="8"/>
  <c r="E39" i="8"/>
  <c r="E38" i="8"/>
  <c r="E25" i="8"/>
  <c r="E26" i="8"/>
  <c r="E27" i="8"/>
  <c r="D88" i="8"/>
  <c r="D89" i="8"/>
  <c r="D85" i="8"/>
  <c r="D84" i="8"/>
  <c r="D87" i="8"/>
  <c r="D86" i="8"/>
  <c r="D82" i="8"/>
  <c r="D83" i="8"/>
  <c r="D97" i="8"/>
  <c r="D98" i="8"/>
  <c r="D96" i="8"/>
  <c r="D94" i="8"/>
  <c r="D92" i="8"/>
  <c r="D93" i="8"/>
  <c r="D90" i="8"/>
  <c r="D91" i="8"/>
  <c r="D66" i="8"/>
  <c r="D70" i="8"/>
  <c r="D64" i="8"/>
  <c r="D63" i="8"/>
  <c r="D68" i="8"/>
  <c r="D67" i="8"/>
  <c r="D69" i="8"/>
  <c r="D65" i="8"/>
  <c r="D78" i="8"/>
  <c r="D79" i="8"/>
  <c r="D74" i="8"/>
  <c r="D77" i="8"/>
  <c r="D72" i="8"/>
  <c r="D75" i="8"/>
  <c r="D71" i="8"/>
  <c r="D76" i="8"/>
  <c r="D58" i="8"/>
  <c r="D59" i="8"/>
  <c r="D60" i="8"/>
  <c r="D43" i="8"/>
  <c r="D46" i="8"/>
  <c r="D45" i="8"/>
  <c r="D44" i="8"/>
  <c r="D49" i="8"/>
  <c r="D48" i="8"/>
  <c r="D47" i="8"/>
  <c r="D50" i="8"/>
  <c r="D52" i="8"/>
  <c r="D53" i="8"/>
  <c r="D51" i="8"/>
  <c r="D34" i="8"/>
  <c r="D33" i="8"/>
  <c r="D37" i="8"/>
  <c r="D36" i="8"/>
  <c r="D35" i="8"/>
  <c r="D31" i="8"/>
  <c r="D32" i="8"/>
  <c r="D30" i="8"/>
  <c r="D40" i="8"/>
  <c r="D39" i="8"/>
  <c r="D38" i="8"/>
  <c r="D25" i="8"/>
  <c r="D26" i="8"/>
  <c r="D27" i="8"/>
  <c r="A88" i="8"/>
  <c r="A89" i="8"/>
  <c r="A85" i="8"/>
  <c r="A84" i="8"/>
  <c r="A87" i="8"/>
  <c r="A86" i="8"/>
  <c r="A82" i="8"/>
  <c r="A83" i="8"/>
  <c r="A97" i="8"/>
  <c r="A98" i="8"/>
  <c r="A96" i="8"/>
  <c r="A94" i="8"/>
  <c r="A92" i="8"/>
  <c r="A93" i="8"/>
  <c r="A90" i="8"/>
  <c r="A91" i="8"/>
  <c r="B88" i="8"/>
  <c r="B89" i="8"/>
  <c r="B85" i="8"/>
  <c r="B84" i="8"/>
  <c r="B87" i="8"/>
  <c r="B86" i="8"/>
  <c r="B82" i="8"/>
  <c r="B83" i="8"/>
  <c r="B97" i="8"/>
  <c r="B98" i="8"/>
  <c r="B96" i="8"/>
  <c r="B94" i="8"/>
  <c r="B92" i="8"/>
  <c r="B93" i="8"/>
  <c r="B90" i="8"/>
  <c r="B91" i="8"/>
  <c r="B66" i="8"/>
  <c r="B70" i="8"/>
  <c r="B64" i="8"/>
  <c r="B63" i="8"/>
  <c r="B68" i="8"/>
  <c r="B67" i="8"/>
  <c r="B69" i="8"/>
  <c r="B65" i="8"/>
  <c r="B78" i="8"/>
  <c r="B79" i="8"/>
  <c r="B74" i="8"/>
  <c r="B77" i="8"/>
  <c r="B72" i="8"/>
  <c r="B75" i="8"/>
  <c r="B71" i="8"/>
  <c r="B76" i="8"/>
  <c r="B58" i="8"/>
  <c r="B59" i="8"/>
  <c r="B60" i="8"/>
  <c r="B43" i="8"/>
  <c r="B46" i="8"/>
  <c r="B45" i="8"/>
  <c r="B44" i="8"/>
  <c r="B49" i="8"/>
  <c r="B48" i="8"/>
  <c r="B47" i="8"/>
  <c r="B50" i="8"/>
  <c r="B52" i="8"/>
  <c r="B53" i="8"/>
  <c r="B51" i="8"/>
  <c r="B34" i="8"/>
  <c r="B33" i="8"/>
  <c r="B37" i="8"/>
  <c r="B36" i="8"/>
  <c r="B35" i="8"/>
  <c r="B31" i="8"/>
  <c r="B32" i="8"/>
  <c r="B30" i="8"/>
  <c r="B40" i="8"/>
  <c r="B39" i="8"/>
  <c r="B38" i="8"/>
  <c r="B25" i="8"/>
  <c r="B26" i="8"/>
  <c r="B27" i="8"/>
  <c r="B13" i="8"/>
  <c r="A66" i="8"/>
  <c r="A70" i="8"/>
  <c r="A64" i="8"/>
  <c r="A63" i="8"/>
  <c r="A68" i="8"/>
  <c r="A67" i="8"/>
  <c r="A69" i="8"/>
  <c r="A65" i="8"/>
  <c r="A78" i="8"/>
  <c r="A79" i="8"/>
  <c r="A74" i="8"/>
  <c r="A77" i="8"/>
  <c r="A72" i="8"/>
  <c r="A75" i="8"/>
  <c r="A71" i="8"/>
  <c r="A76" i="8"/>
  <c r="A58" i="8"/>
  <c r="A59" i="8"/>
  <c r="A60" i="8"/>
  <c r="A43" i="8"/>
  <c r="A46" i="8"/>
  <c r="A45" i="8"/>
  <c r="A44" i="8"/>
  <c r="A49" i="8"/>
  <c r="A48" i="8"/>
  <c r="A47" i="8"/>
  <c r="A50" i="8"/>
  <c r="A52" i="8"/>
  <c r="A53" i="8"/>
  <c r="A51" i="8"/>
  <c r="A34" i="8"/>
  <c r="A33" i="8"/>
  <c r="A37" i="8"/>
  <c r="A36" i="8"/>
  <c r="A35" i="8"/>
  <c r="A31" i="8"/>
  <c r="A32" i="8"/>
  <c r="A30" i="8"/>
  <c r="A40" i="8"/>
  <c r="A39" i="8"/>
  <c r="A38" i="8"/>
  <c r="A25" i="8"/>
  <c r="A26" i="8"/>
  <c r="A27" i="8"/>
  <c r="E13" i="8"/>
  <c r="E14" i="8"/>
  <c r="E16" i="8"/>
  <c r="E11" i="8"/>
  <c r="E15" i="8"/>
  <c r="E12" i="8"/>
  <c r="E17" i="8"/>
  <c r="D13" i="8"/>
  <c r="D14" i="8"/>
  <c r="D16" i="8"/>
  <c r="D11" i="8"/>
  <c r="D15" i="8"/>
  <c r="D12" i="8"/>
  <c r="D17" i="8"/>
  <c r="B14" i="8"/>
  <c r="B16" i="8"/>
  <c r="B11" i="8"/>
  <c r="B15" i="8"/>
  <c r="B12" i="8"/>
  <c r="B17" i="8"/>
  <c r="A13" i="8"/>
  <c r="A14" i="8"/>
  <c r="A16" i="8"/>
  <c r="A11" i="8"/>
  <c r="A15" i="8"/>
  <c r="A12" i="8"/>
  <c r="A17" i="8"/>
  <c r="E3" i="8"/>
  <c r="E5" i="8"/>
  <c r="E6" i="8"/>
  <c r="E4" i="8"/>
  <c r="D3" i="8"/>
  <c r="D5" i="8"/>
  <c r="D6" i="8"/>
  <c r="D4" i="8"/>
  <c r="B3" i="8"/>
  <c r="B5" i="8"/>
  <c r="B6" i="8"/>
  <c r="B4" i="8"/>
  <c r="A3" i="8"/>
  <c r="A5" i="8"/>
  <c r="A6" i="8"/>
  <c r="A4" i="8"/>
  <c r="L20" i="3" l="1"/>
  <c r="L23" i="3"/>
  <c r="L21" i="3"/>
  <c r="L22" i="3"/>
  <c r="L12" i="3"/>
  <c r="M20" i="3"/>
  <c r="M23" i="3"/>
  <c r="M21" i="3"/>
  <c r="M22" i="3"/>
  <c r="M12" i="3"/>
  <c r="N20" i="3"/>
  <c r="N23" i="3"/>
  <c r="N21" i="3"/>
  <c r="N22" i="3"/>
  <c r="N3" i="3"/>
  <c r="N4" i="3"/>
  <c r="N5" i="3"/>
  <c r="N6" i="3"/>
  <c r="N7" i="3"/>
  <c r="N8" i="3"/>
  <c r="N9" i="3"/>
  <c r="N10" i="3"/>
  <c r="N11" i="3"/>
  <c r="N12" i="3"/>
  <c r="N13" i="3"/>
  <c r="N14" i="3"/>
  <c r="N15" i="3"/>
  <c r="N16" i="3"/>
  <c r="N17" i="3"/>
  <c r="N18" i="3"/>
  <c r="N19" i="3"/>
  <c r="N24" i="3"/>
  <c r="O20" i="3"/>
  <c r="O23" i="3"/>
  <c r="O21" i="3"/>
  <c r="O22" i="3"/>
  <c r="O12" i="3"/>
  <c r="P20" i="3"/>
  <c r="P23" i="3"/>
  <c r="P21" i="3"/>
  <c r="P22" i="3"/>
  <c r="P12" i="3"/>
  <c r="Q3" i="3"/>
  <c r="Q4" i="3"/>
  <c r="Q5" i="3"/>
  <c r="Q6" i="3"/>
  <c r="Q7" i="3"/>
  <c r="Q8" i="3"/>
  <c r="Q9" i="3"/>
  <c r="Q10" i="3"/>
  <c r="Q11" i="3"/>
  <c r="Q12" i="3"/>
  <c r="Q13" i="3"/>
  <c r="Q14" i="3"/>
  <c r="Q15" i="3"/>
  <c r="Q16" i="3"/>
  <c r="Q17" i="3"/>
  <c r="Q18" i="3"/>
  <c r="Q19" i="3"/>
  <c r="Q20" i="3"/>
  <c r="Q21" i="3"/>
  <c r="Q22" i="3"/>
  <c r="Q23" i="3"/>
  <c r="Q24" i="3"/>
  <c r="R20" i="3"/>
  <c r="R23" i="3"/>
  <c r="R21" i="3"/>
  <c r="R22" i="3"/>
  <c r="R12" i="3"/>
  <c r="S20" i="3"/>
  <c r="S23" i="3"/>
  <c r="S21" i="3"/>
  <c r="S22" i="3"/>
  <c r="S12" i="3"/>
  <c r="L4" i="3"/>
  <c r="M4" i="3"/>
  <c r="O4" i="3"/>
  <c r="P4" i="3"/>
  <c r="S4" i="3"/>
  <c r="R4" i="3"/>
  <c r="L3" i="3"/>
  <c r="L8" i="3"/>
  <c r="L9" i="3"/>
  <c r="L10" i="3"/>
  <c r="L11" i="3"/>
  <c r="L13" i="3"/>
  <c r="L14" i="3"/>
  <c r="L15" i="3"/>
  <c r="L16" i="3"/>
  <c r="L17" i="3"/>
  <c r="L18" i="3"/>
  <c r="L19" i="3"/>
  <c r="L24" i="3"/>
  <c r="L6" i="3"/>
  <c r="L7" i="3"/>
  <c r="L5" i="3"/>
  <c r="M3" i="3"/>
  <c r="M5" i="3"/>
  <c r="M6" i="3"/>
  <c r="M7" i="3"/>
  <c r="M8" i="3"/>
  <c r="M9" i="3"/>
  <c r="M10" i="3"/>
  <c r="M11" i="3"/>
  <c r="M13" i="3"/>
  <c r="M14" i="3"/>
  <c r="M15" i="3"/>
  <c r="M16" i="3"/>
  <c r="M17" i="3"/>
  <c r="M18" i="3"/>
  <c r="M19" i="3"/>
  <c r="M24" i="3"/>
  <c r="O3" i="3"/>
  <c r="O8" i="3"/>
  <c r="O9" i="3"/>
  <c r="O10" i="3"/>
  <c r="O11" i="3"/>
  <c r="O13" i="3"/>
  <c r="O14" i="3"/>
  <c r="O15" i="3"/>
  <c r="O16" i="3"/>
  <c r="O17" i="3"/>
  <c r="O18" i="3"/>
  <c r="O19" i="3"/>
  <c r="O24" i="3"/>
  <c r="O6" i="3"/>
  <c r="O7" i="3"/>
  <c r="O5" i="3"/>
  <c r="P3" i="3"/>
  <c r="P5" i="3"/>
  <c r="P6" i="3"/>
  <c r="P7" i="3"/>
  <c r="P8" i="3"/>
  <c r="P9" i="3"/>
  <c r="P10" i="3"/>
  <c r="P11" i="3"/>
  <c r="P13" i="3"/>
  <c r="P14" i="3"/>
  <c r="P15" i="3"/>
  <c r="P16" i="3"/>
  <c r="P17" i="3"/>
  <c r="P18" i="3"/>
  <c r="P19" i="3"/>
  <c r="P24" i="3"/>
  <c r="R3" i="3"/>
  <c r="R5" i="3"/>
  <c r="R6" i="3"/>
  <c r="R7" i="3"/>
  <c r="R8" i="3"/>
  <c r="R9" i="3"/>
  <c r="R10" i="3"/>
  <c r="R11" i="3"/>
  <c r="R13" i="3"/>
  <c r="R14" i="3"/>
  <c r="R15" i="3"/>
  <c r="R16" i="3"/>
  <c r="R17" i="3"/>
  <c r="R18" i="3"/>
  <c r="R19" i="3"/>
  <c r="R24" i="3"/>
  <c r="S3" i="3"/>
  <c r="S5" i="3"/>
  <c r="S6" i="3"/>
  <c r="S7" i="3"/>
  <c r="S8" i="3"/>
  <c r="S9" i="3"/>
  <c r="S10" i="3"/>
  <c r="S11" i="3"/>
  <c r="S13" i="3"/>
  <c r="S14" i="3"/>
  <c r="S15" i="3"/>
  <c r="S16" i="3"/>
  <c r="S17" i="3"/>
  <c r="S18" i="3"/>
  <c r="S19" i="3"/>
  <c r="S24" i="3"/>
  <c r="L4" i="5"/>
  <c r="A15" i="5" l="1"/>
  <c r="A9" i="5"/>
  <c r="A17" i="5"/>
  <c r="A14" i="5"/>
  <c r="A19" i="5"/>
  <c r="A16" i="5"/>
  <c r="A22" i="5"/>
  <c r="E22" i="5" s="1"/>
  <c r="A12" i="5"/>
  <c r="A26" i="5"/>
  <c r="A21" i="5"/>
  <c r="A11" i="5"/>
  <c r="A28" i="5"/>
  <c r="A20" i="5"/>
  <c r="A10" i="5"/>
  <c r="A27" i="5"/>
  <c r="K27" i="5" l="1"/>
  <c r="J27" i="5"/>
  <c r="I27" i="5"/>
  <c r="H27" i="5"/>
  <c r="I9" i="5"/>
  <c r="K9" i="5"/>
  <c r="J9" i="5"/>
  <c r="J26" i="5"/>
  <c r="K26" i="5"/>
  <c r="I26" i="5"/>
  <c r="H26" i="5"/>
  <c r="J12" i="5"/>
  <c r="I12" i="5"/>
  <c r="H12" i="5"/>
  <c r="K12" i="5"/>
  <c r="J22" i="5"/>
  <c r="I22" i="5"/>
  <c r="H22" i="5"/>
  <c r="K22" i="5"/>
  <c r="J10" i="5"/>
  <c r="I10" i="5"/>
  <c r="H10" i="5"/>
  <c r="K10" i="5"/>
  <c r="K16" i="5"/>
  <c r="J16" i="5"/>
  <c r="I16" i="5"/>
  <c r="H16" i="5"/>
  <c r="J20" i="5"/>
  <c r="I20" i="5"/>
  <c r="H20" i="5"/>
  <c r="K20" i="5"/>
  <c r="E19" i="5"/>
  <c r="E20" i="5" s="1"/>
  <c r="E21" i="5" s="1"/>
  <c r="K19" i="5"/>
  <c r="I19" i="5"/>
  <c r="J19" i="5"/>
  <c r="H19" i="5"/>
  <c r="K28" i="5"/>
  <c r="J28" i="5"/>
  <c r="I28" i="5"/>
  <c r="H28" i="5"/>
  <c r="E14" i="5"/>
  <c r="E15" i="5" s="1"/>
  <c r="E16" i="5" s="1"/>
  <c r="E17" i="5" s="1"/>
  <c r="K14" i="5"/>
  <c r="J14" i="5"/>
  <c r="H14" i="5"/>
  <c r="I14" i="5"/>
  <c r="K11" i="5"/>
  <c r="J11" i="5"/>
  <c r="I11" i="5"/>
  <c r="H11" i="5"/>
  <c r="J17" i="5"/>
  <c r="I17" i="5"/>
  <c r="H17" i="5"/>
  <c r="K17" i="5"/>
  <c r="J21" i="5"/>
  <c r="K21" i="5"/>
  <c r="I21" i="5"/>
  <c r="H21" i="5"/>
  <c r="J15" i="5"/>
  <c r="I15" i="5"/>
  <c r="H15" i="5"/>
  <c r="K15" i="5"/>
  <c r="E9" i="5"/>
  <c r="E10" i="5" s="1"/>
  <c r="E11" i="5" s="1"/>
  <c r="E12" i="5" s="1"/>
  <c r="H9" i="5"/>
  <c r="D28" i="5"/>
  <c r="F28" i="5"/>
  <c r="C28" i="5"/>
  <c r="G28" i="5"/>
  <c r="B28" i="5"/>
  <c r="G26" i="5"/>
  <c r="F26" i="5"/>
  <c r="D26" i="5"/>
  <c r="C26" i="5"/>
  <c r="B26" i="5"/>
  <c r="D27" i="5"/>
  <c r="B27" i="5"/>
  <c r="F27" i="5"/>
  <c r="G27" i="5"/>
  <c r="C27" i="5"/>
  <c r="F21" i="5" l="1"/>
  <c r="C21" i="5"/>
  <c r="G21" i="5"/>
  <c r="D21" i="5"/>
  <c r="B21" i="5"/>
  <c r="G14" i="5"/>
  <c r="F14" i="5"/>
  <c r="D14" i="5"/>
  <c r="C14" i="5"/>
  <c r="B14" i="5"/>
  <c r="G19" i="5"/>
  <c r="F19" i="5"/>
  <c r="D19" i="5"/>
  <c r="C19" i="5"/>
  <c r="B19" i="5"/>
  <c r="G12" i="5"/>
  <c r="F12" i="5"/>
  <c r="D12" i="5"/>
  <c r="C12" i="5"/>
  <c r="B12" i="5"/>
  <c r="G15" i="5"/>
  <c r="F15" i="5"/>
  <c r="D15" i="5"/>
  <c r="C15" i="5"/>
  <c r="B15" i="5"/>
  <c r="G9" i="5"/>
  <c r="F9" i="5"/>
  <c r="D9" i="5"/>
  <c r="C9" i="5"/>
  <c r="B9" i="5"/>
  <c r="F11" i="5"/>
  <c r="B11" i="5"/>
  <c r="C11" i="5"/>
  <c r="G11" i="5"/>
  <c r="D11" i="5"/>
  <c r="G16" i="5"/>
  <c r="F16" i="5"/>
  <c r="D16" i="5"/>
  <c r="C16" i="5"/>
  <c r="B16" i="5"/>
  <c r="F20" i="5"/>
  <c r="C20" i="5"/>
  <c r="G20" i="5"/>
  <c r="D20" i="5"/>
  <c r="B20" i="5"/>
  <c r="F22" i="5"/>
  <c r="G22" i="5"/>
  <c r="D22" i="5"/>
  <c r="C22" i="5"/>
  <c r="B22" i="5"/>
  <c r="B10" i="5"/>
  <c r="C10" i="5"/>
  <c r="G10" i="5"/>
  <c r="D10" i="5"/>
  <c r="F10" i="5"/>
  <c r="G17" i="5"/>
  <c r="F17" i="5"/>
  <c r="D17" i="5"/>
  <c r="C17" i="5"/>
  <c r="B17" i="5"/>
</calcChain>
</file>

<file path=xl/sharedStrings.xml><?xml version="1.0" encoding="utf-8"?>
<sst xmlns="http://schemas.openxmlformats.org/spreadsheetml/2006/main" count="1186" uniqueCount="209">
  <si>
    <t>UDC</t>
  </si>
  <si>
    <t>Ver</t>
  </si>
  <si>
    <t>OUA Cd</t>
  </si>
  <si>
    <t>Unit Title</t>
  </si>
  <si>
    <t>SP</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</si>
  <si>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</si>
  <si>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</si>
  <si>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</si>
  <si>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</si>
  <si>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</si>
  <si>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</si>
  <si>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</si>
  <si>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Master of Science (Project Management) (Professional Stream)</t>
  </si>
  <si>
    <t>Course version:</t>
  </si>
  <si>
    <t>Commencing:</t>
  </si>
  <si>
    <t>Semester 2 (July - November)</t>
  </si>
  <si>
    <t>Credits to Complete:</t>
  </si>
  <si>
    <t>2025 Availabilities</t>
  </si>
  <si>
    <t>Year 1</t>
  </si>
  <si>
    <t>Study Period</t>
  </si>
  <si>
    <t>Pre Requisite(s)</t>
  </si>
  <si>
    <t>CP</t>
  </si>
  <si>
    <t>Sem1 BEN</t>
  </si>
  <si>
    <t>Sem1 FO</t>
  </si>
  <si>
    <t>Sem2 BEN</t>
  </si>
  <si>
    <t>Sem2 FO</t>
  </si>
  <si>
    <t>Notes / Progress</t>
  </si>
  <si>
    <t>Year 2</t>
  </si>
  <si>
    <t>Alternate Core units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</si>
  <si>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</si>
  <si>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</si>
  <si>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</si>
  <si>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</si>
  <si>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Master of Project Management (Professional Stream)</t>
  </si>
  <si>
    <t>Semester 1 (February - June)</t>
  </si>
  <si>
    <t>Project Management</t>
  </si>
  <si>
    <t>MSc Bentley only</t>
  </si>
  <si>
    <t>Same seq as Sem1 commencing</t>
  </si>
  <si>
    <t>MPM (Bentley only)</t>
  </si>
  <si>
    <t>RangeUnitSets</t>
  </si>
  <si>
    <t>GC-PROJMSem1</t>
  </si>
  <si>
    <t>GC-PROJMSem2</t>
  </si>
  <si>
    <t>GD-PROJMSem1</t>
  </si>
  <si>
    <t>GD-PROJMSem2</t>
  </si>
  <si>
    <t>MC-PROJM / STRP-PROFLSem1</t>
  </si>
  <si>
    <t>MC-PROJM / STRP-RESCHSem1</t>
  </si>
  <si>
    <t>MC-PROJM / STRP-PROFLSem2</t>
  </si>
  <si>
    <t>MC-PROJM / STRP-RESCHSem2</t>
  </si>
  <si>
    <t>MC-PROJM2 / STRP-PROF2Sem1</t>
  </si>
  <si>
    <t>MC-PROJM2 / STRP-RSCH2Sem1</t>
  </si>
  <si>
    <t>MC-PROJM2 / STRP-PROF2Sem2</t>
  </si>
  <si>
    <t>MC-PROJM2 / STRP-RSCH2Sem2</t>
  </si>
  <si>
    <t>Y1Sem1</t>
  </si>
  <si>
    <t>PRJM6000</t>
  </si>
  <si>
    <t>Y1Sem2</t>
  </si>
  <si>
    <t>TableCourses1</t>
  </si>
  <si>
    <t>PRJM6001</t>
  </si>
  <si>
    <t>Choose your Project Management Course (drop-down list)</t>
  </si>
  <si>
    <t>SM Version</t>
  </si>
  <si>
    <t>SM Effective Date</t>
  </si>
  <si>
    <t>Akari Iteration</t>
  </si>
  <si>
    <t>Akari Effective Date</t>
  </si>
  <si>
    <t>Credit Points</t>
  </si>
  <si>
    <t>SM Availabilities</t>
  </si>
  <si>
    <t>PRJM6002</t>
  </si>
  <si>
    <t>PRJM6010</t>
  </si>
  <si>
    <t>Graduate Certificate in Project Management</t>
  </si>
  <si>
    <t>GC-PROJM</t>
  </si>
  <si>
    <t>v.1</t>
  </si>
  <si>
    <t xml:space="preserve">100 credit points required </t>
  </si>
  <si>
    <t>Sem1 &amp; Sem2 - INT, FO, Miri</t>
  </si>
  <si>
    <t>Elective</t>
  </si>
  <si>
    <t>Graduate Diploma in Project Management</t>
  </si>
  <si>
    <t>GD-PROJM</t>
  </si>
  <si>
    <t>v.3</t>
  </si>
  <si>
    <t xml:space="preserve">200 credit points required </t>
  </si>
  <si>
    <t>PRJM6003</t>
  </si>
  <si>
    <t>PRJM6005</t>
  </si>
  <si>
    <t>MC-PROJM / STRP-PROFL</t>
  </si>
  <si>
    <t>v.3 / v.2</t>
  </si>
  <si>
    <t>6 / 2</t>
  </si>
  <si>
    <t>300 credit points required</t>
  </si>
  <si>
    <t>PRJM6004</t>
  </si>
  <si>
    <t>Master of Science (Project Management) (Research Stream)</t>
  </si>
  <si>
    <t>MC-PROJM / STRP-RESCH</t>
  </si>
  <si>
    <t>URDE6006</t>
  </si>
  <si>
    <t>PRJM6025</t>
  </si>
  <si>
    <t>AltCore1</t>
  </si>
  <si>
    <t>TableCourses2</t>
  </si>
  <si>
    <t>Y2Sem1</t>
  </si>
  <si>
    <t>Y2Sem2</t>
  </si>
  <si>
    <t>Choose your Master of Project Management Stream (drop-down list)</t>
  </si>
  <si>
    <t>PRJM6012</t>
  </si>
  <si>
    <t>MC-PROJM2 / STRP-PROF2</t>
  </si>
  <si>
    <t>v.1 / v.2</t>
  </si>
  <si>
    <t>4 / 3</t>
  </si>
  <si>
    <t>400 credit points required</t>
  </si>
  <si>
    <t>PRJM6009</t>
  </si>
  <si>
    <t>AltCore2</t>
  </si>
  <si>
    <t>Master of Project Management (Research Stream)</t>
  </si>
  <si>
    <t>MC-PROJM2 / STRP-RSCH2</t>
  </si>
  <si>
    <t>-</t>
  </si>
  <si>
    <t>TableStudyPeriod</t>
  </si>
  <si>
    <t>Choose your commencing study period (drop-down list)</t>
  </si>
  <si>
    <t>START</t>
  </si>
  <si>
    <t>Next</t>
  </si>
  <si>
    <t>Sem1</t>
  </si>
  <si>
    <t>Sem2</t>
  </si>
  <si>
    <t>50CP Unit</t>
  </si>
  <si>
    <t>TableStreams</t>
  </si>
  <si>
    <t>Choose your Stream</t>
  </si>
  <si>
    <t>RangeAltCores</t>
  </si>
  <si>
    <t>Professional Stream (MSc Proj Mngmt)</t>
  </si>
  <si>
    <t>STRP-PROFL</t>
  </si>
  <si>
    <t>v.2</t>
  </si>
  <si>
    <t>--</t>
  </si>
  <si>
    <t>Research Stream (MSc Proj Mngmt)</t>
  </si>
  <si>
    <t>STRP-RESCH</t>
  </si>
  <si>
    <t>ACCT5021</t>
  </si>
  <si>
    <t>Professional Stream (Master Proj Mngmt)</t>
  </si>
  <si>
    <t>STRP-PROF2</t>
  </si>
  <si>
    <t>FNCE5008</t>
  </si>
  <si>
    <t>Research Stream (Master Proj Mngmt)</t>
  </si>
  <si>
    <t>STRP-RSCH2</t>
  </si>
  <si>
    <t>Title</t>
  </si>
  <si>
    <t>S1INT</t>
  </si>
  <si>
    <t>S1FO</t>
  </si>
  <si>
    <t>S2INT</t>
  </si>
  <si>
    <t>S2FO</t>
  </si>
  <si>
    <t>Notes</t>
  </si>
  <si>
    <t>MC-PROJM</t>
  </si>
  <si>
    <t>MC-PROJM2</t>
  </si>
  <si>
    <t>Please note this is a 50CP Unit</t>
  </si>
  <si>
    <t>Not relevant to this study sequence</t>
  </si>
  <si>
    <t>Accounting for Managers</t>
  </si>
  <si>
    <t>None</t>
  </si>
  <si>
    <t>Study either PRJM6025 OR URDE6006 (see below)</t>
  </si>
  <si>
    <t>See below</t>
  </si>
  <si>
    <t>Study either ACCT5021 OR FNCE5008 (see below)</t>
  </si>
  <si>
    <t>Study a Postgraduate level Elective Unit</t>
  </si>
  <si>
    <t>See Handbook</t>
  </si>
  <si>
    <t>Financial Principles and Analysis</t>
  </si>
  <si>
    <t>Project Management Overview</t>
  </si>
  <si>
    <t>Project Cost Management</t>
  </si>
  <si>
    <t>Project Planning and Schedule Management</t>
  </si>
  <si>
    <t>Project Risk Management</t>
  </si>
  <si>
    <t>Project Procurement Management</t>
  </si>
  <si>
    <t>Program and Portfolio Management</t>
  </si>
  <si>
    <t>Project Management Integrated Project</t>
  </si>
  <si>
    <t>Project and People</t>
  </si>
  <si>
    <t>Project Management Dissertation</t>
  </si>
  <si>
    <t>URDE6006 or PRJM6006</t>
  </si>
  <si>
    <t>Agile Management</t>
  </si>
  <si>
    <t>Design and Built Environment Research Methods</t>
  </si>
  <si>
    <t>Effective:</t>
  </si>
  <si>
    <t>Downloaded:</t>
  </si>
  <si>
    <t>Version</t>
  </si>
  <si>
    <t>OUA Code</t>
  </si>
  <si>
    <t>CPs</t>
  </si>
  <si>
    <t>No.</t>
  </si>
  <si>
    <t>Component Type</t>
  </si>
  <si>
    <t>Year Level</t>
  </si>
  <si>
    <t>Study Package Code</t>
  </si>
  <si>
    <t>Structure Line</t>
  </si>
  <si>
    <t>Effective</t>
  </si>
  <si>
    <t>Discont.</t>
  </si>
  <si>
    <t>SPK</t>
  </si>
  <si>
    <t>Core</t>
  </si>
  <si>
    <t>Semester 1</t>
  </si>
  <si>
    <t>Semester 2</t>
  </si>
  <si>
    <t>AltCore</t>
  </si>
  <si>
    <t>Choose PRJM6025 or URDE6006</t>
  </si>
  <si>
    <t>Master of Science (Project Management)</t>
  </si>
  <si>
    <t>NA</t>
  </si>
  <si>
    <t>Stream</t>
  </si>
  <si>
    <t>Choose a Stream</t>
  </si>
  <si>
    <t>Choose Electives</t>
  </si>
  <si>
    <t>Master of Project Management</t>
  </si>
  <si>
    <t>Choose an Elective</t>
  </si>
  <si>
    <t>Choose ACCT5021 or FNCE5008</t>
  </si>
  <si>
    <t/>
  </si>
  <si>
    <t>Downloaded 2024:</t>
  </si>
  <si>
    <t>Row Labels</t>
  </si>
  <si>
    <t>Sem1 &amp; Sem2 - INT only</t>
  </si>
  <si>
    <t>AC-PROJM</t>
  </si>
  <si>
    <t>Option</t>
  </si>
  <si>
    <t>Choose an Elective for Year 1 Semester 1</t>
  </si>
  <si>
    <t>Choose an Elective for Year 1 Semester 2</t>
  </si>
  <si>
    <t>Choose an Elective for Year 2 Semester 1</t>
  </si>
  <si>
    <t>Choose an Elective for Year 2 Semester 2</t>
  </si>
  <si>
    <t>AC-PROJM2</t>
  </si>
  <si>
    <t>Sem1 Internal</t>
  </si>
  <si>
    <t>Sem1 Online</t>
  </si>
  <si>
    <t>Sem2 Internal</t>
  </si>
  <si>
    <t>Sem2 Online</t>
  </si>
  <si>
    <t>1)      Update high level course / component &amp; study period details (Unitsets Tab)</t>
  </si>
  <si>
    <t>2)      Update Planner page(s) to reference year of planner e.g. “2025” (Planner Tab)</t>
  </si>
  <si>
    <t>3)      Update structures (Structures Tab)</t>
  </si>
  <si>
    <t>4)      Update Handbook unit list from updated structures (Handbook Tab)</t>
  </si>
  <si>
    <t>5)      Update Availabilities using updated Handbook unit list (Availabilities Tab)</t>
  </si>
  <si>
    <t>6)      Update Pre Requisites (Handbook Tab)</t>
  </si>
  <si>
    <t>7)      Update sequences for courses / components (Unitsets Tab)</t>
  </si>
  <si>
    <t>8)      Review Handbook Tab for obvious issues / errors and enter notes (Handbook Tab)</t>
  </si>
  <si>
    <t>9)      Review Planner Tab(s) for obvious issues / errors (Planner Tab)</t>
  </si>
  <si>
    <t>50CP</t>
  </si>
  <si>
    <t>Pre Req - new for 2025</t>
  </si>
  <si>
    <t>150CP</t>
  </si>
  <si>
    <t>Pre-reqs (10/10/2024)</t>
  </si>
  <si>
    <t>Ready to Publish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</si>
</sst>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2"/>
      <color rgb="FF00000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b/>
      <sz val="9"/>
      <color rgb="FF000000"/>
      <name val="Arial"/>
      <family val="2"/>
    </font>
    <font>
      <i/>
      <sz val="10"/>
      <color rgb="FFA6A6A6"/>
      <name val="Arial"/>
      <family val="2"/>
    </font>
    <font>
      <sz val="12"/>
      <color rgb="FF000000"/>
      <name val="Calibri"/>
      <family val="2"/>
      <scheme val="minor"/>
    </font>
    <font>
      <b/>
      <sz val="10"/>
      <color theme="1"/>
      <name val="Segoe UI"/>
      <family val="2"/>
    </font>
    <font>
      <b/>
      <i/>
      <sz val="12"/>
      <color rgb="FFC00000"/>
      <name val="Calibri"/>
      <family val="2"/>
      <scheme val="minor"/>
    </font>
    <font>
      <b/>
      <sz val="18"/>
      <color theme="1"/>
      <name val="Segoe UI"/>
      <family val="2"/>
    </font>
    <font>
      <sz val="12"/>
      <name val="Calibri"/>
      <family val="2"/>
      <scheme val="minor"/>
    </font>
    <font>
      <b/>
      <sz val="11"/>
      <name val="Segoe UI"/>
      <family val="2"/>
    </font>
    <font>
      <sz val="9"/>
      <color rgb="FFFF0000"/>
      <name val="Segoe UI"/>
      <family val="2"/>
    </font>
    <font>
      <b/>
      <sz val="11"/>
      <color theme="0" tint="-0.14999847407452621"/>
      <name val="Segoe UI"/>
      <family val="2"/>
    </font>
    <font>
      <b/>
      <sz val="16"/>
      <color theme="1"/>
      <name val="Segoe UI"/>
      <family val="2"/>
    </font>
    <font>
      <sz val="10"/>
      <color rgb="FFFF0000"/>
      <name val="Arial"/>
      <family val="2"/>
    </font>
    <font>
      <sz val="10"/>
      <color theme="5"/>
      <name val="Arial"/>
      <family val="2"/>
    </font>
    <font>
      <sz val="10"/>
      <color theme="1"/>
      <name val="Calibri"/>
      <family val="2"/>
      <scheme val="minor"/>
    </font>
    <font>
      <sz val="11"/>
      <color rgb="FF006100"/>
      <name val="Calibri"/>
      <family val="2"/>
      <scheme val="minor"/>
    </font>
    <font>
      <sz val="10"/>
      <color rgb="FF00B050"/>
      <name val="Arial"/>
      <family val="2"/>
    </font>
    <font>
      <b/>
      <i/>
      <sz val="12"/>
      <color rgb="FF00B050"/>
      <name val="Calibri"/>
      <family val="2"/>
      <scheme val="minor"/>
    </font>
    <font>
      <sz val="12"/>
      <color rgb="FF00B05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rgb="FFC6EFCE"/>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s>
  <cellStyleXfs count="4">
    <xf numFmtId="0" fontId="0" fillId="0" borderId="0"/>
    <xf numFmtId="0" fontId="1" fillId="0" borderId="0"/>
    <xf numFmtId="0" fontId="25" fillId="0" borderId="0" applyNumberFormat="0" applyFill="0" applyBorder="0" applyAlignment="0" applyProtection="0"/>
    <xf numFmtId="0" fontId="54" fillId="13" borderId="0" applyNumberFormat="0" applyBorder="0" applyAlignment="0" applyProtection="0"/>
  </cellStyleXfs>
  <cellXfs count="284">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9"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1" fillId="0" borderId="0" xfId="0" applyFont="1"/>
    <xf numFmtId="0" fontId="3" fillId="0" borderId="0" xfId="0" applyFont="1"/>
    <xf numFmtId="0" fontId="14" fillId="0" borderId="0" xfId="0" applyFont="1"/>
    <xf numFmtId="0" fontId="12" fillId="0" borderId="0" xfId="0" applyFont="1"/>
    <xf numFmtId="0" fontId="10" fillId="0" borderId="0" xfId="0" applyFont="1" applyAlignment="1">
      <alignment horizontal="center" vertical="center"/>
    </xf>
    <xf numFmtId="14" fontId="9" fillId="0" borderId="0" xfId="0" applyNumberFormat="1" applyFont="1"/>
    <xf numFmtId="0" fontId="16" fillId="0" borderId="12" xfId="1" applyFont="1" applyBorder="1" applyAlignment="1">
      <alignment horizontal="center"/>
    </xf>
    <xf numFmtId="0" fontId="16" fillId="0" borderId="13" xfId="1" applyFont="1" applyBorder="1" applyAlignment="1">
      <alignment horizontal="center"/>
    </xf>
    <xf numFmtId="0" fontId="16" fillId="0" borderId="13" xfId="1" applyFont="1" applyBorder="1"/>
    <xf numFmtId="0" fontId="16" fillId="0" borderId="14" xfId="1" applyFont="1" applyBorder="1"/>
    <xf numFmtId="0" fontId="1" fillId="0" borderId="0" xfId="1"/>
    <xf numFmtId="0" fontId="1" fillId="0" borderId="0" xfId="1" applyAlignment="1">
      <alignment horizontal="center"/>
    </xf>
    <xf numFmtId="0" fontId="1" fillId="0" borderId="0" xfId="1" applyProtection="1">
      <protection locked="0"/>
    </xf>
    <xf numFmtId="0" fontId="22" fillId="2" borderId="0" xfId="1" applyFont="1" applyFill="1" applyAlignment="1">
      <alignment vertical="center"/>
    </xf>
    <xf numFmtId="0" fontId="22" fillId="2" borderId="0" xfId="1" applyFont="1" applyFill="1" applyAlignment="1">
      <alignment wrapText="1"/>
    </xf>
    <xf numFmtId="0" fontId="22" fillId="2" borderId="0" xfId="1" applyFont="1" applyFill="1"/>
    <xf numFmtId="0" fontId="29" fillId="2" borderId="0" xfId="1" applyFont="1" applyFill="1"/>
    <xf numFmtId="0" fontId="11" fillId="2" borderId="0" xfId="1" applyFont="1" applyFill="1"/>
    <xf numFmtId="0" fontId="1" fillId="0" borderId="0" xfId="1" applyAlignment="1">
      <alignment horizontal="center" vertical="top"/>
    </xf>
    <xf numFmtId="0" fontId="16" fillId="0" borderId="0" xfId="0" applyFont="1" applyAlignment="1">
      <alignment horizontal="center"/>
    </xf>
    <xf numFmtId="0" fontId="15" fillId="0" borderId="0" xfId="0" applyFont="1"/>
    <xf numFmtId="0" fontId="2" fillId="0" borderId="0" xfId="0" applyFont="1"/>
    <xf numFmtId="0" fontId="35" fillId="0" borderId="0" xfId="0" applyFont="1" applyAlignment="1">
      <alignment horizontal="left"/>
    </xf>
    <xf numFmtId="0" fontId="19" fillId="2" borderId="21" xfId="1" applyFont="1" applyFill="1" applyBorder="1" applyAlignment="1" applyProtection="1">
      <alignment horizontal="center" vertical="center" wrapText="1"/>
      <protection locked="0"/>
    </xf>
    <xf numFmtId="0" fontId="19" fillId="0" borderId="21" xfId="1" applyFont="1" applyBorder="1" applyAlignment="1" applyProtection="1">
      <alignment horizontal="center" vertical="center" wrapText="1"/>
      <protection locked="0"/>
    </xf>
    <xf numFmtId="14" fontId="0" fillId="0" borderId="0" xfId="0" applyNumberFormat="1"/>
    <xf numFmtId="0" fontId="5" fillId="0" borderId="0" xfId="0" applyFont="1" applyAlignment="1">
      <alignment horizontal="left"/>
    </xf>
    <xf numFmtId="0" fontId="40" fillId="0" borderId="0" xfId="0" applyFont="1" applyAlignment="1">
      <alignment horizontal="left"/>
    </xf>
    <xf numFmtId="0" fontId="40" fillId="0" borderId="0" xfId="0" applyFont="1"/>
    <xf numFmtId="0" fontId="41" fillId="0" borderId="0" xfId="0" applyFont="1" applyAlignment="1">
      <alignment horizontal="right"/>
    </xf>
    <xf numFmtId="0" fontId="42" fillId="0" borderId="0" xfId="0" applyFont="1"/>
    <xf numFmtId="0" fontId="0" fillId="0" borderId="25" xfId="0" applyBorder="1" applyAlignment="1">
      <alignment horizontal="center"/>
    </xf>
    <xf numFmtId="0" fontId="0" fillId="0" borderId="0" xfId="0" applyAlignment="1">
      <alignment horizontal="left"/>
    </xf>
    <xf numFmtId="0" fontId="44" fillId="0" borderId="0" xfId="0" applyFont="1"/>
    <xf numFmtId="0" fontId="44" fillId="0" borderId="0" xfId="0" applyFont="1" applyAlignment="1">
      <alignment horizontal="right"/>
    </xf>
    <xf numFmtId="0" fontId="41" fillId="0" borderId="0" xfId="0" applyFont="1" applyAlignment="1">
      <alignment horizontal="left"/>
    </xf>
    <xf numFmtId="0" fontId="26" fillId="8" borderId="0" xfId="2" applyFont="1" applyFill="1" applyAlignment="1" applyProtection="1">
      <alignment vertical="center"/>
    </xf>
    <xf numFmtId="0" fontId="25" fillId="8" borderId="0" xfId="2" applyFill="1" applyAlignment="1" applyProtection="1">
      <alignment vertical="center"/>
    </xf>
    <xf numFmtId="0" fontId="43" fillId="2" borderId="0" xfId="1" applyFont="1" applyFill="1" applyAlignment="1" applyProtection="1">
      <alignment vertical="center"/>
      <protection locked="0"/>
    </xf>
    <xf numFmtId="0" fontId="0" fillId="9" borderId="0" xfId="0" applyFill="1"/>
    <xf numFmtId="14" fontId="46" fillId="0" borderId="0" xfId="0" applyNumberFormat="1" applyFont="1"/>
    <xf numFmtId="0" fontId="16" fillId="0" borderId="0" xfId="1" applyFont="1" applyAlignment="1">
      <alignment horizontal="center"/>
    </xf>
    <xf numFmtId="0" fontId="8" fillId="0" borderId="0" xfId="1" applyFont="1" applyAlignment="1">
      <alignment horizontal="center" vertical="center"/>
    </xf>
    <xf numFmtId="0" fontId="19" fillId="12" borderId="18" xfId="1" applyFont="1" applyFill="1" applyBorder="1" applyAlignment="1" applyProtection="1">
      <alignment horizontal="center" vertical="center" wrapText="1"/>
      <protection locked="0"/>
    </xf>
    <xf numFmtId="0" fontId="47" fillId="2" borderId="0" xfId="1" applyFont="1" applyFill="1" applyAlignment="1" applyProtection="1">
      <alignment vertical="center"/>
      <protection locked="0"/>
    </xf>
    <xf numFmtId="14" fontId="0" fillId="9" borderId="0" xfId="0" applyNumberFormat="1" applyFill="1"/>
    <xf numFmtId="0" fontId="46" fillId="0" borderId="0" xfId="0" applyFont="1" applyAlignment="1">
      <alignment horizontal="right"/>
    </xf>
    <xf numFmtId="0" fontId="36" fillId="11" borderId="0" xfId="1" applyFont="1" applyFill="1" applyAlignment="1">
      <alignment vertical="center" wrapText="1"/>
    </xf>
    <xf numFmtId="0" fontId="18" fillId="2" borderId="0" xfId="1" applyFont="1" applyFill="1" applyAlignment="1">
      <alignment horizontal="right" vertical="center" indent="1"/>
    </xf>
    <xf numFmtId="0" fontId="19" fillId="2" borderId="0" xfId="1" applyFont="1" applyFill="1" applyAlignment="1">
      <alignment horizontal="right" vertical="center" indent="1"/>
    </xf>
    <xf numFmtId="0" fontId="18" fillId="2" borderId="0" xfId="1" applyFont="1" applyFill="1" applyAlignment="1">
      <alignment vertical="center"/>
    </xf>
    <xf numFmtId="14" fontId="19" fillId="2" borderId="0" xfId="1" applyNumberFormat="1" applyFont="1" applyFill="1" applyAlignment="1">
      <alignment vertical="center"/>
    </xf>
    <xf numFmtId="0" fontId="18" fillId="2" borderId="0" xfId="1" applyFont="1" applyFill="1" applyAlignment="1">
      <alignment horizontal="left" vertical="center"/>
    </xf>
    <xf numFmtId="0" fontId="18" fillId="2" borderId="0" xfId="1" applyFont="1" applyFill="1" applyAlignment="1">
      <alignment horizontal="left" vertical="center" indent="1"/>
    </xf>
    <xf numFmtId="0" fontId="19" fillId="2" borderId="0" xfId="1" applyFont="1" applyFill="1" applyAlignment="1">
      <alignment horizontal="left" vertical="center" wrapText="1"/>
    </xf>
    <xf numFmtId="0" fontId="19" fillId="0" borderId="0" xfId="1" applyFont="1" applyAlignment="1">
      <alignment vertical="top" wrapText="1"/>
    </xf>
    <xf numFmtId="0" fontId="20" fillId="11" borderId="0" xfId="1" applyFont="1" applyFill="1" applyAlignment="1">
      <alignment horizontal="center" vertical="center"/>
    </xf>
    <xf numFmtId="0" fontId="20" fillId="11" borderId="0" xfId="1" applyFont="1" applyFill="1" applyAlignment="1">
      <alignment horizontal="left" vertical="center" indent="1"/>
    </xf>
    <xf numFmtId="0" fontId="20" fillId="11" borderId="0" xfId="1" applyFont="1" applyFill="1" applyAlignment="1">
      <alignment vertical="center"/>
    </xf>
    <xf numFmtId="0" fontId="20" fillId="11" borderId="22" xfId="1" applyFont="1" applyFill="1" applyBorder="1" applyAlignment="1">
      <alignment horizontal="left" vertical="center"/>
    </xf>
    <xf numFmtId="0" fontId="20" fillId="11" borderId="0" xfId="1" applyFont="1" applyFill="1" applyAlignment="1">
      <alignment horizontal="left" vertical="center"/>
    </xf>
    <xf numFmtId="0" fontId="20" fillId="11" borderId="18" xfId="1" applyFont="1" applyFill="1" applyBorder="1" applyAlignment="1">
      <alignment horizontal="left" vertical="center"/>
    </xf>
    <xf numFmtId="0" fontId="21" fillId="2" borderId="0" xfId="1" applyFont="1" applyFill="1" applyAlignment="1">
      <alignment vertical="center"/>
    </xf>
    <xf numFmtId="0" fontId="20" fillId="11" borderId="0" xfId="1" applyFont="1" applyFill="1" applyAlignment="1">
      <alignment horizontal="center" vertical="center" wrapText="1"/>
    </xf>
    <xf numFmtId="0" fontId="20" fillId="11" borderId="22" xfId="1" applyFont="1" applyFill="1" applyBorder="1" applyAlignment="1">
      <alignment horizontal="center" vertical="center" wrapText="1"/>
    </xf>
    <xf numFmtId="0" fontId="20" fillId="11" borderId="18" xfId="1" applyFont="1" applyFill="1" applyBorder="1" applyAlignment="1">
      <alignment horizontal="center" vertical="center" wrapText="1"/>
    </xf>
    <xf numFmtId="0" fontId="19" fillId="2" borderId="19" xfId="1" applyFont="1" applyFill="1" applyBorder="1" applyAlignment="1">
      <alignment horizontal="center" vertical="center" wrapText="1"/>
    </xf>
    <xf numFmtId="0" fontId="19" fillId="2" borderId="20" xfId="1" applyFont="1" applyFill="1" applyBorder="1" applyAlignment="1">
      <alignment horizontal="center" vertical="center" wrapText="1"/>
    </xf>
    <xf numFmtId="0" fontId="19" fillId="2" borderId="20" xfId="1" applyFont="1" applyFill="1" applyBorder="1" applyAlignment="1">
      <alignment vertical="center" wrapText="1"/>
    </xf>
    <xf numFmtId="0" fontId="22" fillId="2" borderId="20" xfId="1" applyFont="1" applyFill="1" applyBorder="1" applyAlignment="1">
      <alignment horizontal="center" vertical="center" wrapText="1"/>
    </xf>
    <xf numFmtId="0" fontId="19" fillId="2" borderId="23" xfId="1" applyFont="1" applyFill="1" applyBorder="1" applyAlignment="1">
      <alignment horizontal="center" vertical="center" wrapText="1"/>
    </xf>
    <xf numFmtId="0" fontId="19" fillId="2" borderId="24" xfId="1" applyFont="1" applyFill="1" applyBorder="1" applyAlignment="1">
      <alignment horizontal="center" vertical="center" wrapText="1"/>
    </xf>
    <xf numFmtId="0" fontId="23" fillId="0" borderId="0" xfId="1" applyFont="1" applyAlignment="1">
      <alignment horizontal="center" vertical="center" wrapText="1"/>
    </xf>
    <xf numFmtId="0" fontId="21" fillId="2" borderId="0" xfId="1" applyFont="1" applyFill="1" applyAlignment="1">
      <alignment wrapText="1"/>
    </xf>
    <xf numFmtId="0" fontId="19" fillId="12" borderId="14" xfId="1" applyFont="1" applyFill="1" applyBorder="1" applyAlignment="1">
      <alignment horizontal="center" vertical="center" wrapText="1"/>
    </xf>
    <xf numFmtId="0" fontId="19" fillId="12" borderId="0" xfId="1" applyFont="1" applyFill="1" applyAlignment="1">
      <alignment horizontal="center" vertical="center" wrapText="1"/>
    </xf>
    <xf numFmtId="0" fontId="19" fillId="12" borderId="0" xfId="1" applyFont="1" applyFill="1" applyAlignment="1">
      <alignment vertical="center" wrapText="1"/>
    </xf>
    <xf numFmtId="0" fontId="22" fillId="12" borderId="0" xfId="1" applyFont="1" applyFill="1" applyAlignment="1">
      <alignment horizontal="left" vertical="center" wrapText="1"/>
    </xf>
    <xf numFmtId="0" fontId="19" fillId="12" borderId="22" xfId="1" applyFont="1" applyFill="1" applyBorder="1" applyAlignment="1">
      <alignment horizontal="center" vertical="center" wrapText="1"/>
    </xf>
    <xf numFmtId="0" fontId="19" fillId="12" borderId="18" xfId="1" applyFont="1" applyFill="1" applyBorder="1" applyAlignment="1">
      <alignment horizontal="center" vertical="center" wrapText="1"/>
    </xf>
    <xf numFmtId="0" fontId="19" fillId="0" borderId="20"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24" xfId="1" applyFont="1" applyBorder="1" applyAlignment="1">
      <alignment horizontal="center" vertical="center" wrapText="1"/>
    </xf>
    <xf numFmtId="0" fontId="21" fillId="2" borderId="0" xfId="1" applyFont="1" applyFill="1"/>
    <xf numFmtId="0" fontId="19" fillId="0" borderId="20" xfId="1" applyFont="1" applyBorder="1" applyAlignment="1">
      <alignment horizontal="left" vertical="center"/>
    </xf>
    <xf numFmtId="0" fontId="21" fillId="2" borderId="0" xfId="1" applyFont="1" applyFill="1" applyAlignment="1">
      <alignment horizontal="center" vertical="center"/>
    </xf>
    <xf numFmtId="0" fontId="19" fillId="0" borderId="20" xfId="1" applyFont="1" applyBorder="1" applyAlignment="1">
      <alignment vertical="center" wrapText="1"/>
    </xf>
    <xf numFmtId="0" fontId="30" fillId="2" borderId="0" xfId="1" applyFont="1" applyFill="1" applyAlignment="1">
      <alignment horizontal="center" vertical="center" wrapText="1"/>
    </xf>
    <xf numFmtId="0" fontId="30" fillId="2" borderId="0" xfId="1" applyFont="1" applyFill="1" applyAlignment="1">
      <alignment horizontal="left" vertical="center" wrapText="1"/>
    </xf>
    <xf numFmtId="0" fontId="31" fillId="2" borderId="0" xfId="1" applyFont="1" applyFill="1" applyAlignment="1">
      <alignment horizontal="left" vertical="center" wrapText="1"/>
    </xf>
    <xf numFmtId="0" fontId="32" fillId="2" borderId="0" xfId="1" applyFont="1" applyFill="1" applyAlignment="1">
      <alignment vertical="center"/>
    </xf>
    <xf numFmtId="0" fontId="33" fillId="2" borderId="0" xfId="1" applyFont="1" applyFill="1" applyAlignment="1">
      <alignment horizontal="center" vertical="center"/>
    </xf>
    <xf numFmtId="0" fontId="33" fillId="2" borderId="0" xfId="1" applyFont="1" applyFill="1"/>
    <xf numFmtId="0" fontId="38" fillId="11" borderId="0" xfId="1" applyFont="1" applyFill="1" applyAlignment="1">
      <alignment horizontal="left" vertical="center"/>
    </xf>
    <xf numFmtId="0" fontId="1" fillId="0" borderId="0" xfId="1" applyAlignment="1">
      <alignment horizontal="center" vertical="center"/>
    </xf>
    <xf numFmtId="0" fontId="34" fillId="0" borderId="19" xfId="1" applyFont="1" applyBorder="1" applyAlignment="1">
      <alignment horizontal="left" vertical="center"/>
    </xf>
    <xf numFmtId="0" fontId="34" fillId="0" borderId="20" xfId="1" applyFont="1" applyBorder="1" applyAlignment="1">
      <alignment horizontal="left" vertical="center"/>
    </xf>
    <xf numFmtId="0" fontId="34" fillId="0" borderId="20" xfId="1" applyFont="1" applyBorder="1" applyAlignment="1">
      <alignment vertical="center"/>
    </xf>
    <xf numFmtId="0" fontId="34" fillId="0" borderId="20" xfId="1" applyFont="1" applyBorder="1" applyAlignment="1">
      <alignment horizontal="center" vertical="center" wrapText="1"/>
    </xf>
    <xf numFmtId="0" fontId="28" fillId="2" borderId="0" xfId="1" applyFont="1" applyFill="1"/>
    <xf numFmtId="0" fontId="30" fillId="2" borderId="0" xfId="1" applyFont="1" applyFill="1" applyAlignment="1">
      <alignment vertical="center"/>
    </xf>
    <xf numFmtId="0" fontId="11" fillId="2" borderId="0" xfId="1" applyFont="1" applyFill="1" applyAlignment="1">
      <alignment vertical="center"/>
    </xf>
    <xf numFmtId="0" fontId="32" fillId="2" borderId="0" xfId="1" applyFont="1" applyFill="1" applyAlignment="1">
      <alignment horizontal="right" vertical="center"/>
    </xf>
    <xf numFmtId="0" fontId="49" fillId="12" borderId="17" xfId="1" applyFont="1" applyFill="1" applyBorder="1" applyAlignment="1">
      <alignment horizontal="right" vertical="center"/>
    </xf>
    <xf numFmtId="0" fontId="0" fillId="0" borderId="0" xfId="0" applyAlignment="1">
      <alignment horizontal="left" textRotation="90"/>
    </xf>
    <xf numFmtId="0" fontId="0" fillId="5" borderId="0" xfId="0" applyFill="1"/>
    <xf numFmtId="0" fontId="0" fillId="4" borderId="0" xfId="0" applyFill="1" applyAlignment="1">
      <alignment horizontal="center"/>
    </xf>
    <xf numFmtId="0" fontId="0" fillId="6" borderId="26" xfId="0" applyFill="1" applyBorder="1" applyAlignment="1">
      <alignment horizontal="center"/>
    </xf>
    <xf numFmtId="0" fontId="0" fillId="6" borderId="27" xfId="0" applyFill="1" applyBorder="1" applyAlignment="1">
      <alignment horizontal="center"/>
    </xf>
    <xf numFmtId="0" fontId="0" fillId="6" borderId="0" xfId="0" applyFill="1" applyAlignment="1">
      <alignment horizontal="center"/>
    </xf>
    <xf numFmtId="0" fontId="0" fillId="6" borderId="28" xfId="0" applyFill="1" applyBorder="1" applyAlignment="1">
      <alignment horizontal="center"/>
    </xf>
    <xf numFmtId="0" fontId="5" fillId="6" borderId="1" xfId="0" applyFont="1" applyFill="1" applyBorder="1"/>
    <xf numFmtId="0" fontId="5" fillId="6" borderId="3" xfId="0" applyFont="1" applyFill="1" applyBorder="1" applyAlignment="1">
      <alignment horizontal="right" vertical="center"/>
    </xf>
    <xf numFmtId="0" fontId="5" fillId="7" borderId="1" xfId="0" applyFont="1" applyFill="1" applyBorder="1" applyAlignment="1">
      <alignment horizontal="center" vertical="center"/>
    </xf>
    <xf numFmtId="0" fontId="5" fillId="7" borderId="2" xfId="0" applyFont="1" applyFill="1" applyBorder="1" applyAlignment="1">
      <alignment horizontal="right" vertical="center"/>
    </xf>
    <xf numFmtId="0" fontId="5" fillId="6" borderId="2" xfId="0" applyFont="1" applyFill="1" applyBorder="1" applyAlignment="1">
      <alignment horizontal="right" vertical="center"/>
    </xf>
    <xf numFmtId="0" fontId="5" fillId="7" borderId="3" xfId="0" applyFont="1" applyFill="1" applyBorder="1" applyAlignment="1">
      <alignment horizontal="center" vertical="center"/>
    </xf>
    <xf numFmtId="0" fontId="5" fillId="6" borderId="4" xfId="0" applyFont="1" applyFill="1" applyBorder="1"/>
    <xf numFmtId="0" fontId="5" fillId="6" borderId="6" xfId="0" applyFont="1" applyFill="1" applyBorder="1" applyAlignment="1">
      <alignment horizontal="right" vertical="center" wrapText="1"/>
    </xf>
    <xf numFmtId="0" fontId="5" fillId="7" borderId="5" xfId="0" applyFont="1" applyFill="1" applyBorder="1" applyAlignment="1">
      <alignment horizontal="right" vertical="center"/>
    </xf>
    <xf numFmtId="0" fontId="5" fillId="7" borderId="6" xfId="0" applyFont="1" applyFill="1" applyBorder="1" applyAlignment="1">
      <alignment horizontal="right" vertical="center" wrapText="1"/>
    </xf>
    <xf numFmtId="0" fontId="5" fillId="7" borderId="5" xfId="0" applyFont="1" applyFill="1" applyBorder="1" applyAlignment="1">
      <alignment horizontal="right" vertical="center" wrapText="1"/>
    </xf>
    <xf numFmtId="0" fontId="5" fillId="6" borderId="1" xfId="0" applyFont="1" applyFill="1" applyBorder="1" applyAlignment="1">
      <alignment horizontal="right" vertical="center"/>
    </xf>
    <xf numFmtId="0" fontId="5" fillId="6" borderId="3" xfId="0" applyFont="1" applyFill="1" applyBorder="1" applyAlignment="1">
      <alignment horizontal="right" vertical="center" wrapText="1"/>
    </xf>
    <xf numFmtId="0" fontId="5" fillId="6" borderId="2" xfId="0" applyFont="1" applyFill="1" applyBorder="1" applyAlignment="1">
      <alignment horizontal="right" vertical="center" wrapText="1"/>
    </xf>
    <xf numFmtId="0" fontId="5" fillId="7" borderId="3" xfId="0" applyFont="1" applyFill="1" applyBorder="1" applyAlignment="1">
      <alignment horizontal="right" vertical="center"/>
    </xf>
    <xf numFmtId="0" fontId="5" fillId="7" borderId="2" xfId="0" applyFont="1" applyFill="1" applyBorder="1" applyAlignment="1">
      <alignment horizontal="right" vertical="center" wrapText="1"/>
    </xf>
    <xf numFmtId="0" fontId="7"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51" fillId="0" borderId="8" xfId="0" applyFont="1" applyBorder="1" applyAlignment="1">
      <alignment horizontal="center" vertical="center"/>
    </xf>
    <xf numFmtId="0" fontId="52" fillId="0" borderId="8"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52" fillId="0" borderId="0" xfId="0" applyFont="1" applyAlignment="1">
      <alignment horizontal="center" vertical="center"/>
    </xf>
    <xf numFmtId="0" fontId="53" fillId="0" borderId="0" xfId="0" applyFont="1"/>
    <xf numFmtId="0" fontId="6" fillId="3" borderId="8" xfId="0" applyFont="1" applyFill="1" applyBorder="1" applyAlignment="1">
      <alignment horizontal="center" vertical="center"/>
    </xf>
    <xf numFmtId="0" fontId="7" fillId="3" borderId="8" xfId="0" applyFont="1" applyFill="1" applyBorder="1" applyAlignment="1">
      <alignment horizontal="center" vertical="center"/>
    </xf>
    <xf numFmtId="0" fontId="6" fillId="0" borderId="10" xfId="0" applyFont="1" applyBorder="1" applyAlignment="1">
      <alignment horizontal="center" vertical="center"/>
    </xf>
    <xf numFmtId="0" fontId="7" fillId="3" borderId="9" xfId="0" applyFont="1" applyFill="1" applyBorder="1" applyAlignment="1">
      <alignment horizontal="center" vertical="center"/>
    </xf>
    <xf numFmtId="0" fontId="6" fillId="3" borderId="9" xfId="0" applyFont="1" applyFill="1" applyBorder="1" applyAlignment="1">
      <alignment horizontal="center" vertical="center"/>
    </xf>
    <xf numFmtId="0" fontId="6" fillId="0" borderId="11" xfId="0" applyFont="1" applyBorder="1" applyAlignment="1">
      <alignment horizontal="center" vertical="center"/>
    </xf>
    <xf numFmtId="0" fontId="53" fillId="0" borderId="11" xfId="0" applyFont="1" applyBorder="1"/>
    <xf numFmtId="0" fontId="9" fillId="0" borderId="0" xfId="0" applyFont="1" applyAlignment="1">
      <alignment horizontal="center" vertical="center"/>
    </xf>
    <xf numFmtId="0" fontId="5" fillId="0" borderId="0" xfId="0" applyFont="1" applyAlignment="1">
      <alignment horizontal="left" vertical="center"/>
    </xf>
    <xf numFmtId="0" fontId="7" fillId="3" borderId="0" xfId="0" applyFont="1" applyFill="1" applyAlignment="1">
      <alignment horizontal="center" vertical="center"/>
    </xf>
    <xf numFmtId="0" fontId="51" fillId="0" borderId="0" xfId="0" applyFont="1" applyAlignment="1">
      <alignment horizontal="center" vertical="center"/>
    </xf>
    <xf numFmtId="0" fontId="51" fillId="0" borderId="0" xfId="0" applyFont="1" applyAlignment="1">
      <alignment horizontal="left" vertical="center"/>
    </xf>
    <xf numFmtId="0" fontId="5" fillId="6" borderId="4" xfId="0" applyFont="1" applyFill="1" applyBorder="1" applyAlignment="1">
      <alignment wrapText="1"/>
    </xf>
    <xf numFmtId="0" fontId="5" fillId="7" borderId="4" xfId="0" applyFont="1" applyFill="1" applyBorder="1" applyAlignment="1">
      <alignment horizontal="right" vertical="center" wrapText="1"/>
    </xf>
    <xf numFmtId="0" fontId="5" fillId="6" borderId="1" xfId="0" applyFont="1" applyFill="1" applyBorder="1" applyAlignment="1">
      <alignment horizontal="right" vertical="center" wrapText="1"/>
    </xf>
    <xf numFmtId="0" fontId="5" fillId="7" borderId="1" xfId="0" applyFont="1" applyFill="1" applyBorder="1" applyAlignment="1">
      <alignment horizontal="right" vertical="center" wrapText="1"/>
    </xf>
    <xf numFmtId="0" fontId="6" fillId="0" borderId="6" xfId="0" quotePrefix="1" applyFont="1" applyBorder="1" applyAlignment="1">
      <alignment horizontal="center" vertical="center"/>
    </xf>
    <xf numFmtId="14" fontId="54" fillId="13" borderId="0" xfId="3" applyNumberFormat="1" applyAlignment="1">
      <alignment horizontal="center"/>
    </xf>
    <xf numFmtId="0" fontId="55" fillId="0" borderId="0" xfId="0" applyFont="1" applyAlignment="1">
      <alignment horizontal="center"/>
    </xf>
    <xf numFmtId="14" fontId="55" fillId="0" borderId="0" xfId="0" applyNumberFormat="1" applyFont="1" applyAlignment="1">
      <alignment horizontal="center"/>
    </xf>
    <xf numFmtId="16" fontId="55" fillId="0" borderId="0" xfId="0" quotePrefix="1" applyNumberFormat="1" applyFont="1" applyAlignment="1">
      <alignment horizontal="center"/>
    </xf>
    <xf numFmtId="0" fontId="55" fillId="0" borderId="0" xfId="0" quotePrefix="1" applyFont="1" applyAlignment="1">
      <alignment horizontal="center"/>
    </xf>
    <xf numFmtId="0" fontId="55" fillId="0" borderId="0" xfId="0" applyFont="1"/>
    <xf numFmtId="0" fontId="55" fillId="0" borderId="0" xfId="0" applyFont="1" applyAlignment="1">
      <alignment horizontal="left"/>
    </xf>
    <xf numFmtId="0" fontId="7" fillId="10" borderId="0" xfId="0" applyFont="1" applyFill="1"/>
    <xf numFmtId="14" fontId="56" fillId="0" borderId="0" xfId="0" applyNumberFormat="1" applyFont="1"/>
    <xf numFmtId="0" fontId="56" fillId="0" borderId="0" xfId="0" applyFont="1"/>
    <xf numFmtId="0" fontId="56" fillId="0" borderId="0" xfId="0" applyFont="1" applyAlignment="1">
      <alignment horizontal="center"/>
    </xf>
    <xf numFmtId="0" fontId="57" fillId="5" borderId="0" xfId="0" applyFont="1" applyFill="1"/>
    <xf numFmtId="0" fontId="55" fillId="9" borderId="0" xfId="0" applyFont="1" applyFill="1" applyAlignment="1">
      <alignment horizontal="left"/>
    </xf>
    <xf numFmtId="0" fontId="32" fillId="2" borderId="0" xfId="1" applyFont="1" applyFill="1" applyAlignment="1">
      <alignment horizontal="center" vertical="center"/>
    </xf>
    <xf numFmtId="0" fontId="50" fillId="12" borderId="16" xfId="1" applyFont="1" applyFill="1" applyBorder="1" applyAlignment="1">
      <alignment vertical="center"/>
    </xf>
    <xf numFmtId="0" fontId="17" fillId="12" borderId="16" xfId="1" applyFont="1" applyFill="1" applyBorder="1" applyAlignment="1">
      <alignment vertical="center"/>
    </xf>
    <xf numFmtId="0" fontId="45" fillId="12" borderId="16" xfId="1" applyFont="1" applyFill="1" applyBorder="1" applyAlignment="1">
      <alignment vertical="center"/>
    </xf>
    <xf numFmtId="0" fontId="39" fillId="12" borderId="16" xfId="1" applyFont="1" applyFill="1" applyBorder="1" applyAlignment="1">
      <alignment vertical="center"/>
    </xf>
    <xf numFmtId="0" fontId="45" fillId="12" borderId="16" xfId="1" applyFont="1" applyFill="1" applyBorder="1" applyAlignment="1">
      <alignment horizontal="right" vertical="center"/>
    </xf>
    <xf numFmtId="0" fontId="36" fillId="11" borderId="15" xfId="1" applyFont="1" applyFill="1" applyBorder="1" applyAlignment="1">
      <alignment horizontal="left" vertical="center" wrapText="1"/>
    </xf>
    <xf numFmtId="0" fontId="24" fillId="2" borderId="0" xfId="1" applyFont="1" applyFill="1" applyAlignment="1">
      <alignment horizontal="center" vertical="center" wrapText="1"/>
    </xf>
    <xf numFmtId="0" fontId="16" fillId="0" borderId="12" xfId="1" applyFont="1" applyBorder="1" applyAlignment="1" applyProtection="1">
      <alignment horizontal="center"/>
    </xf>
    <xf numFmtId="0" fontId="16" fillId="0" borderId="13" xfId="1" applyFont="1" applyBorder="1" applyAlignment="1" applyProtection="1">
      <alignment horizontal="center"/>
    </xf>
    <xf numFmtId="0" fontId="16" fillId="0" borderId="13" xfId="1" applyFont="1" applyBorder="1" applyProtection="1"/>
    <xf numFmtId="0" fontId="16" fillId="0" borderId="14" xfId="1" applyFont="1" applyBorder="1" applyProtection="1"/>
    <xf numFmtId="0" fontId="1" fillId="0" borderId="0" xfId="1" applyProtection="1"/>
    <xf numFmtId="0" fontId="16" fillId="0" borderId="0" xfId="1" applyFont="1" applyAlignment="1" applyProtection="1">
      <alignment horizontal="center"/>
    </xf>
    <xf numFmtId="0" fontId="8" fillId="0" borderId="0" xfId="1" applyFont="1" applyAlignment="1" applyProtection="1">
      <alignment horizontal="center" vertical="center"/>
    </xf>
    <xf numFmtId="0" fontId="36" fillId="11" borderId="15" xfId="1" applyFont="1" applyFill="1" applyBorder="1" applyAlignment="1" applyProtection="1">
      <alignment horizontal="left" vertical="center" wrapText="1"/>
    </xf>
    <xf numFmtId="0" fontId="36" fillId="11" borderId="0" xfId="1" applyFont="1" applyFill="1" applyAlignment="1" applyProtection="1">
      <alignment vertical="center" wrapText="1"/>
    </xf>
    <xf numFmtId="0" fontId="50" fillId="12" borderId="16" xfId="1" applyFont="1" applyFill="1" applyBorder="1" applyAlignment="1" applyProtection="1">
      <alignment vertical="center"/>
    </xf>
    <xf numFmtId="0" fontId="17" fillId="12" borderId="16" xfId="1" applyFont="1" applyFill="1" applyBorder="1" applyAlignment="1" applyProtection="1">
      <alignment vertical="center"/>
    </xf>
    <xf numFmtId="0" fontId="45" fillId="12" borderId="16" xfId="1" applyFont="1" applyFill="1" applyBorder="1" applyAlignment="1" applyProtection="1">
      <alignment horizontal="center" vertical="center"/>
    </xf>
    <xf numFmtId="0" fontId="45" fillId="12" borderId="16" xfId="1" applyFont="1" applyFill="1" applyBorder="1" applyAlignment="1" applyProtection="1">
      <alignment horizontal="right" vertical="center"/>
    </xf>
    <xf numFmtId="0" fontId="39" fillId="12" borderId="16" xfId="1" applyFont="1" applyFill="1" applyBorder="1" applyAlignment="1" applyProtection="1">
      <alignment vertical="center"/>
    </xf>
    <xf numFmtId="0" fontId="49" fillId="12" borderId="17" xfId="1" applyFont="1" applyFill="1" applyBorder="1" applyAlignment="1" applyProtection="1">
      <alignment horizontal="right" vertical="center"/>
    </xf>
    <xf numFmtId="0" fontId="1" fillId="0" borderId="0" xfId="1" applyAlignment="1" applyProtection="1">
      <alignment horizontal="center"/>
    </xf>
    <xf numFmtId="0" fontId="18" fillId="2" borderId="0" xfId="1" applyFont="1" applyFill="1" applyAlignment="1" applyProtection="1">
      <alignment horizontal="right" vertical="center" indent="1"/>
    </xf>
    <xf numFmtId="0" fontId="19" fillId="2" borderId="0" xfId="1" applyFont="1" applyFill="1" applyAlignment="1" applyProtection="1">
      <alignment horizontal="right" vertical="center" indent="1"/>
    </xf>
    <xf numFmtId="0" fontId="18" fillId="2" borderId="0" xfId="1" applyFont="1" applyFill="1" applyAlignment="1" applyProtection="1">
      <alignment vertical="center"/>
    </xf>
    <xf numFmtId="14" fontId="48" fillId="2" borderId="0" xfId="1" applyNumberFormat="1" applyFont="1" applyFill="1" applyAlignment="1" applyProtection="1">
      <alignment vertical="center"/>
    </xf>
    <xf numFmtId="0" fontId="18" fillId="2" borderId="0" xfId="1" applyFont="1" applyFill="1" applyAlignment="1" applyProtection="1">
      <alignment horizontal="left" vertical="center"/>
    </xf>
    <xf numFmtId="0" fontId="18" fillId="2" borderId="0" xfId="1" applyFont="1" applyFill="1" applyAlignment="1" applyProtection="1">
      <alignment horizontal="left" vertical="center" indent="1"/>
    </xf>
    <xf numFmtId="0" fontId="19" fillId="2" borderId="0" xfId="1" applyFont="1" applyFill="1" applyAlignment="1" applyProtection="1">
      <alignment horizontal="left" vertical="center" wrapText="1"/>
    </xf>
    <xf numFmtId="0" fontId="19" fillId="0" borderId="0" xfId="1" applyFont="1" applyAlignment="1" applyProtection="1">
      <alignment vertical="top" wrapText="1"/>
    </xf>
    <xf numFmtId="0" fontId="48" fillId="0" borderId="0" xfId="1" applyFont="1" applyAlignment="1" applyProtection="1">
      <alignment vertical="top" wrapText="1"/>
    </xf>
    <xf numFmtId="0" fontId="20" fillId="11" borderId="0" xfId="1" applyFont="1" applyFill="1" applyAlignment="1" applyProtection="1">
      <alignment horizontal="center" vertical="center"/>
    </xf>
    <xf numFmtId="0" fontId="20" fillId="11" borderId="0" xfId="1" applyFont="1" applyFill="1" applyAlignment="1" applyProtection="1">
      <alignment horizontal="left" vertical="center" indent="1"/>
    </xf>
    <xf numFmtId="0" fontId="20" fillId="11" borderId="0" xfId="1" applyFont="1" applyFill="1" applyAlignment="1" applyProtection="1">
      <alignment vertical="center"/>
    </xf>
    <xf numFmtId="0" fontId="20" fillId="11" borderId="22" xfId="1" applyFont="1" applyFill="1" applyBorder="1" applyAlignment="1" applyProtection="1">
      <alignment horizontal="left" vertical="center"/>
    </xf>
    <xf numFmtId="0" fontId="20" fillId="11" borderId="0" xfId="1" applyFont="1" applyFill="1" applyAlignment="1" applyProtection="1">
      <alignment horizontal="left" vertical="center"/>
    </xf>
    <xf numFmtId="0" fontId="20" fillId="11" borderId="18" xfId="1" applyFont="1" applyFill="1" applyBorder="1" applyAlignment="1" applyProtection="1">
      <alignment horizontal="left" vertical="center"/>
    </xf>
    <xf numFmtId="0" fontId="21" fillId="2" borderId="0" xfId="1" applyFont="1" applyFill="1" applyAlignment="1" applyProtection="1">
      <alignment vertical="center"/>
    </xf>
    <xf numFmtId="0" fontId="22" fillId="2" borderId="0" xfId="1" applyFont="1" applyFill="1" applyAlignment="1" applyProtection="1">
      <alignment vertical="center"/>
    </xf>
    <xf numFmtId="0" fontId="20" fillId="11" borderId="0" xfId="1" applyFont="1" applyFill="1" applyAlignment="1" applyProtection="1">
      <alignment horizontal="center" vertical="center" wrapText="1"/>
    </xf>
    <xf numFmtId="0" fontId="20" fillId="11" borderId="22" xfId="1" applyFont="1" applyFill="1" applyBorder="1" applyAlignment="1" applyProtection="1">
      <alignment horizontal="center" vertical="center" wrapText="1"/>
    </xf>
    <xf numFmtId="0" fontId="20" fillId="11" borderId="18" xfId="1" applyFont="1" applyFill="1" applyBorder="1" applyAlignment="1" applyProtection="1">
      <alignment horizontal="center" vertical="center" wrapText="1"/>
    </xf>
    <xf numFmtId="0" fontId="19" fillId="2" borderId="19" xfId="1" applyFont="1" applyFill="1" applyBorder="1" applyAlignment="1" applyProtection="1">
      <alignment horizontal="center" vertical="center" wrapText="1"/>
    </xf>
    <xf numFmtId="0" fontId="19" fillId="2" borderId="20" xfId="1" applyFont="1" applyFill="1" applyBorder="1" applyAlignment="1" applyProtection="1">
      <alignment horizontal="center" vertical="center" wrapText="1"/>
    </xf>
    <xf numFmtId="0" fontId="19" fillId="2" borderId="20" xfId="1" applyFont="1" applyFill="1" applyBorder="1" applyAlignment="1" applyProtection="1">
      <alignment vertical="center" wrapText="1"/>
    </xf>
    <xf numFmtId="0" fontId="22" fillId="2" borderId="20" xfId="1" applyFont="1" applyFill="1" applyBorder="1" applyAlignment="1" applyProtection="1">
      <alignment horizontal="center" vertical="center" wrapText="1"/>
    </xf>
    <xf numFmtId="0" fontId="19" fillId="2" borderId="23" xfId="1" applyFont="1" applyFill="1" applyBorder="1" applyAlignment="1" applyProtection="1">
      <alignment horizontal="center" vertical="center" wrapText="1"/>
    </xf>
    <xf numFmtId="0" fontId="19" fillId="2" borderId="24" xfId="1" applyFont="1" applyFill="1" applyBorder="1" applyAlignment="1" applyProtection="1">
      <alignment horizontal="center" vertical="center" wrapText="1"/>
    </xf>
    <xf numFmtId="0" fontId="23" fillId="0" borderId="0" xfId="1" applyFont="1" applyAlignment="1" applyProtection="1">
      <alignment horizontal="center" vertical="center" wrapText="1"/>
    </xf>
    <xf numFmtId="0" fontId="21" fillId="2" borderId="0" xfId="1" applyFont="1" applyFill="1" applyAlignment="1" applyProtection="1">
      <alignment wrapText="1"/>
    </xf>
    <xf numFmtId="0" fontId="22" fillId="2" borderId="0" xfId="1" applyFont="1" applyFill="1" applyAlignment="1" applyProtection="1">
      <alignment wrapText="1"/>
    </xf>
    <xf numFmtId="0" fontId="19" fillId="12" borderId="14" xfId="1" applyFont="1" applyFill="1" applyBorder="1" applyAlignment="1" applyProtection="1">
      <alignment horizontal="center" vertical="center" wrapText="1"/>
    </xf>
    <xf numFmtId="0" fontId="19" fillId="12" borderId="0" xfId="1" applyFont="1" applyFill="1" applyAlignment="1" applyProtection="1">
      <alignment horizontal="center" vertical="center" wrapText="1"/>
    </xf>
    <xf numFmtId="0" fontId="19" fillId="12" borderId="0" xfId="1" applyFont="1" applyFill="1" applyAlignment="1" applyProtection="1">
      <alignment vertical="center" wrapText="1"/>
    </xf>
    <xf numFmtId="0" fontId="22" fillId="12" borderId="0" xfId="1" applyFont="1" applyFill="1" applyAlignment="1" applyProtection="1">
      <alignment horizontal="left" vertical="center" wrapText="1"/>
    </xf>
    <xf numFmtId="0" fontId="19" fillId="12" borderId="22" xfId="1" applyFont="1" applyFill="1" applyBorder="1" applyAlignment="1" applyProtection="1">
      <alignment horizontal="center" vertical="center" wrapText="1"/>
    </xf>
    <xf numFmtId="0" fontId="19" fillId="12" borderId="18" xfId="1" applyFont="1" applyFill="1" applyBorder="1" applyAlignment="1" applyProtection="1">
      <alignment horizontal="center" vertical="center" wrapText="1"/>
    </xf>
    <xf numFmtId="0" fontId="19" fillId="0" borderId="20" xfId="1" applyFont="1" applyBorder="1" applyAlignment="1" applyProtection="1">
      <alignment horizontal="center" vertical="center" wrapText="1"/>
    </xf>
    <xf numFmtId="0" fontId="19" fillId="0" borderId="23" xfId="1" applyFont="1" applyBorder="1" applyAlignment="1" applyProtection="1">
      <alignment horizontal="center" vertical="center" wrapText="1"/>
    </xf>
    <xf numFmtId="0" fontId="19" fillId="0" borderId="24" xfId="1" applyFont="1" applyBorder="1" applyAlignment="1" applyProtection="1">
      <alignment horizontal="center" vertical="center" wrapText="1"/>
    </xf>
    <xf numFmtId="0" fontId="21" fillId="2" borderId="0" xfId="1" applyFont="1" applyFill="1" applyProtection="1"/>
    <xf numFmtId="0" fontId="22" fillId="2" borderId="0" xfId="1" applyFont="1" applyFill="1" applyProtection="1"/>
    <xf numFmtId="0" fontId="19" fillId="0" borderId="20" xfId="1" applyFont="1" applyBorder="1" applyAlignment="1" applyProtection="1">
      <alignment horizontal="left" vertical="center"/>
    </xf>
    <xf numFmtId="0" fontId="21" fillId="2" borderId="0" xfId="1" applyFont="1" applyFill="1" applyAlignment="1" applyProtection="1">
      <alignment horizontal="center" vertical="center"/>
    </xf>
    <xf numFmtId="0" fontId="19" fillId="0" borderId="20" xfId="1" applyFont="1" applyBorder="1" applyAlignment="1" applyProtection="1">
      <alignment vertical="center" wrapText="1"/>
    </xf>
    <xf numFmtId="0" fontId="30" fillId="2" borderId="0" xfId="1" applyFont="1" applyFill="1" applyAlignment="1" applyProtection="1">
      <alignment horizontal="center" vertical="center" wrapText="1"/>
    </xf>
    <xf numFmtId="0" fontId="30" fillId="2" borderId="0" xfId="1" applyFont="1" applyFill="1" applyAlignment="1" applyProtection="1">
      <alignment horizontal="left" vertical="center" wrapText="1"/>
    </xf>
    <xf numFmtId="0" fontId="31" fillId="2" borderId="0" xfId="1" applyFont="1" applyFill="1" applyAlignment="1" applyProtection="1">
      <alignment horizontal="left" vertical="center" wrapText="1"/>
    </xf>
    <xf numFmtId="0" fontId="32" fillId="2" borderId="0" xfId="1" applyFont="1" applyFill="1" applyAlignment="1" applyProtection="1">
      <alignment vertical="center"/>
    </xf>
    <xf numFmtId="0" fontId="32" fillId="2" borderId="0" xfId="1" applyFont="1" applyFill="1" applyAlignment="1" applyProtection="1">
      <alignment horizontal="center" vertical="center"/>
    </xf>
    <xf numFmtId="0" fontId="33" fillId="2" borderId="0" xfId="1" applyFont="1" applyFill="1" applyAlignment="1" applyProtection="1">
      <alignment horizontal="center" vertical="center"/>
    </xf>
    <xf numFmtId="0" fontId="33" fillId="2" borderId="0" xfId="1" applyFont="1" applyFill="1" applyProtection="1"/>
    <xf numFmtId="0" fontId="11" fillId="2" borderId="0" xfId="1" applyFont="1" applyFill="1" applyProtection="1"/>
    <xf numFmtId="0" fontId="38" fillId="11" borderId="0" xfId="1" applyFont="1" applyFill="1" applyAlignment="1" applyProtection="1">
      <alignment horizontal="left" vertical="center"/>
    </xf>
    <xf numFmtId="0" fontId="1" fillId="0" borderId="0" xfId="1" applyAlignment="1" applyProtection="1">
      <alignment horizontal="center" vertical="center"/>
    </xf>
    <xf numFmtId="0" fontId="1" fillId="0" borderId="0" xfId="1" applyAlignment="1" applyProtection="1">
      <alignment horizontal="center" vertical="top"/>
    </xf>
    <xf numFmtId="0" fontId="34" fillId="0" borderId="19" xfId="1" applyFont="1" applyBorder="1" applyAlignment="1" applyProtection="1">
      <alignment horizontal="left" vertical="center"/>
    </xf>
    <xf numFmtId="0" fontId="34" fillId="0" borderId="20" xfId="1" applyFont="1" applyBorder="1" applyAlignment="1" applyProtection="1">
      <alignment horizontal="left" vertical="center"/>
    </xf>
    <xf numFmtId="0" fontId="34" fillId="0" borderId="20" xfId="1" applyFont="1" applyBorder="1" applyAlignment="1" applyProtection="1">
      <alignment vertical="center"/>
    </xf>
    <xf numFmtId="0" fontId="34" fillId="0" borderId="20" xfId="1" applyFont="1" applyBorder="1" applyAlignment="1" applyProtection="1">
      <alignment horizontal="center" vertical="center" wrapText="1"/>
    </xf>
    <xf numFmtId="0" fontId="34" fillId="0" borderId="0" xfId="1" applyFont="1" applyAlignment="1" applyProtection="1">
      <alignment horizontal="left" vertical="center"/>
    </xf>
    <xf numFmtId="0" fontId="34" fillId="0" borderId="0" xfId="1" applyFont="1" applyAlignment="1" applyProtection="1">
      <alignment vertical="center"/>
    </xf>
    <xf numFmtId="0" fontId="19" fillId="2" borderId="0" xfId="1" applyFont="1" applyFill="1" applyAlignment="1" applyProtection="1">
      <alignment horizontal="center" vertical="center" wrapText="1"/>
    </xf>
    <xf numFmtId="0" fontId="24" fillId="2" borderId="0" xfId="1" applyFont="1" applyFill="1" applyAlignment="1" applyProtection="1">
      <alignment horizontal="center" vertical="center" wrapText="1"/>
    </xf>
    <xf numFmtId="0" fontId="28" fillId="2" borderId="0" xfId="1" applyFont="1" applyFill="1" applyProtection="1"/>
    <xf numFmtId="0" fontId="29" fillId="2" borderId="0" xfId="1" applyFont="1" applyFill="1" applyProtection="1"/>
    <xf numFmtId="0" fontId="30" fillId="2" borderId="0" xfId="1" applyFont="1" applyFill="1" applyAlignment="1" applyProtection="1">
      <alignment vertical="center"/>
    </xf>
    <xf numFmtId="0" fontId="11" fillId="2" borderId="0" xfId="1" applyFont="1" applyFill="1" applyAlignment="1" applyProtection="1">
      <alignment vertical="center"/>
    </xf>
    <xf numFmtId="0" fontId="32" fillId="2" borderId="0" xfId="1" applyFont="1" applyFill="1" applyAlignment="1" applyProtection="1">
      <alignment horizontal="right" vertical="center"/>
    </xf>
    <xf numFmtId="0" fontId="20" fillId="11" borderId="0" xfId="1" applyFont="1" applyFill="1" applyAlignment="1" applyProtection="1">
      <alignment horizontal="center" vertical="center"/>
      <protection locked="0"/>
    </xf>
  </cellXfs>
  <cellStyles count="4">
    <cellStyle name="Good" xfId="3" builtinId="26"/>
    <cellStyle name="Hyperlink" xfId="2" builtinId="8"/>
    <cellStyle name="Normal" xfId="0" builtinId="0"/>
    <cellStyle name="Normal 2" xfId="1" xr:uid="{00000000-0005-0000-0000-000003000000}"/>
  </cellStyles>
  <dxfs count="13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ill>
        <patternFill patternType="solid">
          <fgColor indexed="64"/>
          <bgColor theme="9" tint="0.79998168889431442"/>
        </patternFill>
      </fill>
      <alignment horizontal="center" vertical="bottom" textRotation="0" wrapText="0" indent="0" justifyLastLine="0" shrinkToFit="0" readingOrder="0"/>
      <border diagonalUp="0" diagonalDown="0">
        <left/>
        <right style="medium">
          <color auto="1"/>
        </right>
        <top/>
        <bottom/>
        <vertical/>
        <horizontal/>
      </border>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border diagonalUp="0" diagonalDown="0">
        <left style="medium">
          <color auto="1"/>
        </left>
        <right/>
        <top/>
        <bottom/>
        <vertical/>
        <horizontal/>
      </border>
    </dxf>
    <dxf>
      <fill>
        <patternFill patternType="solid">
          <fgColor indexed="64"/>
          <bgColor theme="9" tint="0.79998168889431442"/>
        </patternFill>
      </fill>
      <alignment horizontal="center" vertical="bottom" textRotation="0" wrapText="0" indent="0" justifyLastLine="0" shrinkToFit="0" readingOrder="0"/>
      <border diagonalUp="0" diagonalDown="0">
        <left/>
        <right style="medium">
          <color auto="1"/>
        </right>
        <top/>
        <bottom/>
        <vertical/>
        <horizontal/>
      </border>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border diagonalUp="0" diagonalDown="0">
        <left style="medium">
          <color auto="1"/>
        </left>
        <right/>
        <top/>
        <bottom/>
        <vertical/>
        <horizontal/>
      </border>
    </dxf>
    <dxf>
      <fill>
        <patternFill patternType="solid">
          <fgColor indexed="64"/>
          <bgColor theme="9" tint="0.79998168889431442"/>
        </patternFill>
      </fill>
      <alignment horizontal="center" vertical="bottom" textRotation="0" wrapText="0" indent="0" justifyLastLine="0" shrinkToFit="0" readingOrder="0"/>
      <border diagonalUp="0" diagonalDown="0">
        <left style="medium">
          <color auto="1"/>
        </left>
        <right style="medium">
          <color auto="1"/>
        </right>
        <top/>
        <bottom/>
        <vertical/>
        <horizontal/>
      </border>
    </dxf>
    <dxf>
      <fill>
        <patternFill patternType="solid">
          <fgColor indexed="64"/>
          <bgColor theme="9" tint="0.79998168889431442"/>
        </patternFill>
      </fill>
      <alignment horizontal="center" vertical="bottom" textRotation="0" wrapText="0" indent="0" justifyLastLine="0" shrinkToFit="0" readingOrder="0"/>
      <border diagonalUp="0" diagonalDown="0">
        <left style="medium">
          <color auto="1"/>
        </left>
        <right style="medium">
          <color auto="1"/>
        </right>
        <top/>
        <bottom/>
        <vertical/>
        <horizontal/>
      </border>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5"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92D050"/>
        </patternFill>
      </fill>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numFmt numFmtId="19" formatCode="d/mm/yyyy"/>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B4FFFF"/>
      <color rgb="FF0D4B6D"/>
      <color rgb="FF919296"/>
      <color rgb="FFF2F2F2"/>
      <color rgb="FFB4C6E7"/>
      <color rgb="FFFFE699"/>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266700</xdr:colOff>
      <xdr:row>3</xdr:row>
      <xdr:rowOff>47626</xdr:rowOff>
    </xdr:from>
    <xdr:ext cx="5629275" cy="5838201"/>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1010900" y="552451"/>
          <a:ext cx="5629275" cy="583820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u="sng">
              <a:solidFill>
                <a:schemeClr val="dk1"/>
              </a:solidFill>
              <a:effectLst/>
              <a:latin typeface="+mn-lt"/>
              <a:ea typeface="+mn-ea"/>
              <a:cs typeface="+mn-cs"/>
            </a:rPr>
            <a:t>Full-Time Enrolment Guidelines</a:t>
          </a:r>
          <a:endParaRPr lang="en-AU" sz="1100" b="0" i="0" u="sng">
            <a:solidFill>
              <a:schemeClr val="dk1"/>
            </a:solidFill>
            <a:effectLst/>
            <a:latin typeface="+mn-lt"/>
            <a:ea typeface="+mn-ea"/>
            <a:cs typeface="+mn-cs"/>
          </a:endParaRPr>
        </a:p>
        <a:p>
          <a:pPr algn="ctr" rtl="0" fontAlgn="base"/>
          <a:endParaRPr lang="en-AU" sz="1100" b="1" i="0">
            <a:solidFill>
              <a:schemeClr val="dk1"/>
            </a:solidFill>
            <a:effectLst/>
            <a:latin typeface="+mn-lt"/>
            <a:ea typeface="+mn-ea"/>
            <a:cs typeface="+mn-cs"/>
          </a:endParaRPr>
        </a:p>
        <a:p>
          <a:pPr algn="ctr" rtl="0" fontAlgn="base"/>
          <a:r>
            <a:rPr lang="en-AU" sz="1100" b="1" i="0">
              <a:solidFill>
                <a:schemeClr val="accent5"/>
              </a:solidFill>
              <a:effectLst/>
              <a:latin typeface="+mn-lt"/>
              <a:ea typeface="+mn-ea"/>
              <a:cs typeface="+mn-cs"/>
            </a:rPr>
            <a:t>Graduate Certificate in Project Management</a:t>
          </a:r>
        </a:p>
        <a:p>
          <a:pPr algn="ctr" rtl="0" fontAlgn="base"/>
          <a:r>
            <a:rPr lang="en-AU" sz="1100" b="1" i="0">
              <a:solidFill>
                <a:schemeClr val="accent5"/>
              </a:solidFill>
              <a:effectLst/>
              <a:latin typeface="+mn-lt"/>
              <a:ea typeface="+mn-ea"/>
              <a:cs typeface="+mn-cs"/>
            </a:rPr>
            <a:t>Graduate Diploma in Project Management</a:t>
          </a:r>
        </a:p>
        <a:p>
          <a:pPr algn="ctr" rtl="0" fontAlgn="base"/>
          <a:r>
            <a:rPr lang="en-AU" sz="1100" b="1" i="0">
              <a:solidFill>
                <a:schemeClr val="accent5"/>
              </a:solidFill>
              <a:effectLst/>
              <a:latin typeface="+mn-lt"/>
              <a:ea typeface="+mn-ea"/>
              <a:cs typeface="+mn-cs"/>
            </a:rPr>
            <a:t>Master of Science (Project Management)</a:t>
          </a:r>
          <a:r>
            <a:rPr lang="en-AU" sz="1100" b="0" i="0">
              <a:solidFill>
                <a:schemeClr val="accent5"/>
              </a:solidFill>
              <a:effectLst/>
              <a:latin typeface="+mn-lt"/>
              <a:ea typeface="+mn-ea"/>
              <a:cs typeface="+mn-cs"/>
            </a:rPr>
            <a:t> (Research &amp;</a:t>
          </a:r>
          <a:r>
            <a:rPr lang="en-AU" sz="1100" b="0" i="0" baseline="0">
              <a:solidFill>
                <a:schemeClr val="accent5"/>
              </a:solidFill>
              <a:effectLst/>
              <a:latin typeface="+mn-lt"/>
              <a:ea typeface="+mn-ea"/>
              <a:cs typeface="+mn-cs"/>
            </a:rPr>
            <a:t> </a:t>
          </a:r>
          <a:r>
            <a:rPr lang="en-AU" sz="1100" b="0" i="0">
              <a:solidFill>
                <a:schemeClr val="accent5"/>
              </a:solidFill>
              <a:effectLst/>
              <a:latin typeface="+mn-lt"/>
              <a:ea typeface="+mn-ea"/>
              <a:cs typeface="+mn-cs"/>
            </a:rPr>
            <a:t>Professional Streams)</a:t>
          </a:r>
        </a:p>
        <a:p>
          <a:pPr algn="ctr" rtl="0" fontAlgn="base"/>
          <a:endParaRPr lang="en-AU" sz="1000">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Course / Stream and Commencing Study Period.</a:t>
          </a:r>
          <a:endParaRPr lang="en-AU" sz="1000">
            <a:effectLst/>
          </a:endParaRPr>
        </a:p>
        <a:p>
          <a:pPr algn="ctr" rtl="0" fontAlgn="base"/>
          <a:endParaRPr lang="en-AU" sz="1000">
            <a:effectLst/>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1">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1" u="none">
              <a:solidFill>
                <a:schemeClr val="dk1"/>
              </a:solidFill>
              <a:effectLst/>
              <a:latin typeface="+mn-lt"/>
              <a:ea typeface="+mn-ea"/>
              <a:cs typeface="+mn-cs"/>
            </a:rPr>
            <a:t>100 credit points </a:t>
          </a:r>
          <a:r>
            <a:rPr lang="en-AU" sz="1100" b="1" i="1">
              <a:solidFill>
                <a:schemeClr val="dk1"/>
              </a:solidFill>
              <a:effectLst/>
              <a:latin typeface="+mn-lt"/>
              <a:ea typeface="+mn-ea"/>
              <a:cs typeface="+mn-cs"/>
            </a:rPr>
            <a:t>per semester</a:t>
          </a:r>
          <a:r>
            <a:rPr lang="en-AU" sz="1100" b="0" i="0">
              <a:solidFill>
                <a:schemeClr val="dk1"/>
              </a:solidFill>
              <a:effectLst/>
              <a:latin typeface="+mn-lt"/>
              <a:ea typeface="+mn-ea"/>
              <a:cs typeface="+mn-cs"/>
            </a:rPr>
            <a:t>. </a:t>
          </a:r>
          <a:endParaRPr lang="en-AU" sz="1000">
            <a:effectLst/>
          </a:endParaRPr>
        </a:p>
        <a:p>
          <a:pPr rtl="0" fontAlgn="base"/>
          <a:endParaRPr lang="en-AU"/>
        </a:p>
        <a:p>
          <a:pPr rtl="0" fontAlgn="base"/>
          <a:r>
            <a:rPr lang="en-AU"/>
            <a:t>Students are strongly advised to follow the recommended sequence of study as shown in this Planner. This sequence is designed to optimise your progression through the course content, regardless of your educational background or prior work experience.</a:t>
          </a:r>
        </a:p>
        <a:p>
          <a:pP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Units may not be offered in every study period and may not be available at the time that you wish to study them. Your progression in the degree may be affected if you do not follow the recommended sequence of enrolment.</a:t>
          </a:r>
        </a:p>
        <a:p>
          <a:pPr rtl="0" fontAlgn="base"/>
          <a:endParaRPr lang="en-AU" sz="1000">
            <a:effectLst/>
          </a:endParaRPr>
        </a:p>
        <a:p>
          <a:pPr rtl="0" fontAlgn="base"/>
          <a:r>
            <a:rPr lang="en-AU" sz="1100" b="0" i="0">
              <a:solidFill>
                <a:schemeClr val="dk1"/>
              </a:solidFill>
              <a:effectLst/>
              <a:latin typeface="+mn-lt"/>
              <a:ea typeface="+mn-ea"/>
              <a:cs typeface="+mn-cs"/>
            </a:rPr>
            <a:t>If you wish to enrol in a part-time load, please select one or two units from the four listed for each study period.</a:t>
          </a:r>
        </a:p>
        <a:p>
          <a:pPr rtl="0" fontAlgn="base"/>
          <a:endParaRPr lang="en-AU" b="1"/>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You are expected to study all of your units face-to-face for at least the first year of your course. </a:t>
          </a:r>
        </a:p>
        <a:p>
          <a:pPr rtl="0" fontAlgn="base"/>
          <a:r>
            <a:rPr lang="en-AU" sz="1100" b="0" i="0">
              <a:solidFill>
                <a:schemeClr val="dk1"/>
              </a:solidFill>
              <a:effectLst/>
              <a:latin typeface="+mn-lt"/>
              <a:ea typeface="+mn-ea"/>
              <a:cs typeface="+mn-cs"/>
            </a:rPr>
            <a:t>It is your responsibility to ensure that you meet all conditions of your student visa.  </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 </a:t>
          </a:r>
        </a:p>
        <a:p>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Note:</a:t>
          </a:r>
          <a:endParaRPr lang="en-AU">
            <a:effectLst/>
          </a:endParaRPr>
        </a:p>
        <a:p>
          <a:pPr algn="ctr"/>
          <a:r>
            <a:rPr lang="en-AU" sz="900" b="0">
              <a:solidFill>
                <a:schemeClr val="dk1"/>
              </a:solidFill>
              <a:effectLst/>
              <a:latin typeface="+mn-lt"/>
              <a:ea typeface="+mn-ea"/>
              <a:cs typeface="+mn-cs"/>
            </a:rPr>
            <a:t>CP = Credit Points; Sem1 = Semester 1;</a:t>
          </a:r>
          <a:r>
            <a:rPr lang="en-AU" sz="900" b="0" baseline="0">
              <a:solidFill>
                <a:schemeClr val="dk1"/>
              </a:solidFill>
              <a:effectLst/>
              <a:latin typeface="+mn-lt"/>
              <a:ea typeface="+mn-ea"/>
              <a:cs typeface="+mn-cs"/>
            </a:rPr>
            <a:t> </a:t>
          </a:r>
          <a:r>
            <a:rPr lang="en-AU" sz="900" b="0">
              <a:solidFill>
                <a:schemeClr val="dk1"/>
              </a:solidFill>
              <a:effectLst/>
              <a:latin typeface="+mn-lt"/>
              <a:ea typeface="+mn-ea"/>
              <a:cs typeface="+mn-cs"/>
            </a:rPr>
            <a:t>Sem2 = Semester 2</a:t>
          </a:r>
        </a:p>
        <a:p>
          <a:pPr algn="ctr"/>
          <a:r>
            <a:rPr lang="en-AU" sz="900" b="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18</xdr:col>
      <xdr:colOff>47625</xdr:colOff>
      <xdr:row>2</xdr:row>
      <xdr:rowOff>238125</xdr:rowOff>
    </xdr:from>
    <xdr:to>
      <xdr:col>21</xdr:col>
      <xdr:colOff>409575</xdr:colOff>
      <xdr:row>3</xdr:row>
      <xdr:rowOff>47625</xdr:rowOff>
    </xdr:to>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000-000006000000}"/>
            </a:ext>
          </a:extLst>
        </xdr:cNvPr>
        <xdr:cNvSpPr txBox="1"/>
      </xdr:nvSpPr>
      <xdr:spPr>
        <a:xfrm>
          <a:off x="14220825" y="238125"/>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267700"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266701</xdr:colOff>
      <xdr:row>3</xdr:row>
      <xdr:rowOff>66676</xdr:rowOff>
    </xdr:from>
    <xdr:ext cx="5629275" cy="5493748"/>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1525251" y="571501"/>
          <a:ext cx="5629275" cy="549374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u="sng">
              <a:solidFill>
                <a:schemeClr val="dk1"/>
              </a:solidFill>
              <a:effectLst/>
              <a:latin typeface="+mn-lt"/>
              <a:ea typeface="+mn-ea"/>
              <a:cs typeface="+mn-cs"/>
            </a:rPr>
            <a:t>Full-Time Enrolment Guidelines</a:t>
          </a:r>
        </a:p>
        <a:p>
          <a:pPr algn="ctr" rtl="0" fontAlgn="base"/>
          <a:endParaRPr lang="en-AU" sz="1100" b="0" i="0" u="sng">
            <a:solidFill>
              <a:schemeClr val="dk1"/>
            </a:solidFill>
            <a:effectLst/>
            <a:latin typeface="+mn-lt"/>
            <a:ea typeface="+mn-ea"/>
            <a:cs typeface="+mn-cs"/>
          </a:endParaRPr>
        </a:p>
        <a:p>
          <a:pPr algn="ctr" rtl="0" fontAlgn="base"/>
          <a:r>
            <a:rPr lang="en-AU" sz="1100" b="1" i="0">
              <a:solidFill>
                <a:schemeClr val="accent5"/>
              </a:solidFill>
              <a:effectLst/>
              <a:latin typeface="+mn-lt"/>
              <a:ea typeface="+mn-ea"/>
              <a:cs typeface="+mn-cs"/>
            </a:rPr>
            <a:t>Master of Project Management (2 years) </a:t>
          </a:r>
          <a:r>
            <a:rPr lang="en-AU" sz="1100" b="0" i="0">
              <a:solidFill>
                <a:schemeClr val="accent5"/>
              </a:solidFill>
              <a:effectLst/>
              <a:latin typeface="+mn-lt"/>
              <a:ea typeface="+mn-ea"/>
              <a:cs typeface="+mn-cs"/>
            </a:rPr>
            <a:t>(Research &amp;</a:t>
          </a:r>
          <a:r>
            <a:rPr lang="en-AU" sz="1100" b="0" i="0" baseline="0">
              <a:solidFill>
                <a:schemeClr val="accent5"/>
              </a:solidFill>
              <a:effectLst/>
              <a:latin typeface="+mn-lt"/>
              <a:ea typeface="+mn-ea"/>
              <a:cs typeface="+mn-cs"/>
            </a:rPr>
            <a:t> </a:t>
          </a:r>
          <a:r>
            <a:rPr lang="en-AU" sz="1100" b="0" i="0">
              <a:solidFill>
                <a:schemeClr val="accent5"/>
              </a:solidFill>
              <a:effectLst/>
              <a:latin typeface="+mn-lt"/>
              <a:ea typeface="+mn-ea"/>
              <a:cs typeface="+mn-cs"/>
            </a:rPr>
            <a:t>Professional Streams)</a:t>
          </a:r>
          <a:endParaRPr lang="en-AU" sz="1100" b="1" i="0">
            <a:solidFill>
              <a:schemeClr val="accent5"/>
            </a:solidFill>
            <a:effectLst/>
            <a:latin typeface="+mn-lt"/>
            <a:ea typeface="+mn-ea"/>
            <a:cs typeface="+mn-cs"/>
          </a:endParaRPr>
        </a:p>
        <a:p>
          <a:pPr algn="ctr" rtl="0" fontAlgn="base"/>
          <a:endParaRPr lang="en-AU" sz="1000">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Stream</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ctr" rtl="0" fontAlgn="base"/>
          <a:endParaRPr lang="en-AU" sz="1000">
            <a:effectLst/>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1">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1" u="none">
              <a:solidFill>
                <a:schemeClr val="dk1"/>
              </a:solidFill>
              <a:effectLst/>
              <a:latin typeface="+mn-lt"/>
              <a:ea typeface="+mn-ea"/>
              <a:cs typeface="+mn-cs"/>
            </a:rPr>
            <a:t>100 credit points </a:t>
          </a:r>
          <a:r>
            <a:rPr lang="en-AU" sz="1100" b="1" i="1">
              <a:solidFill>
                <a:schemeClr val="dk1"/>
              </a:solidFill>
              <a:effectLst/>
              <a:latin typeface="+mn-lt"/>
              <a:ea typeface="+mn-ea"/>
              <a:cs typeface="+mn-cs"/>
            </a:rPr>
            <a:t>per semester</a:t>
          </a:r>
          <a:r>
            <a:rPr lang="en-AU" sz="1100" b="0" i="0">
              <a:solidFill>
                <a:schemeClr val="dk1"/>
              </a:solidFill>
              <a:effectLst/>
              <a:latin typeface="+mn-lt"/>
              <a:ea typeface="+mn-ea"/>
              <a:cs typeface="+mn-cs"/>
            </a:rPr>
            <a:t>. </a:t>
          </a:r>
          <a:endParaRPr lang="en-AU" sz="1000">
            <a:effectLst/>
          </a:endParaRPr>
        </a:p>
        <a:p>
          <a:pPr rtl="0" fontAlgn="base"/>
          <a:endParaRPr lang="en-AU"/>
        </a:p>
        <a:p>
          <a:pPr rtl="0" fontAlgn="base"/>
          <a:r>
            <a:rPr lang="en-AU"/>
            <a:t>Students are strongly advised to follow the recommended sequence of study as shown in this Planner. This sequence is designed to optimise your progression through the course content, regardless of your educational background or prior work experience.</a:t>
          </a:r>
        </a:p>
        <a:p>
          <a:pP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Units may not be offered in every study period and may not be available at the time that you wish to study them. Your progression in the degree may be affected if you do not follow the recommended sequence of enrolment.</a:t>
          </a:r>
        </a:p>
        <a:p>
          <a:pPr rtl="0" fontAlgn="base"/>
          <a:endParaRPr lang="en-AU" sz="1000">
            <a:effectLst/>
          </a:endParaRPr>
        </a:p>
        <a:p>
          <a:pPr rtl="0" fontAlgn="base"/>
          <a:r>
            <a:rPr lang="en-AU" sz="1100" b="0" i="0">
              <a:solidFill>
                <a:schemeClr val="dk1"/>
              </a:solidFill>
              <a:effectLst/>
              <a:latin typeface="+mn-lt"/>
              <a:ea typeface="+mn-ea"/>
              <a:cs typeface="+mn-cs"/>
            </a:rPr>
            <a:t>If you wish to enrol in a part-time load, please select one or two units from the four listed for each study period.</a:t>
          </a:r>
        </a:p>
        <a:p>
          <a:pPr rtl="0" fontAlgn="base"/>
          <a:endParaRPr lang="en-AU" b="1"/>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You are expected to study all of your units face-to-face for at least the first year of your course. </a:t>
          </a:r>
        </a:p>
        <a:p>
          <a:pPr rtl="0" fontAlgn="base"/>
          <a:r>
            <a:rPr lang="en-AU" sz="1100" b="0" i="0">
              <a:solidFill>
                <a:schemeClr val="dk1"/>
              </a:solidFill>
              <a:effectLst/>
              <a:latin typeface="+mn-lt"/>
              <a:ea typeface="+mn-ea"/>
              <a:cs typeface="+mn-cs"/>
            </a:rPr>
            <a:t>It is your responsibility to ensure that you meet all conditions of your student visa.  </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 </a:t>
          </a:r>
        </a:p>
        <a:p>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Note:</a:t>
          </a:r>
          <a:endParaRPr lang="en-AU">
            <a:effectLst/>
          </a:endParaRPr>
        </a:p>
        <a:p>
          <a:pPr algn="ctr"/>
          <a:r>
            <a:rPr lang="en-AU" sz="900" b="0">
              <a:solidFill>
                <a:schemeClr val="dk1"/>
              </a:solidFill>
              <a:effectLst/>
              <a:latin typeface="+mn-lt"/>
              <a:ea typeface="+mn-ea"/>
              <a:cs typeface="+mn-cs"/>
            </a:rPr>
            <a:t>CP = Credit Points; Sem1 = Semester 1;</a:t>
          </a:r>
          <a:r>
            <a:rPr lang="en-AU" sz="900" b="0" baseline="0">
              <a:solidFill>
                <a:schemeClr val="dk1"/>
              </a:solidFill>
              <a:effectLst/>
              <a:latin typeface="+mn-lt"/>
              <a:ea typeface="+mn-ea"/>
              <a:cs typeface="+mn-cs"/>
            </a:rPr>
            <a:t> </a:t>
          </a:r>
          <a:r>
            <a:rPr lang="en-AU" sz="900" b="0">
              <a:solidFill>
                <a:schemeClr val="dk1"/>
              </a:solidFill>
              <a:effectLst/>
              <a:latin typeface="+mn-lt"/>
              <a:ea typeface="+mn-ea"/>
              <a:cs typeface="+mn-cs"/>
            </a:rPr>
            <a:t>Sem2 = Semester 2</a:t>
          </a:r>
        </a:p>
        <a:p>
          <a:pPr algn="ctr"/>
          <a:r>
            <a:rPr lang="en-AU" sz="900" b="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18</xdr:col>
      <xdr:colOff>47626</xdr:colOff>
      <xdr:row>2</xdr:row>
      <xdr:rowOff>257175</xdr:rowOff>
    </xdr:from>
    <xdr:to>
      <xdr:col>21</xdr:col>
      <xdr:colOff>409576</xdr:colOff>
      <xdr:row>3</xdr:row>
      <xdr:rowOff>66675</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100-000005000000}"/>
            </a:ext>
          </a:extLst>
        </xdr:cNvPr>
        <xdr:cNvSpPr txBox="1"/>
      </xdr:nvSpPr>
      <xdr:spPr>
        <a:xfrm>
          <a:off x="14735176" y="257175"/>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1" displayName="TableCourses1" ref="A4:H8" totalsRowShown="0" headerRowDxfId="133">
  <autoFilter ref="A4:H8" xr:uid="{00000000-0009-0000-0100-000003000000}"/>
  <tableColumns count="8">
    <tableColumn id="3" xr3:uid="{00000000-0010-0000-0000-000003000000}" name="Choose your Project Management Course (drop-down list)" dataDxfId="132"/>
    <tableColumn id="1" xr3:uid="{00000000-0010-0000-0000-000001000000}" name="UDC" dataDxfId="131"/>
    <tableColumn id="2" xr3:uid="{00000000-0010-0000-0000-000002000000}" name="SM Version" dataDxfId="130"/>
    <tableColumn id="5" xr3:uid="{00000000-0010-0000-0000-000005000000}" name="SM Effective Date" dataDxfId="129"/>
    <tableColumn id="4" xr3:uid="{00000000-0010-0000-0000-000004000000}" name="Akari Iteration" dataDxfId="128"/>
    <tableColumn id="6" xr3:uid="{00000000-0010-0000-0000-000006000000}" name="Akari Effective Date" dataDxfId="127"/>
    <tableColumn id="8" xr3:uid="{00000000-0010-0000-0000-000008000000}" name="Credit Points" dataDxfId="126"/>
    <tableColumn id="7" xr3:uid="{00000000-0010-0000-0000-000007000000}" name="SM Availabilities" dataDxfId="125"/>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leSTRPRESCH1.5" displayName="TableSTRPRESCH1.5" ref="A42:O53" totalsRowShown="0">
  <autoFilter ref="A42:O53" xr:uid="{00000000-0009-0000-0100-000009000000}"/>
  <sortState xmlns:xlrd2="http://schemas.microsoft.com/office/spreadsheetml/2017/richdata2" ref="A43:O53">
    <sortCondition ref="F42:F53"/>
  </sortState>
  <tableColumns count="15">
    <tableColumn id="9" xr3:uid="{00000000-0010-0000-0900-000009000000}" name="UDC" dataDxfId="62">
      <calculatedColumnFormula>TableSTRPRESCH1.5[[#This Row],[Study Package Code]]</calculatedColumnFormula>
    </tableColumn>
    <tableColumn id="10" xr3:uid="{00000000-0010-0000-0900-00000A000000}" name="Version" dataDxfId="61">
      <calculatedColumnFormula>TableSTRPRESCH1.5[[#This Row],[Ver]]</calculatedColumnFormula>
    </tableColumn>
    <tableColumn id="11" xr3:uid="{00000000-0010-0000-0900-00000B000000}" name="OUA Code"/>
    <tableColumn id="12" xr3:uid="{00000000-0010-0000-0900-00000C000000}" name="Unit Title" dataDxfId="60">
      <calculatedColumnFormula>TableSTRPRESCH1.5[[#This Row],[Structure Line]]</calculatedColumnFormula>
    </tableColumn>
    <tableColumn id="13" xr3:uid="{00000000-0010-0000-0900-00000D000000}" name="CPs" dataDxfId="59">
      <calculatedColumnFormula>TableSTRPRESCH1.5[[#This Row],[Credit Points]]</calculatedColumnFormula>
    </tableColumn>
    <tableColumn id="1" xr3:uid="{00000000-0010-0000-0900-000001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tableColumn id="7" xr3:uid="{00000000-0010-0000-0900-000007000000}" name="Structure Line"/>
    <tableColumn id="8" xr3:uid="{00000000-0010-0000-0900-000008000000}" name="Credit Points"/>
    <tableColumn id="14" xr3:uid="{00000000-0010-0000-0900-00000E000000}" name="Effective" dataDxfId="58"/>
    <tableColumn id="15" xr3:uid="{00000000-0010-0000-0900-00000F000000}" name="Discont." dataDxfId="57"/>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TableMCPROJM2" displayName="TableMCPROJM2" ref="A57:O60" totalsRowShown="0">
  <autoFilter ref="A57:O60" xr:uid="{00000000-0009-0000-0100-00000A000000}"/>
  <sortState xmlns:xlrd2="http://schemas.microsoft.com/office/spreadsheetml/2017/richdata2" ref="Q56:AW63">
    <sortCondition ref="U10:U18"/>
  </sortState>
  <tableColumns count="15">
    <tableColumn id="9" xr3:uid="{00000000-0010-0000-0A00-000009000000}" name="UDC" dataDxfId="56">
      <calculatedColumnFormula>TableMCPROJM2[[#This Row],[Study Package Code]]</calculatedColumnFormula>
    </tableColumn>
    <tableColumn id="10" xr3:uid="{00000000-0010-0000-0A00-00000A000000}" name="Version" dataDxfId="55">
      <calculatedColumnFormula>TableMCPROJM2[[#This Row],[Ver]]</calculatedColumnFormula>
    </tableColumn>
    <tableColumn id="11" xr3:uid="{00000000-0010-0000-0A00-00000B000000}" name="OUA Code"/>
    <tableColumn id="12" xr3:uid="{00000000-0010-0000-0A00-00000C000000}" name="Unit Title" dataDxfId="54">
      <calculatedColumnFormula>TableMCPROJM2[[#This Row],[Structure Line]]</calculatedColumnFormula>
    </tableColumn>
    <tableColumn id="13" xr3:uid="{00000000-0010-0000-0A00-00000D000000}" name="CPs" dataDxfId="53">
      <calculatedColumnFormula>TableMCPROJM2[[#This Row],[Credit Points]]</calculatedColumnFormula>
    </tableColumn>
    <tableColumn id="1" xr3:uid="{00000000-0010-0000-0A00-000001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tableColumn id="7" xr3:uid="{00000000-0010-0000-0A00-000007000000}" name="Structure Line"/>
    <tableColumn id="8" xr3:uid="{00000000-0010-0000-0A00-000008000000}" name="Credit Points"/>
    <tableColumn id="14" xr3:uid="{00000000-0010-0000-0A00-00000E000000}" name="Effective" dataDxfId="52"/>
    <tableColumn id="15" xr3:uid="{00000000-0010-0000-0A00-00000F000000}" name="Discont." dataDxfId="51"/>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eSTRPPROF2" displayName="TableSTRPPROF2" ref="A62:O79" totalsRowShown="0">
  <autoFilter ref="A62:O79" xr:uid="{00000000-0009-0000-0100-00000B000000}"/>
  <sortState xmlns:xlrd2="http://schemas.microsoft.com/office/spreadsheetml/2017/richdata2" ref="A62:M77">
    <sortCondition ref="F61:F77"/>
  </sortState>
  <tableColumns count="15">
    <tableColumn id="9" xr3:uid="{00000000-0010-0000-0B00-000009000000}" name="UDC" dataDxfId="50">
      <calculatedColumnFormula>TableSTRPPROF2[[#This Row],[Study Package Code]]</calculatedColumnFormula>
    </tableColumn>
    <tableColumn id="10" xr3:uid="{00000000-0010-0000-0B00-00000A000000}" name="Version" dataDxfId="49">
      <calculatedColumnFormula>TableSTRPPROF2[[#This Row],[Ver]]</calculatedColumnFormula>
    </tableColumn>
    <tableColumn id="11" xr3:uid="{00000000-0010-0000-0B00-00000B000000}" name="OUA Code"/>
    <tableColumn id="12" xr3:uid="{00000000-0010-0000-0B00-00000C000000}" name="Unit Title" dataDxfId="48">
      <calculatedColumnFormula>TableSTRPPROF2[[#This Row],[Structure Line]]</calculatedColumnFormula>
    </tableColumn>
    <tableColumn id="13" xr3:uid="{00000000-0010-0000-0B00-00000D000000}" name="CPs" dataDxfId="47">
      <calculatedColumnFormula>TableSTRPPROF2[[#This Row],[Credit Points]]</calculatedColumnFormula>
    </tableColumn>
    <tableColumn id="1" xr3:uid="{00000000-0010-0000-0B00-000001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tableColumn id="7" xr3:uid="{00000000-0010-0000-0B00-000007000000}" name="Structure Line"/>
    <tableColumn id="8" xr3:uid="{00000000-0010-0000-0B00-000008000000}" name="Credit Points" dataDxfId="46"/>
    <tableColumn id="14" xr3:uid="{00000000-0010-0000-0B00-00000E000000}" name="Effective" dataDxfId="45"/>
    <tableColumn id="15" xr3:uid="{00000000-0010-0000-0B00-00000F000000}" name="Discont." dataDxfId="4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leSTRPRSCH2" displayName="TableSTRPRSCH2" ref="A81:O98" totalsRowShown="0">
  <autoFilter ref="A81:O98" xr:uid="{00000000-0009-0000-0100-00000C000000}"/>
  <sortState xmlns:xlrd2="http://schemas.microsoft.com/office/spreadsheetml/2017/richdata2" ref="A82:O97">
    <sortCondition ref="F81:F97"/>
  </sortState>
  <tableColumns count="15">
    <tableColumn id="9" xr3:uid="{00000000-0010-0000-0C00-000009000000}" name="UDC" dataDxfId="43">
      <calculatedColumnFormula>TableSTRPRSCH2[[#This Row],[Study Package Code]]</calculatedColumnFormula>
    </tableColumn>
    <tableColumn id="10" xr3:uid="{00000000-0010-0000-0C00-00000A000000}" name="Version" dataDxfId="42">
      <calculatedColumnFormula>TableSTRPRSCH2[[#This Row],[Ver]]</calculatedColumnFormula>
    </tableColumn>
    <tableColumn id="11" xr3:uid="{00000000-0010-0000-0C00-00000B000000}" name="OUA Code"/>
    <tableColumn id="12" xr3:uid="{00000000-0010-0000-0C00-00000C000000}" name="Unit Title" dataDxfId="41">
      <calculatedColumnFormula>TableSTRPRSCH2[[#This Row],[Structure Line]]</calculatedColumnFormula>
    </tableColumn>
    <tableColumn id="13" xr3:uid="{00000000-0010-0000-0C00-00000D000000}" name="CPs" dataDxfId="40">
      <calculatedColumnFormula>TableSTRPRSCH2[[#This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39"/>
    <tableColumn id="15" xr3:uid="{00000000-0010-0000-0C00-00000F000000}" name="Discont." dataDxfId="3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able15" displayName="Table15" ref="Q2:R6" totalsRowShown="0">
  <autoFilter ref="Q2:R6" xr:uid="{00000000-0009-0000-0100-00000F000000}"/>
  <tableColumns count="2">
    <tableColumn id="5" xr3:uid="{00000000-0010-0000-0D00-000005000000}" name="SPK"/>
    <tableColumn id="6" xr3:uid="{00000000-0010-0000-0D00-000006000000}" name="Ver"/>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Table1517" displayName="Table1517" ref="Q10:R20" totalsRowShown="0">
  <autoFilter ref="Q10:R20" xr:uid="{00000000-0009-0000-0100-000010000000}"/>
  <tableColumns count="2">
    <tableColumn id="5" xr3:uid="{00000000-0010-0000-0E00-000005000000}" name="SPK"/>
    <tableColumn id="6" xr3:uid="{00000000-0010-0000-0E00-000006000000}" name="Ver"/>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le1518" displayName="Table1518" ref="Q24:R27" totalsRowShown="0">
  <autoFilter ref="Q24:R27" xr:uid="{00000000-0009-0000-0100-000011000000}"/>
  <tableColumns count="2">
    <tableColumn id="5" xr3:uid="{00000000-0010-0000-0F00-000005000000}" name="SPK"/>
    <tableColumn id="6" xr3:uid="{00000000-0010-0000-0F00-000006000000}" name="Ver"/>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0000000}" name="Table151719" displayName="Table151719" ref="Q29:R40" totalsRowShown="0">
  <autoFilter ref="Q29:R40" xr:uid="{00000000-0009-0000-0100-000012000000}"/>
  <tableColumns count="2">
    <tableColumn id="5" xr3:uid="{00000000-0010-0000-1000-000005000000}" name="SPK"/>
    <tableColumn id="6" xr3:uid="{00000000-0010-0000-1000-000006000000}" name="Ver"/>
  </tableColumns>
  <tableStyleInfo name="TableStyleLight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Table15171920" displayName="Table15171920" ref="Q42:R53" totalsRowShown="0">
  <autoFilter ref="Q42:R53" xr:uid="{00000000-0009-0000-0100-000013000000}"/>
  <tableColumns count="2">
    <tableColumn id="5" xr3:uid="{00000000-0010-0000-1100-000005000000}" name="SPK"/>
    <tableColumn id="6" xr3:uid="{00000000-0010-0000-1100-000006000000}" name="Ver"/>
  </tableColumns>
  <tableStyleInfo name="TableStyleLight4"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2000000}" name="Table151824" displayName="Table151824" ref="Q57:R60" totalsRowShown="0">
  <autoFilter ref="Q57:R60" xr:uid="{00000000-0009-0000-0100-000017000000}"/>
  <tableColumns count="2">
    <tableColumn id="5" xr3:uid="{00000000-0010-0000-1200-000005000000}" name="SPK"/>
    <tableColumn id="6" xr3:uid="{00000000-0010-0000-1200-000006000000}" name="Ver"/>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7:C19" totalsRowShown="0" dataDxfId="124">
  <autoFilter ref="A17:C19" xr:uid="{00000000-0009-0000-0100-000004000000}"/>
  <tableColumns count="3">
    <tableColumn id="1" xr3:uid="{00000000-0010-0000-0100-000001000000}" name="Choose your commencing study period (drop-down list)" dataDxfId="123"/>
    <tableColumn id="2" xr3:uid="{00000000-0010-0000-0100-000002000000}" name="START" dataDxfId="122"/>
    <tableColumn id="3" xr3:uid="{00000000-0010-0000-0100-000003000000}" name="Next" dataDxfId="121"/>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3000000}" name="Table1517192025" displayName="Table1517192025" ref="Q62:R79" totalsRowShown="0">
  <autoFilter ref="Q62:R79" xr:uid="{00000000-0009-0000-0100-000018000000}"/>
  <tableColumns count="2">
    <tableColumn id="5" xr3:uid="{00000000-0010-0000-1300-000005000000}" name="SPK"/>
    <tableColumn id="6" xr3:uid="{00000000-0010-0000-1300-000006000000}" name="Ver"/>
  </tableColumns>
  <tableStyleInfo name="TableStyleLight4"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4000000}" name="Table151719202526" displayName="Table151719202526" ref="Q81:R98" totalsRowShown="0">
  <autoFilter ref="Q81:R98" xr:uid="{00000000-0009-0000-0100-000019000000}"/>
  <tableColumns count="2">
    <tableColumn id="5" xr3:uid="{00000000-0010-0000-1400-000005000000}" name="SPK"/>
    <tableColumn id="6" xr3:uid="{00000000-0010-0000-1400-000006000000}" name="Ver"/>
  </tableColumns>
  <tableStyleInfo name="TableStyleLight4"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5000000}" name="TableAvailabilities" displayName="TableAvailabilities" ref="A3:E16" totalsRowShown="0">
  <autoFilter ref="A3:E16" xr:uid="{00000000-0009-0000-0100-00000D000000}"/>
  <tableColumns count="5">
    <tableColumn id="1" xr3:uid="{00000000-0010-0000-1500-000001000000}" name="Row Labels"/>
    <tableColumn id="2" xr3:uid="{00000000-0010-0000-1500-000002000000}" name="Sem1 Internal" dataDxfId="37"/>
    <tableColumn id="3" xr3:uid="{00000000-0010-0000-1500-000003000000}" name="Sem1 Online" dataDxfId="36"/>
    <tableColumn id="4" xr3:uid="{00000000-0010-0000-1500-000004000000}" name="Sem2 Internal" dataDxfId="35"/>
    <tableColumn id="5" xr3:uid="{00000000-0010-0000-1500-000005000000}" name="Sem2 Online" dataDxfId="34"/>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Streams" displayName="TableStreams" ref="A22:G26" totalsRowShown="0" dataDxfId="120">
  <autoFilter ref="A22:G26" xr:uid="{00000000-0009-0000-0100-000005000000}"/>
  <tableColumns count="7">
    <tableColumn id="1" xr3:uid="{00000000-0010-0000-0200-000001000000}" name="Choose your Stream" dataDxfId="119"/>
    <tableColumn id="2" xr3:uid="{00000000-0010-0000-0200-000002000000}" name="UDC" dataDxfId="118"/>
    <tableColumn id="3" xr3:uid="{00000000-0010-0000-0200-000003000000}" name="SM Version" dataDxfId="117"/>
    <tableColumn id="4" xr3:uid="{00000000-0010-0000-0200-000004000000}" name="SM Effective Date" dataDxfId="116"/>
    <tableColumn id="5" xr3:uid="{00000000-0010-0000-0200-000005000000}" name="Akari Iteration" dataDxfId="115"/>
    <tableColumn id="6" xr3:uid="{00000000-0010-0000-0200-000006000000}" name="Akari Effective Date" dataDxfId="114"/>
    <tableColumn id="7" xr3:uid="{00000000-0010-0000-0200-000007000000}" name="Credit Points" dataDxfId="113"/>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3000000}" name="TableCourses2" displayName="TableCourses2" ref="A11:H13" totalsRowShown="0" headerRowDxfId="112">
  <autoFilter ref="A11:H13" xr:uid="{00000000-0009-0000-0100-00000E000000}"/>
  <tableColumns count="8">
    <tableColumn id="3" xr3:uid="{00000000-0010-0000-0300-000003000000}" name="Choose your Master of Project Management Stream (drop-down list)" dataDxfId="111"/>
    <tableColumn id="1" xr3:uid="{00000000-0010-0000-0300-000001000000}" name="UDC" dataDxfId="110"/>
    <tableColumn id="2" xr3:uid="{00000000-0010-0000-0300-000002000000}" name="SM Version" dataDxfId="109"/>
    <tableColumn id="5" xr3:uid="{00000000-0010-0000-0300-000005000000}" name="SM Effective Date" dataDxfId="108"/>
    <tableColumn id="4" xr3:uid="{00000000-0010-0000-0300-000004000000}" name="Akari Iteration" dataDxfId="107"/>
    <tableColumn id="6" xr3:uid="{00000000-0010-0000-0300-000006000000}" name="Akari Effective Date" dataDxfId="106"/>
    <tableColumn id="7" xr3:uid="{00000000-0010-0000-0300-000007000000}" name="Credit Points" dataDxfId="105"/>
    <tableColumn id="8" xr3:uid="{00000000-0010-0000-0300-000008000000}" name="SM Availabilities" dataDxfId="104"/>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Handbook" displayName="TableHandbook" ref="A2:S24" totalsRowShown="0" headerRowDxfId="103">
  <autoFilter ref="A2:S24" xr:uid="{00000000-0009-0000-0100-000002000000}"/>
  <sortState xmlns:xlrd2="http://schemas.microsoft.com/office/spreadsheetml/2017/richdata2" ref="A3:S28">
    <sortCondition ref="A2:A28"/>
  </sortState>
  <tableColumns count="19">
    <tableColumn id="1" xr3:uid="{00000000-0010-0000-0400-000001000000}" name="UDC"/>
    <tableColumn id="2" xr3:uid="{00000000-0010-0000-0400-000002000000}" name="Ver" dataDxfId="102"/>
    <tableColumn id="3" xr3:uid="{00000000-0010-0000-0400-000003000000}" name="OUA Cd" dataDxfId="101"/>
    <tableColumn id="4" xr3:uid="{00000000-0010-0000-0400-000004000000}" name="Title"/>
    <tableColumn id="5" xr3:uid="{00000000-0010-0000-0400-000005000000}" name="Credits" dataDxfId="100"/>
    <tableColumn id="6" xr3:uid="{00000000-0010-0000-0400-000006000000}" name="Pre-reqs (10/10/2024)" dataDxfId="99"/>
    <tableColumn id="12" xr3:uid="{00000000-0010-0000-0400-00000C000000}" name="S1INT" dataDxfId="98">
      <calculatedColumnFormula>IFERROR(IF(VLOOKUP(TableHandbook[[#This Row],[UDC]],TableAvailabilities[],2,FALSE)&gt;0,"Y",""),"")</calculatedColumnFormula>
    </tableColumn>
    <tableColumn id="13" xr3:uid="{00000000-0010-0000-0400-00000D000000}" name="S1FO" dataDxfId="97">
      <calculatedColumnFormula>IFERROR(IF(VLOOKUP(TableHandbook[[#This Row],[UDC]],TableAvailabilities[],3,FALSE)&gt;0,"Y",""),"")</calculatedColumnFormula>
    </tableColumn>
    <tableColumn id="14" xr3:uid="{00000000-0010-0000-0400-00000E000000}" name="S2INT" dataDxfId="96">
      <calculatedColumnFormula>IFERROR(IF(VLOOKUP(TableHandbook[[#This Row],[UDC]],TableAvailabilities[],4,FALSE)&gt;0,"Y",""),"")</calculatedColumnFormula>
    </tableColumn>
    <tableColumn id="15" xr3:uid="{00000000-0010-0000-0400-00000F000000}" name="S2FO" dataDxfId="95">
      <calculatedColumnFormula>IFERROR(IF(VLOOKUP(TableHandbook[[#This Row],[UDC]],TableAvailabilities[],5,FALSE)&gt;0,"Y",""),"")</calculatedColumnFormula>
    </tableColumn>
    <tableColumn id="16" xr3:uid="{00000000-0010-0000-0400-000010000000}" name="Notes"/>
    <tableColumn id="8" xr3:uid="{00000000-0010-0000-0400-000008000000}" name="GC-PROJM" dataDxfId="94">
      <calculatedColumnFormula>IFERROR(VLOOKUP(TableHandbook[[#This Row],[UDC]],TableGCPROJM[],7,FALSE),"")</calculatedColumnFormula>
    </tableColumn>
    <tableColumn id="9" xr3:uid="{00000000-0010-0000-0400-000009000000}" name="GD-PROJM" dataDxfId="93">
      <calculatedColumnFormula>IFERROR(VLOOKUP(TableHandbook[[#This Row],[UDC]],TableGDPROJM[],7,FALSE),"")</calculatedColumnFormula>
    </tableColumn>
    <tableColumn id="7" xr3:uid="{00000000-0010-0000-0400-000007000000}" name="MC-PROJM" dataDxfId="92">
      <calculatedColumnFormula>IFERROR(VLOOKUP(TableHandbook[[#This Row],[UDC]],TableMCPROJM1.5[],7,FALSE),"")</calculatedColumnFormula>
    </tableColumn>
    <tableColumn id="10" xr3:uid="{00000000-0010-0000-0400-00000A000000}" name="STRP-PROFL" dataDxfId="91">
      <calculatedColumnFormula>IFERROR(VLOOKUP(TableHandbook[[#This Row],[UDC]],TableSTRPPROFL1.5[],7,FALSE),"")</calculatedColumnFormula>
    </tableColumn>
    <tableColumn id="20" xr3:uid="{00000000-0010-0000-0400-000014000000}" name="STRP-RESCH" dataDxfId="90">
      <calculatedColumnFormula>IFERROR(VLOOKUP(TableHandbook[[#This Row],[UDC]],TableSTRPRESCH1.5[],7,FALSE),"")</calculatedColumnFormula>
    </tableColumn>
    <tableColumn id="17" xr3:uid="{00000000-0010-0000-0400-000011000000}" name="MC-PROJM2" dataDxfId="89">
      <calculatedColumnFormula>IFERROR(VLOOKUP(TableHandbook[[#This Row],[UDC]],TableMCPROJM2[],7,FALSE),"")</calculatedColumnFormula>
    </tableColumn>
    <tableColumn id="21" xr3:uid="{00000000-0010-0000-0400-000015000000}" name="STRP-PROF2" dataDxfId="88">
      <calculatedColumnFormula>IFERROR(VLOOKUP(TableHandbook[[#This Row],[UDC]],TableSTRPPROF2[],7,FALSE),"")</calculatedColumnFormula>
    </tableColumn>
    <tableColumn id="11" xr3:uid="{00000000-0010-0000-0400-00000B000000}" name="STRP-RSCH2" dataDxfId="87">
      <calculatedColumnFormula>IFERROR(VLOOKUP(TableHandbook[[#This Row],[UDC]],TableSTRPRSCH2[],7,FALSE),"")</calculatedColumnFormula>
    </tableColumn>
  </tableColumns>
  <tableStyleInfo name="TableStyleLight11"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GCPROJM" displayName="TableGCPROJM" ref="A2:O6" totalsRowShown="0">
  <autoFilter ref="A2:O6" xr:uid="{00000000-0009-0000-0100-000001000000}"/>
  <sortState xmlns:xlrd2="http://schemas.microsoft.com/office/spreadsheetml/2017/richdata2" ref="A3:O6">
    <sortCondition ref="F2:F6"/>
  </sortState>
  <tableColumns count="15">
    <tableColumn id="1" xr3:uid="{00000000-0010-0000-0500-000001000000}" name="UDC" dataDxfId="86">
      <calculatedColumnFormula>TableGCPROJM[[#This Row],[Study Package Code]]</calculatedColumnFormula>
    </tableColumn>
    <tableColumn id="9" xr3:uid="{00000000-0010-0000-0500-000009000000}" name="Version" dataDxfId="85">
      <calculatedColumnFormula>TableGCPROJM[[#This Row],[Ver]]</calculatedColumnFormula>
    </tableColumn>
    <tableColumn id="10" xr3:uid="{00000000-0010-0000-0500-00000A000000}" name="OUA Code"/>
    <tableColumn id="11" xr3:uid="{00000000-0010-0000-0500-00000B000000}" name="Unit Title" dataDxfId="84">
      <calculatedColumnFormula>TableGCPROJM[[#This Row],[Structure Line]]</calculatedColumnFormula>
    </tableColumn>
    <tableColumn id="12" xr3:uid="{00000000-0010-0000-0500-00000C000000}" name="CPs" dataDxfId="83">
      <calculatedColumnFormula>TableGCPROJM[[#This Row],[Credit Points]]</calculatedColumnFormula>
    </tableColumn>
    <tableColumn id="13" xr3:uid="{00000000-0010-0000-0500-00000D000000}" name="No."/>
    <tableColumn id="2" xr3:uid="{00000000-0010-0000-0500-000002000000}" name="Component Type"/>
    <tableColumn id="3" xr3:uid="{00000000-0010-0000-0500-000003000000}" name="Year Level"/>
    <tableColumn id="4" xr3:uid="{00000000-0010-0000-0500-000004000000}" name="Study Period"/>
    <tableColumn id="5" xr3:uid="{00000000-0010-0000-0500-000005000000}" name="Study Package Code"/>
    <tableColumn id="6" xr3:uid="{00000000-0010-0000-0500-000006000000}" name="Ver"/>
    <tableColumn id="7" xr3:uid="{00000000-0010-0000-0500-000007000000}" name="Structure Line"/>
    <tableColumn id="8" xr3:uid="{00000000-0010-0000-0500-000008000000}" name="Credit Points"/>
    <tableColumn id="14" xr3:uid="{00000000-0010-0000-0500-00000E000000}" name="Effective" dataDxfId="82"/>
    <tableColumn id="15" xr3:uid="{00000000-0010-0000-0500-00000F000000}" name="Discont." dataDxfId="8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GDPROJM" displayName="TableGDPROJM" ref="A10:O20" totalsRowShown="0">
  <autoFilter ref="A10:O20" xr:uid="{00000000-0009-0000-0100-000006000000}"/>
  <sortState xmlns:xlrd2="http://schemas.microsoft.com/office/spreadsheetml/2017/richdata2" ref="A11:O19">
    <sortCondition ref="F10:F19"/>
  </sortState>
  <tableColumns count="15">
    <tableColumn id="1" xr3:uid="{00000000-0010-0000-0600-000001000000}" name="UDC" dataDxfId="80">
      <calculatedColumnFormula>TableGDPROJM[[#This Row],[Study Package Code]]</calculatedColumnFormula>
    </tableColumn>
    <tableColumn id="9" xr3:uid="{00000000-0010-0000-0600-000009000000}" name="Version" dataDxfId="79">
      <calculatedColumnFormula>TableGDPROJM[[#This Row],[Ver]]</calculatedColumnFormula>
    </tableColumn>
    <tableColumn id="10" xr3:uid="{00000000-0010-0000-0600-00000A000000}" name="OUA Code"/>
    <tableColumn id="11" xr3:uid="{00000000-0010-0000-0600-00000B000000}" name="Unit Title" dataDxfId="78">
      <calculatedColumnFormula>TableGDPROJM[[#This Row],[Structure Line]]</calculatedColumnFormula>
    </tableColumn>
    <tableColumn id="12" xr3:uid="{00000000-0010-0000-0600-00000C000000}" name="CPs" dataDxfId="77">
      <calculatedColumnFormula>TableGDPROJM[[#This Row],[Credit Points]]</calculatedColumnFormula>
    </tableColumn>
    <tableColumn id="13" xr3:uid="{00000000-0010-0000-0600-00000D000000}" name="No."/>
    <tableColumn id="2" xr3:uid="{00000000-0010-0000-0600-000002000000}" name="Component Type"/>
    <tableColumn id="3" xr3:uid="{00000000-0010-0000-0600-000003000000}" name="Year Level"/>
    <tableColumn id="4" xr3:uid="{00000000-0010-0000-0600-000004000000}" name="Study Period"/>
    <tableColumn id="5" xr3:uid="{00000000-0010-0000-0600-000005000000}" name="Study Package Code"/>
    <tableColumn id="6" xr3:uid="{00000000-0010-0000-0600-000006000000}" name="Ver"/>
    <tableColumn id="7" xr3:uid="{00000000-0010-0000-0600-000007000000}" name="Structure Line"/>
    <tableColumn id="8" xr3:uid="{00000000-0010-0000-0600-000008000000}" name="Credit Points"/>
    <tableColumn id="14" xr3:uid="{00000000-0010-0000-0600-00000E000000}" name="Effective" dataDxfId="76"/>
    <tableColumn id="15" xr3:uid="{00000000-0010-0000-0600-00000F000000}" name="Discont." dataDxfId="7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leMCPROJM1.5" displayName="TableMCPROJM1.5" ref="A24:O27" totalsRowShown="0">
  <autoFilter ref="A24:O27" xr:uid="{00000000-0009-0000-0100-000007000000}"/>
  <sortState xmlns:xlrd2="http://schemas.microsoft.com/office/spreadsheetml/2017/richdata2" ref="Q23:AW30">
    <sortCondition ref="U10:U18"/>
  </sortState>
  <tableColumns count="15">
    <tableColumn id="15" xr3:uid="{00000000-0010-0000-0700-00000F000000}" name="UDC" dataDxfId="74">
      <calculatedColumnFormula>TableMCPROJM1.5[[#This Row],[Study Package Code]]</calculatedColumnFormula>
    </tableColumn>
    <tableColumn id="16" xr3:uid="{00000000-0010-0000-0700-000010000000}" name="Version" dataDxfId="73">
      <calculatedColumnFormula>TableMCPROJM1.5[[#This Row],[Ver]]</calculatedColumnFormula>
    </tableColumn>
    <tableColumn id="17" xr3:uid="{00000000-0010-0000-0700-000011000000}" name="OUA Code"/>
    <tableColumn id="18" xr3:uid="{00000000-0010-0000-0700-000012000000}" name="Unit Title" dataDxfId="72">
      <calculatedColumnFormula>TableMCPROJM1.5[[#This Row],[Structure Line]]</calculatedColumnFormula>
    </tableColumn>
    <tableColumn id="19" xr3:uid="{00000000-0010-0000-0700-000013000000}" name="CPs" dataDxfId="71">
      <calculatedColumnFormula>TableMCPROJM1.5[[#This Row],[Credit Points]]</calculatedColumnFormula>
    </tableColumn>
    <tableColumn id="1" xr3:uid="{00000000-0010-0000-0700-000001000000}" name="No."/>
    <tableColumn id="2" xr3:uid="{00000000-0010-0000-0700-000002000000}" name="Component Type"/>
    <tableColumn id="3" xr3:uid="{00000000-0010-0000-0700-000003000000}" name="Year Level"/>
    <tableColumn id="4" xr3:uid="{00000000-0010-0000-0700-000004000000}" name="Study Period"/>
    <tableColumn id="5" xr3:uid="{00000000-0010-0000-0700-000005000000}" name="Study Package Code"/>
    <tableColumn id="6" xr3:uid="{00000000-0010-0000-0700-000006000000}" name="Ver"/>
    <tableColumn id="7" xr3:uid="{00000000-0010-0000-0700-000007000000}" name="Structure Line"/>
    <tableColumn id="8" xr3:uid="{00000000-0010-0000-0700-000008000000}" name="Credit Points"/>
    <tableColumn id="9" xr3:uid="{00000000-0010-0000-0700-000009000000}" name="Effective" dataDxfId="70"/>
    <tableColumn id="10" xr3:uid="{00000000-0010-0000-0700-00000A000000}" name="Discont." dataDxfId="69"/>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TableSTRPPROFL1.5" displayName="TableSTRPPROFL1.5" ref="A29:O40" totalsRowShown="0">
  <autoFilter ref="A29:O40" xr:uid="{00000000-0009-0000-0100-000008000000}"/>
  <sortState xmlns:xlrd2="http://schemas.microsoft.com/office/spreadsheetml/2017/richdata2" ref="A30:O40">
    <sortCondition ref="F29:F40"/>
  </sortState>
  <tableColumns count="15">
    <tableColumn id="9" xr3:uid="{00000000-0010-0000-0800-000009000000}" name="UDC" dataDxfId="68">
      <calculatedColumnFormula>TableSTRPPROFL1.5[[#This Row],[Study Package Code]]</calculatedColumnFormula>
    </tableColumn>
    <tableColumn id="10" xr3:uid="{00000000-0010-0000-0800-00000A000000}" name="Version" dataDxfId="67">
      <calculatedColumnFormula>TableSTRPPROFL1.5[[#This Row],[Ver]]</calculatedColumnFormula>
    </tableColumn>
    <tableColumn id="11" xr3:uid="{00000000-0010-0000-0800-00000B000000}" name="OUA Code"/>
    <tableColumn id="12" xr3:uid="{00000000-0010-0000-0800-00000C000000}" name="Unit Title" dataDxfId="66">
      <calculatedColumnFormula>TableSTRPPROFL1.5[[#This Row],[Structure Line]]</calculatedColumnFormula>
    </tableColumn>
    <tableColumn id="13" xr3:uid="{00000000-0010-0000-0800-00000D000000}" name="CPs" dataDxfId="65">
      <calculatedColumnFormula>TableSTRPPROFL1.5[[#This Row],[Credit Points]]</calculatedColumnFormula>
    </tableColumn>
    <tableColumn id="1" xr3:uid="{00000000-0010-0000-0800-000001000000}" name="No."/>
    <tableColumn id="2" xr3:uid="{00000000-0010-0000-0800-000002000000}" name="Component Type"/>
    <tableColumn id="3" xr3:uid="{00000000-0010-0000-0800-000003000000}" name="Year Level"/>
    <tableColumn id="4" xr3:uid="{00000000-0010-0000-0800-000004000000}" name="Study Period"/>
    <tableColumn id="5" xr3:uid="{00000000-0010-0000-0800-000005000000}" name="Study Package Code"/>
    <tableColumn id="6" xr3:uid="{00000000-0010-0000-0800-000006000000}" name="Ver"/>
    <tableColumn id="7" xr3:uid="{00000000-0010-0000-0800-000007000000}" name="Structure Line"/>
    <tableColumn id="8" xr3:uid="{00000000-0010-0000-0800-000008000000}" name="Credit Points"/>
    <tableColumn id="14" xr3:uid="{00000000-0010-0000-0800-00000E000000}" name="Effective" dataDxfId="64"/>
    <tableColumn id="15" xr3:uid="{00000000-0010-0000-0800-00000F000000}" name="Discont." dataDxfId="6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17" Type="http://schemas.openxmlformats.org/officeDocument/2006/relationships/table" Target="../tables/table21.xml"/><Relationship Id="rId2" Type="http://schemas.openxmlformats.org/officeDocument/2006/relationships/table" Target="../tables/table6.xml"/><Relationship Id="rId16" Type="http://schemas.openxmlformats.org/officeDocument/2006/relationships/table" Target="../tables/table20.xml"/><Relationship Id="rId1" Type="http://schemas.openxmlformats.org/officeDocument/2006/relationships/printerSettings" Target="../printerSettings/printerSettings5.bin"/><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2"/>
  <sheetViews>
    <sheetView showGridLines="0" topLeftCell="A3" workbookViewId="0">
      <selection activeCell="L4" sqref="L4"/>
    </sheetView>
  </sheetViews>
  <sheetFormatPr defaultRowHeight="15" x14ac:dyDescent="0.25"/>
  <cols>
    <col min="1" max="1" width="8.75" style="26" customWidth="1"/>
    <col min="2" max="2" width="3.25" style="26" customWidth="1"/>
    <col min="3" max="3" width="5.875" style="26" customWidth="1"/>
    <col min="4" max="4" width="57.625" style="25" bestFit="1" customWidth="1"/>
    <col min="5" max="5" width="7" style="25" customWidth="1"/>
    <col min="6" max="6" width="19" style="25" customWidth="1"/>
    <col min="7" max="7" width="5.625" style="25" customWidth="1"/>
    <col min="8" max="11" width="4.625" style="25" customWidth="1"/>
    <col min="12" max="12" width="18.625" style="25" customWidth="1"/>
    <col min="13" max="13" width="2.5" style="25" hidden="1" customWidth="1"/>
    <col min="14" max="16384" width="9" style="25"/>
  </cols>
  <sheetData>
    <row r="1" spans="1:16" hidden="1" x14ac:dyDescent="0.25">
      <c r="A1" s="21" t="s">
        <v>0</v>
      </c>
      <c r="B1" s="22" t="s">
        <v>1</v>
      </c>
      <c r="C1" s="22" t="s">
        <v>2</v>
      </c>
      <c r="D1" s="23" t="s">
        <v>3</v>
      </c>
      <c r="E1" s="23" t="s">
        <v>4</v>
      </c>
      <c r="F1" s="23" t="s">
        <v>5</v>
      </c>
      <c r="G1" s="23" t="s">
        <v>6</v>
      </c>
      <c r="H1" s="24" t="s">
        <v>7</v>
      </c>
      <c r="I1" s="23"/>
      <c r="J1" s="23"/>
      <c r="K1" s="23"/>
      <c r="L1" s="23" t="s">
        <v>8</v>
      </c>
    </row>
    <row r="2" spans="1:16" hidden="1" x14ac:dyDescent="0.25">
      <c r="A2" s="56"/>
      <c r="B2" s="57">
        <v>2</v>
      </c>
      <c r="C2" s="57">
        <v>3</v>
      </c>
      <c r="D2" s="57">
        <v>4</v>
      </c>
      <c r="E2" s="57"/>
      <c r="F2" s="57">
        <v>6</v>
      </c>
      <c r="G2" s="57">
        <v>5</v>
      </c>
      <c r="H2" s="57">
        <v>7</v>
      </c>
      <c r="I2" s="57">
        <v>8</v>
      </c>
      <c r="J2" s="57">
        <v>9</v>
      </c>
      <c r="K2" s="57">
        <v>10</v>
      </c>
      <c r="L2" s="57"/>
    </row>
    <row r="3" spans="1:16" ht="39.950000000000003" customHeight="1" x14ac:dyDescent="0.25">
      <c r="A3" s="198" t="s">
        <v>9</v>
      </c>
      <c r="B3" s="198"/>
      <c r="C3" s="198"/>
      <c r="D3" s="198"/>
      <c r="E3" s="62"/>
      <c r="F3" s="62"/>
      <c r="G3" s="62"/>
      <c r="H3" s="62"/>
      <c r="I3" s="62"/>
      <c r="J3" s="62"/>
      <c r="K3" s="62"/>
      <c r="L3" s="62"/>
    </row>
    <row r="4" spans="1:16" ht="26.25" x14ac:dyDescent="0.25">
      <c r="A4" s="193"/>
      <c r="B4" s="194"/>
      <c r="C4" s="194"/>
      <c r="D4" s="195"/>
      <c r="E4" s="197" t="s">
        <v>10</v>
      </c>
      <c r="F4" s="194"/>
      <c r="G4" s="196"/>
      <c r="H4" s="196"/>
      <c r="I4" s="196"/>
      <c r="J4" s="196"/>
      <c r="K4" s="196"/>
      <c r="L4" s="118" t="str">
        <f>CONCATENATE(VLOOKUP(D5,TableCourses1[],2,FALSE),VLOOKUP(D6,TableStudyPeriod[],2,FALSE))</f>
        <v>GC-PROJMSem2</v>
      </c>
    </row>
    <row r="5" spans="1:16" ht="20.100000000000001" customHeight="1" x14ac:dyDescent="0.25">
      <c r="B5" s="63"/>
      <c r="C5" s="64" t="s">
        <v>11</v>
      </c>
      <c r="D5" s="59" t="s">
        <v>66</v>
      </c>
      <c r="E5" s="65"/>
      <c r="F5" s="64" t="s">
        <v>13</v>
      </c>
      <c r="G5" s="65" t="str">
        <f>IFERROR(CONCATENATE(VLOOKUP(D5,TableCourses1[],2,FALSE)," ",VLOOKUP(D5,TableCourses1[],3,FALSE)),"")</f>
        <v>GC-PROJM v.1</v>
      </c>
      <c r="H5" s="65"/>
      <c r="I5" s="65"/>
      <c r="J5" s="65"/>
      <c r="K5" s="65"/>
      <c r="L5" s="66"/>
    </row>
    <row r="6" spans="1:16" ht="20.100000000000001" customHeight="1" x14ac:dyDescent="0.25">
      <c r="A6" s="67"/>
      <c r="B6" s="68"/>
      <c r="C6" s="64" t="s">
        <v>14</v>
      </c>
      <c r="D6" s="53" t="s">
        <v>15</v>
      </c>
      <c r="E6" s="69"/>
      <c r="F6" s="64" t="s">
        <v>16</v>
      </c>
      <c r="G6" s="65" t="str">
        <f>IFERROR(VLOOKUP($D$5,TableCourses1[],7,FALSE),"")</f>
        <v xml:space="preserve">100 credit points required </v>
      </c>
      <c r="H6" s="70"/>
      <c r="I6" s="70"/>
      <c r="J6" s="70"/>
      <c r="K6" s="70"/>
      <c r="L6" s="70"/>
    </row>
    <row r="7" spans="1:16" s="28" customFormat="1" ht="14.1" customHeight="1" x14ac:dyDescent="0.25">
      <c r="A7" s="71"/>
      <c r="B7" s="71"/>
      <c r="C7" s="71"/>
      <c r="D7" s="72"/>
      <c r="E7" s="73"/>
      <c r="F7" s="71"/>
      <c r="G7" s="71"/>
      <c r="H7" s="74" t="s">
        <v>17</v>
      </c>
      <c r="I7" s="75"/>
      <c r="J7" s="75"/>
      <c r="K7" s="76"/>
      <c r="L7" s="73"/>
      <c r="M7" s="77"/>
      <c r="N7" s="77"/>
      <c r="O7" s="77"/>
    </row>
    <row r="8" spans="1:16" s="28" customFormat="1" ht="21" x14ac:dyDescent="0.25">
      <c r="A8" s="71" t="s">
        <v>18</v>
      </c>
      <c r="B8" s="71"/>
      <c r="C8" s="71"/>
      <c r="D8" s="72" t="s">
        <v>3</v>
      </c>
      <c r="E8" s="78" t="s">
        <v>19</v>
      </c>
      <c r="F8" s="78" t="s">
        <v>20</v>
      </c>
      <c r="G8" s="71" t="s">
        <v>21</v>
      </c>
      <c r="H8" s="79" t="s">
        <v>22</v>
      </c>
      <c r="I8" s="80" t="s">
        <v>23</v>
      </c>
      <c r="J8" s="79" t="s">
        <v>24</v>
      </c>
      <c r="K8" s="80" t="s">
        <v>25</v>
      </c>
      <c r="L8" s="71" t="s">
        <v>26</v>
      </c>
      <c r="M8" s="77"/>
      <c r="N8" s="77"/>
      <c r="O8" s="77"/>
    </row>
    <row r="9" spans="1:16" s="29" customFormat="1" ht="20.100000000000001" customHeight="1" x14ac:dyDescent="0.15">
      <c r="A9" s="81" t="str">
        <f>IFERROR(IF(HLOOKUP($L$4,RangeUnitsets,M9,FALSE)=0,"",HLOOKUP($L$4,RangeUnitsets,M9,FALSE)),"")</f>
        <v>PRJM6000</v>
      </c>
      <c r="B9" s="82">
        <f>IFERROR(IF(VLOOKUP($A9,TableHandbook[],2,FALSE)=0,"",VLOOKUP($A9,TableHandbook[],2,FALSE)),"")</f>
        <v>1</v>
      </c>
      <c r="C9" s="82" t="str">
        <f>IFERROR(IF(VLOOKUP($A9,TableHandbook[],3,FALSE)=0,"",VLOOKUP($A9,TableHandbook[],3,FALSE)),"")</f>
        <v/>
      </c>
      <c r="D9" s="83" t="str">
        <f>IFERROR(IF(VLOOKUP($A9,TableHandbook[],4,FALSE)=0,"",VLOOKUP($A9,TableHandbook[],4,FALSE)),"")</f>
        <v>Project Management Overview</v>
      </c>
      <c r="E9" s="82" t="str">
        <f>IF(A9="","",VLOOKUP($D$6,TableStudyPeriod[],2,FALSE))</f>
        <v>Sem2</v>
      </c>
      <c r="F9" s="84" t="str">
        <f>IFERROR(IF(VLOOKUP($A9,TableHandbook[],6,FALSE)=0,"",VLOOKUP($A9,TableHandbook[],6,FALSE)),"")</f>
        <v>None</v>
      </c>
      <c r="G9" s="82">
        <f>IFERROR(IF(VLOOKUP($A9,TableHandbook[],5,FALSE)=0,"",VLOOKUP($A9,TableHandbook[],5,FALSE)),"")</f>
        <v>25</v>
      </c>
      <c r="H9" s="85" t="str">
        <f>IFERROR(VLOOKUP($A9,TableHandbook[],H$2,FALSE),"")</f>
        <v>Y</v>
      </c>
      <c r="I9" s="86" t="str">
        <f>IFERROR(VLOOKUP($A9,TableHandbook[],I$2,FALSE),"")</f>
        <v>Y</v>
      </c>
      <c r="J9" s="85" t="str">
        <f>IFERROR(VLOOKUP($A9,TableHandbook[],J$2,FALSE),"")</f>
        <v>Y</v>
      </c>
      <c r="K9" s="86" t="str">
        <f>IFERROR(VLOOKUP($A9,TableHandbook[],K$2,FALSE),"")</f>
        <v>Y</v>
      </c>
      <c r="L9" s="38"/>
      <c r="M9" s="87">
        <v>2</v>
      </c>
      <c r="N9" s="88"/>
      <c r="O9" s="88"/>
    </row>
    <row r="10" spans="1:16" s="29" customFormat="1" ht="20.100000000000001" customHeight="1" x14ac:dyDescent="0.15">
      <c r="A10" s="81" t="str">
        <f>IFERROR(IF(HLOOKUP($L$4,RangeUnitsets,M10,FALSE)=0,"",HLOOKUP($L$4,RangeUnitsets,M10,FALSE)),"")</f>
        <v>PRJM6001</v>
      </c>
      <c r="B10" s="82">
        <f>IFERROR(IF(VLOOKUP($A10,TableHandbook[],2,FALSE)=0,"",VLOOKUP($A10,TableHandbook[],2,FALSE)),"")</f>
        <v>1</v>
      </c>
      <c r="C10" s="82" t="str">
        <f>IFERROR(IF(VLOOKUP($A10,TableHandbook[],3,FALSE)=0,"",VLOOKUP($A10,TableHandbook[],3,FALSE)),"")</f>
        <v/>
      </c>
      <c r="D10" s="83" t="str">
        <f>IFERROR(IF(VLOOKUP($A10,TableHandbook[],4,FALSE)=0,"",VLOOKUP($A10,TableHandbook[],4,FALSE)),"")</f>
        <v>Project Cost Management</v>
      </c>
      <c r="E10" s="82" t="str">
        <f t="shared" ref="E10:E11" si="0">IF(OR(A10="",A10="-"),"",E9)</f>
        <v>Sem2</v>
      </c>
      <c r="F10" s="84" t="str">
        <f>IFERROR(IF(VLOOKUP($A10,TableHandbook[],6,FALSE)=0,"",VLOOKUP($A10,TableHandbook[],6,FALSE)),"")</f>
        <v>None</v>
      </c>
      <c r="G10" s="82">
        <f>IFERROR(IF(VLOOKUP($A10,TableHandbook[],5,FALSE)=0,"",VLOOKUP($A10,TableHandbook[],5,FALSE)),"")</f>
        <v>25</v>
      </c>
      <c r="H10" s="85" t="str">
        <f>IFERROR(VLOOKUP($A10,TableHandbook[],H$2,FALSE),"")</f>
        <v>Y</v>
      </c>
      <c r="I10" s="86" t="str">
        <f>IFERROR(VLOOKUP($A10,TableHandbook[],I$2,FALSE),"")</f>
        <v>Y</v>
      </c>
      <c r="J10" s="85" t="str">
        <f>IFERROR(VLOOKUP($A10,TableHandbook[],J$2,FALSE),"")</f>
        <v>Y</v>
      </c>
      <c r="K10" s="86" t="str">
        <f>IFERROR(VLOOKUP($A10,TableHandbook[],K$2,FALSE),"")</f>
        <v>Y</v>
      </c>
      <c r="L10" s="38"/>
      <c r="M10" s="87">
        <v>3</v>
      </c>
      <c r="N10" s="88"/>
      <c r="O10" s="88"/>
    </row>
    <row r="11" spans="1:16" s="29" customFormat="1" ht="20.100000000000001" customHeight="1" x14ac:dyDescent="0.15">
      <c r="A11" s="81" t="str">
        <f>IFERROR(IF(HLOOKUP($L$4,RangeUnitsets,M11,FALSE)=0,"",HLOOKUP($L$4,RangeUnitsets,M11,FALSE)),"")</f>
        <v>PRJM6002</v>
      </c>
      <c r="B11" s="82">
        <f>IFERROR(IF(VLOOKUP($A11,TableHandbook[],2,FALSE)=0,"",VLOOKUP($A11,TableHandbook[],2,FALSE)),"")</f>
        <v>2</v>
      </c>
      <c r="C11" s="82" t="str">
        <f>IFERROR(IF(VLOOKUP($A11,TableHandbook[],3,FALSE)=0,"",VLOOKUP($A11,TableHandbook[],3,FALSE)),"")</f>
        <v/>
      </c>
      <c r="D11" s="83" t="str">
        <f>IFERROR(IF(VLOOKUP($A11,TableHandbook[],4,FALSE)=0,"",VLOOKUP($A11,TableHandbook[],4,FALSE)),"")</f>
        <v>Project Planning and Schedule Management</v>
      </c>
      <c r="E11" s="82" t="str">
        <f t="shared" si="0"/>
        <v>Sem2</v>
      </c>
      <c r="F11" s="84" t="str">
        <f>IFERROR(IF(VLOOKUP($A11,TableHandbook[],6,FALSE)=0,"",VLOOKUP($A11,TableHandbook[],6,FALSE)),"")</f>
        <v>None</v>
      </c>
      <c r="G11" s="82">
        <f>IFERROR(IF(VLOOKUP($A11,TableHandbook[],5,FALSE)=0,"",VLOOKUP($A11,TableHandbook[],5,FALSE)),"")</f>
        <v>25</v>
      </c>
      <c r="H11" s="85" t="str">
        <f>IFERROR(VLOOKUP($A11,TableHandbook[],H$2,FALSE),"")</f>
        <v>Y</v>
      </c>
      <c r="I11" s="86" t="str">
        <f>IFERROR(VLOOKUP($A11,TableHandbook[],I$2,FALSE),"")</f>
        <v>Y</v>
      </c>
      <c r="J11" s="85" t="str">
        <f>IFERROR(VLOOKUP($A11,TableHandbook[],J$2,FALSE),"")</f>
        <v>Y</v>
      </c>
      <c r="K11" s="86" t="str">
        <f>IFERROR(VLOOKUP($A11,TableHandbook[],K$2,FALSE),"")</f>
        <v>Y</v>
      </c>
      <c r="L11" s="39"/>
      <c r="M11" s="87">
        <v>4</v>
      </c>
      <c r="N11" s="88"/>
      <c r="O11" s="88"/>
    </row>
    <row r="12" spans="1:16" s="29" customFormat="1" ht="20.100000000000001" customHeight="1" x14ac:dyDescent="0.15">
      <c r="A12" s="81" t="str">
        <f>IFERROR(IF(HLOOKUP($L$4,RangeUnitsets,M12,FALSE)=0,"",HLOOKUP($L$4,RangeUnitsets,M12,FALSE)),"")</f>
        <v>PRJM6010</v>
      </c>
      <c r="B12" s="82">
        <f>IFERROR(IF(VLOOKUP($A12,TableHandbook[],2,FALSE)=0,"",VLOOKUP($A12,TableHandbook[],2,FALSE)),"")</f>
        <v>1</v>
      </c>
      <c r="C12" s="82" t="str">
        <f>IFERROR(IF(VLOOKUP($A12,TableHandbook[],3,FALSE)=0,"",VLOOKUP($A12,TableHandbook[],3,FALSE)),"")</f>
        <v/>
      </c>
      <c r="D12" s="83" t="str">
        <f>IFERROR(IF(VLOOKUP($A12,TableHandbook[],4,FALSE)=0,"",VLOOKUP($A12,TableHandbook[],4,FALSE)),"")</f>
        <v>Project and People</v>
      </c>
      <c r="E12" s="82" t="str">
        <f>IF(OR(A12="",A12="-"),"",E11)</f>
        <v>Sem2</v>
      </c>
      <c r="F12" s="84" t="str">
        <f>IFERROR(IF(VLOOKUP($A12,TableHandbook[],6,FALSE)=0,"",VLOOKUP($A12,TableHandbook[],6,FALSE)),"")</f>
        <v>None</v>
      </c>
      <c r="G12" s="82">
        <f>IFERROR(IF(VLOOKUP($A12,TableHandbook[],5,FALSE)=0,"",VLOOKUP($A12,TableHandbook[],5,FALSE)),"")</f>
        <v>25</v>
      </c>
      <c r="H12" s="85" t="str">
        <f>IFERROR(VLOOKUP($A12,TableHandbook[],H$2,FALSE),"")</f>
        <v>Y</v>
      </c>
      <c r="I12" s="86" t="str">
        <f>IFERROR(VLOOKUP($A12,TableHandbook[],I$2,FALSE),"")</f>
        <v>Y</v>
      </c>
      <c r="J12" s="85" t="str">
        <f>IFERROR(VLOOKUP($A12,TableHandbook[],J$2,FALSE),"")</f>
        <v>Y</v>
      </c>
      <c r="K12" s="86" t="str">
        <f>IFERROR(VLOOKUP($A12,TableHandbook[],K$2,FALSE),"")</f>
        <v>Y</v>
      </c>
      <c r="L12" s="38"/>
      <c r="M12" s="87">
        <v>5</v>
      </c>
      <c r="N12" s="88"/>
      <c r="O12" s="88"/>
    </row>
    <row r="13" spans="1:16" s="29" customFormat="1" ht="5.0999999999999996" customHeight="1" x14ac:dyDescent="0.15">
      <c r="A13" s="89"/>
      <c r="B13" s="90"/>
      <c r="C13" s="90"/>
      <c r="D13" s="91"/>
      <c r="E13" s="90"/>
      <c r="F13" s="92"/>
      <c r="G13" s="90"/>
      <c r="H13" s="93"/>
      <c r="I13" s="94"/>
      <c r="J13" s="93"/>
      <c r="K13" s="94"/>
      <c r="L13" s="58"/>
      <c r="M13" s="87"/>
      <c r="N13" s="88"/>
      <c r="O13" s="88"/>
      <c r="P13" s="88"/>
    </row>
    <row r="14" spans="1:16" s="29" customFormat="1" ht="20.100000000000001" customHeight="1" x14ac:dyDescent="0.15">
      <c r="A14" s="81" t="str">
        <f>IFERROR(IF(HLOOKUP($L$4,RangeUnitsets,M14,FALSE)=0,"",HLOOKUP($L$4,RangeUnitsets,M14,FALSE)),"")</f>
        <v/>
      </c>
      <c r="B14" s="95" t="str">
        <f>IFERROR(IF(VLOOKUP($A14,TableHandbook[],2,FALSE)=0,"",VLOOKUP($A14,TableHandbook[],2,FALSE)),"")</f>
        <v/>
      </c>
      <c r="C14" s="95" t="str">
        <f>IFERROR(IF(VLOOKUP($A14,TableHandbook[],3,FALSE)=0,"",VLOOKUP($A14,TableHandbook[],3,FALSE)),"")</f>
        <v/>
      </c>
      <c r="D14" s="83" t="str">
        <f>IFERROR(IF(VLOOKUP($A14,TableHandbook[],4,FALSE)=0,"",VLOOKUP($A14,TableHandbook[],4,FALSE)),"")</f>
        <v/>
      </c>
      <c r="E14" s="82" t="str">
        <f>IF(A14="","",VLOOKUP($D$6,TableStudyPeriod[],3,FALSE))</f>
        <v/>
      </c>
      <c r="F14" s="84" t="str">
        <f>IFERROR(IF(VLOOKUP($A14,TableHandbook[],6,FALSE)=0,"",VLOOKUP($A14,TableHandbook[],6,FALSE)),"")</f>
        <v/>
      </c>
      <c r="G14" s="95" t="str">
        <f>IFERROR(IF(VLOOKUP($A14,TableHandbook[],5,FALSE)=0,"",VLOOKUP($A14,TableHandbook[],5,FALSE)),"")</f>
        <v/>
      </c>
      <c r="H14" s="96" t="str">
        <f>IFERROR(VLOOKUP($A14,TableHandbook[],H$2,FALSE),"")</f>
        <v/>
      </c>
      <c r="I14" s="97" t="str">
        <f>IFERROR(VLOOKUP($A14,TableHandbook[],I$2,FALSE),"")</f>
        <v/>
      </c>
      <c r="J14" s="96" t="str">
        <f>IFERROR(VLOOKUP($A14,TableHandbook[],J$2,FALSE),"")</f>
        <v/>
      </c>
      <c r="K14" s="97" t="str">
        <f>IFERROR(VLOOKUP($A14,TableHandbook[],K$2,FALSE),"")</f>
        <v/>
      </c>
      <c r="L14" s="39"/>
      <c r="M14" s="87">
        <v>6</v>
      </c>
      <c r="N14" s="88"/>
      <c r="O14" s="88"/>
    </row>
    <row r="15" spans="1:16" s="30" customFormat="1" ht="20.100000000000001" customHeight="1" x14ac:dyDescent="0.15">
      <c r="A15" s="81" t="str">
        <f>IFERROR(IF(HLOOKUP($L$4,RangeUnitsets,M15,FALSE)=0,"",HLOOKUP($L$4,RangeUnitsets,M15,FALSE)),"")</f>
        <v/>
      </c>
      <c r="B15" s="95" t="str">
        <f>IFERROR(IF(VLOOKUP($A15,TableHandbook[],2,FALSE)=0,"",VLOOKUP($A15,TableHandbook[],2,FALSE)),"")</f>
        <v/>
      </c>
      <c r="C15" s="95" t="str">
        <f>IFERROR(IF(VLOOKUP($A15,TableHandbook[],3,FALSE)=0,"",VLOOKUP($A15,TableHandbook[],3,FALSE)),"")</f>
        <v/>
      </c>
      <c r="D15" s="83" t="str">
        <f>IFERROR(IF(VLOOKUP($A15,TableHandbook[],4,FALSE)=0,"",VLOOKUP($A15,TableHandbook[],4,FALSE)),"")</f>
        <v/>
      </c>
      <c r="E15" s="82" t="str">
        <f t="shared" ref="E15:E16" si="1">IF(OR(A15="",A15="-"),"",E14)</f>
        <v/>
      </c>
      <c r="F15" s="84" t="str">
        <f>IFERROR(IF(VLOOKUP($A15,TableHandbook[],6,FALSE)=0,"",VLOOKUP($A15,TableHandbook[],6,FALSE)),"")</f>
        <v/>
      </c>
      <c r="G15" s="95" t="str">
        <f>IFERROR(IF(VLOOKUP($A15,TableHandbook[],5,FALSE)=0,"",VLOOKUP($A15,TableHandbook[],5,FALSE)),"")</f>
        <v/>
      </c>
      <c r="H15" s="96" t="str">
        <f>IFERROR(VLOOKUP($A15,TableHandbook[],H$2,FALSE),"")</f>
        <v/>
      </c>
      <c r="I15" s="97" t="str">
        <f>IFERROR(VLOOKUP($A15,TableHandbook[],I$2,FALSE),"")</f>
        <v/>
      </c>
      <c r="J15" s="96" t="str">
        <f>IFERROR(VLOOKUP($A15,TableHandbook[],J$2,FALSE),"")</f>
        <v/>
      </c>
      <c r="K15" s="97" t="str">
        <f>IFERROR(VLOOKUP($A15,TableHandbook[],K$2,FALSE),"")</f>
        <v/>
      </c>
      <c r="L15" s="39"/>
      <c r="M15" s="87">
        <v>7</v>
      </c>
      <c r="N15" s="98"/>
      <c r="O15" s="98"/>
    </row>
    <row r="16" spans="1:16" s="30" customFormat="1" ht="20.100000000000001" customHeight="1" x14ac:dyDescent="0.15">
      <c r="A16" s="81" t="str">
        <f>IFERROR(IF(HLOOKUP($L$4,RangeUnitsets,M16,FALSE)=0,"",HLOOKUP($L$4,RangeUnitsets,M16,FALSE)),"")</f>
        <v/>
      </c>
      <c r="B16" s="95" t="str">
        <f>IFERROR(IF(VLOOKUP($A16,TableHandbook[],2,FALSE)=0,"",VLOOKUP($A16,TableHandbook[],2,FALSE)),"")</f>
        <v/>
      </c>
      <c r="C16" s="95" t="str">
        <f>IFERROR(IF(VLOOKUP($A16,TableHandbook[],3,FALSE)=0,"",VLOOKUP($A16,TableHandbook[],3,FALSE)),"")</f>
        <v/>
      </c>
      <c r="D16" s="83" t="str">
        <f>IFERROR(IF(VLOOKUP($A16,TableHandbook[],4,FALSE)=0,"",VLOOKUP($A16,TableHandbook[],4,FALSE)),"")</f>
        <v/>
      </c>
      <c r="E16" s="82" t="str">
        <f t="shared" si="1"/>
        <v/>
      </c>
      <c r="F16" s="84" t="str">
        <f>IFERROR(IF(VLOOKUP($A16,TableHandbook[],6,FALSE)=0,"",VLOOKUP($A16,TableHandbook[],6,FALSE)),"")</f>
        <v/>
      </c>
      <c r="G16" s="95" t="str">
        <f>IFERROR(IF(VLOOKUP($A16,TableHandbook[],5,FALSE)=0,"",VLOOKUP($A16,TableHandbook[],5,FALSE)),"")</f>
        <v/>
      </c>
      <c r="H16" s="96" t="str">
        <f>IFERROR(VLOOKUP($A16,TableHandbook[],H$2,FALSE),"")</f>
        <v/>
      </c>
      <c r="I16" s="97" t="str">
        <f>IFERROR(VLOOKUP($A16,TableHandbook[],I$2,FALSE),"")</f>
        <v/>
      </c>
      <c r="J16" s="96" t="str">
        <f>IFERROR(VLOOKUP($A16,TableHandbook[],J$2,FALSE),"")</f>
        <v/>
      </c>
      <c r="K16" s="97" t="str">
        <f>IFERROR(VLOOKUP($A16,TableHandbook[],K$2,FALSE),"")</f>
        <v/>
      </c>
      <c r="L16" s="39"/>
      <c r="M16" s="87">
        <v>8</v>
      </c>
      <c r="N16" s="98"/>
      <c r="O16" s="98"/>
    </row>
    <row r="17" spans="1:23" s="30" customFormat="1" ht="20.100000000000001" customHeight="1" x14ac:dyDescent="0.15">
      <c r="A17" s="81" t="str">
        <f>IFERROR(IF(HLOOKUP($L$4,RangeUnitsets,M17,FALSE)=0,"",HLOOKUP($L$4,RangeUnitsets,M17,FALSE)),"")</f>
        <v/>
      </c>
      <c r="B17" s="95" t="str">
        <f>IFERROR(IF(VLOOKUP($A17,TableHandbook[],2,FALSE)=0,"",VLOOKUP($A17,TableHandbook[],2,FALSE)),"")</f>
        <v/>
      </c>
      <c r="C17" s="95" t="str">
        <f>IFERROR(IF(VLOOKUP($A17,TableHandbook[],3,FALSE)=0,"",VLOOKUP($A17,TableHandbook[],3,FALSE)),"")</f>
        <v/>
      </c>
      <c r="D17" s="99" t="str">
        <f>IFERROR(IF(VLOOKUP($A17,TableHandbook[],4,FALSE)=0,"",VLOOKUP($A17,TableHandbook[],4,FALSE)),"")</f>
        <v/>
      </c>
      <c r="E17" s="95" t="str">
        <f>IF(OR(A17="",A17="-"),"",E16)</f>
        <v/>
      </c>
      <c r="F17" s="84" t="str">
        <f>IFERROR(IF(VLOOKUP($A17,TableHandbook[],6,FALSE)=0,"",VLOOKUP($A17,TableHandbook[],6,FALSE)),"")</f>
        <v/>
      </c>
      <c r="G17" s="95" t="str">
        <f>IFERROR(IF(VLOOKUP($A17,TableHandbook[],5,FALSE)=0,"",VLOOKUP($A17,TableHandbook[],5,FALSE)),"")</f>
        <v/>
      </c>
      <c r="H17" s="96" t="str">
        <f>IFERROR(VLOOKUP($A17,TableHandbook[],H$2,FALSE),"")</f>
        <v/>
      </c>
      <c r="I17" s="97" t="str">
        <f>IFERROR(VLOOKUP($A17,TableHandbook[],I$2,FALSE),"")</f>
        <v/>
      </c>
      <c r="J17" s="96" t="str">
        <f>IFERROR(VLOOKUP($A17,TableHandbook[],J$2,FALSE),"")</f>
        <v/>
      </c>
      <c r="K17" s="97" t="str">
        <f>IFERROR(VLOOKUP($A17,TableHandbook[],K$2,FALSE),"")</f>
        <v/>
      </c>
      <c r="L17" s="39"/>
      <c r="M17" s="87">
        <v>9</v>
      </c>
      <c r="N17" s="98"/>
      <c r="O17" s="98"/>
    </row>
    <row r="18" spans="1:23" s="28" customFormat="1" ht="21" x14ac:dyDescent="0.25">
      <c r="A18" s="71" t="s">
        <v>27</v>
      </c>
      <c r="B18" s="71"/>
      <c r="C18" s="71"/>
      <c r="D18" s="72" t="s">
        <v>3</v>
      </c>
      <c r="E18" s="78" t="s">
        <v>19</v>
      </c>
      <c r="F18" s="78" t="s">
        <v>20</v>
      </c>
      <c r="G18" s="71" t="s">
        <v>21</v>
      </c>
      <c r="H18" s="79" t="str">
        <f>H8</f>
        <v>Sem1 BEN</v>
      </c>
      <c r="I18" s="80" t="str">
        <f>I8</f>
        <v>Sem1 FO</v>
      </c>
      <c r="J18" s="79" t="str">
        <f>J8</f>
        <v>Sem2 BEN</v>
      </c>
      <c r="K18" s="80" t="str">
        <f>K8</f>
        <v>Sem2 FO</v>
      </c>
      <c r="L18" s="71" t="str">
        <f>L8</f>
        <v>Notes / Progress</v>
      </c>
      <c r="M18" s="100"/>
      <c r="N18" s="77"/>
      <c r="O18" s="77"/>
    </row>
    <row r="19" spans="1:23" s="29" customFormat="1" ht="20.100000000000001" customHeight="1" x14ac:dyDescent="0.15">
      <c r="A19" s="81" t="str">
        <f>IFERROR(IF(HLOOKUP($L$4,RangeUnitsets,M19,FALSE)=0,"",HLOOKUP($L$4,RangeUnitsets,M19,FALSE)),"")</f>
        <v/>
      </c>
      <c r="B19" s="95" t="str">
        <f>IFERROR(IF(VLOOKUP($A19,TableHandbook[],2,FALSE)=0,"",VLOOKUP($A19,TableHandbook[],2,FALSE)),"")</f>
        <v/>
      </c>
      <c r="C19" s="95" t="str">
        <f>IFERROR(IF(VLOOKUP($A19,TableHandbook[],3,FALSE)=0,"",VLOOKUP($A19,TableHandbook[],3,FALSE)),"")</f>
        <v/>
      </c>
      <c r="D19" s="101" t="str">
        <f>IFERROR(IF(VLOOKUP($A19,TableHandbook[],4,FALSE)=0,"",VLOOKUP($A19,TableHandbook[],4,FALSE)),"")</f>
        <v/>
      </c>
      <c r="E19" s="95" t="str">
        <f>IF(A19="","",VLOOKUP($D$6,TableStudyPeriod[],2,FALSE))</f>
        <v/>
      </c>
      <c r="F19" s="84" t="str">
        <f>IFERROR(IF(VLOOKUP($A19,TableHandbook[],6,FALSE)=0,"",VLOOKUP($A19,TableHandbook[],6,FALSE)),"")</f>
        <v/>
      </c>
      <c r="G19" s="82" t="str">
        <f>IFERROR(IF(VLOOKUP($A19,TableHandbook[],5,FALSE)=0,"",VLOOKUP($A19,TableHandbook[],5,FALSE)),"")</f>
        <v/>
      </c>
      <c r="H19" s="85" t="str">
        <f>IFERROR(VLOOKUP($A19,TableHandbook[],H$2,FALSE),"")</f>
        <v/>
      </c>
      <c r="I19" s="86" t="str">
        <f>IFERROR(VLOOKUP($A19,TableHandbook[],I$2,FALSE),"")</f>
        <v/>
      </c>
      <c r="J19" s="85" t="str">
        <f>IFERROR(VLOOKUP($A19,TableHandbook[],J$2,FALSE),"")</f>
        <v/>
      </c>
      <c r="K19" s="86" t="str">
        <f>IFERROR(VLOOKUP($A19,TableHandbook[],K$2,FALSE),"")</f>
        <v/>
      </c>
      <c r="L19" s="38"/>
      <c r="M19" s="87">
        <v>10</v>
      </c>
      <c r="N19" s="88"/>
      <c r="O19" s="88"/>
    </row>
    <row r="20" spans="1:23" s="29" customFormat="1" ht="20.100000000000001" customHeight="1" x14ac:dyDescent="0.15">
      <c r="A20" s="81" t="str">
        <f>IFERROR(IF(HLOOKUP($L$4,RangeUnitsets,M20,FALSE)=0,"",HLOOKUP($L$4,RangeUnitsets,M20,FALSE)),"")</f>
        <v/>
      </c>
      <c r="B20" s="95" t="str">
        <f>IFERROR(IF(VLOOKUP($A20,TableHandbook[],2,FALSE)=0,"",VLOOKUP($A20,TableHandbook[],2,FALSE)),"")</f>
        <v/>
      </c>
      <c r="C20" s="95" t="str">
        <f>IFERROR(IF(VLOOKUP($A20,TableHandbook[],3,FALSE)=0,"",VLOOKUP($A20,TableHandbook[],3,FALSE)),"")</f>
        <v/>
      </c>
      <c r="D20" s="99" t="str">
        <f>IFERROR(IF(VLOOKUP($A20,TableHandbook[],4,FALSE)=0,"",VLOOKUP($A20,TableHandbook[],4,FALSE)),"")</f>
        <v/>
      </c>
      <c r="E20" s="95" t="str">
        <f t="shared" ref="E20:E21" si="2">IF(OR(A20="",A20="-"),"",E19)</f>
        <v/>
      </c>
      <c r="F20" s="84" t="str">
        <f>IFERROR(IF(VLOOKUP($A20,TableHandbook[],6,FALSE)=0,"",VLOOKUP($A20,TableHandbook[],6,FALSE)),"")</f>
        <v/>
      </c>
      <c r="G20" s="82" t="str">
        <f>IFERROR(IF(VLOOKUP($A20,TableHandbook[],5,FALSE)=0,"",VLOOKUP($A20,TableHandbook[],5,FALSE)),"")</f>
        <v/>
      </c>
      <c r="H20" s="85" t="str">
        <f>IFERROR(VLOOKUP($A20,TableHandbook[],H$2,FALSE),"")</f>
        <v/>
      </c>
      <c r="I20" s="86" t="str">
        <f>IFERROR(VLOOKUP($A20,TableHandbook[],I$2,FALSE),"")</f>
        <v/>
      </c>
      <c r="J20" s="85" t="str">
        <f>IFERROR(VLOOKUP($A20,TableHandbook[],J$2,FALSE),"")</f>
        <v/>
      </c>
      <c r="K20" s="86" t="str">
        <f>IFERROR(VLOOKUP($A20,TableHandbook[],K$2,FALSE),"")</f>
        <v/>
      </c>
      <c r="L20" s="38"/>
      <c r="M20" s="87">
        <v>11</v>
      </c>
      <c r="N20" s="88"/>
      <c r="O20" s="88"/>
    </row>
    <row r="21" spans="1:23" s="29" customFormat="1" ht="20.100000000000001" customHeight="1" x14ac:dyDescent="0.15">
      <c r="A21" s="81" t="str">
        <f>IFERROR(IF(HLOOKUP($L$4,RangeUnitsets,M21,FALSE)=0,"",HLOOKUP($L$4,RangeUnitsets,M21,FALSE)),"")</f>
        <v/>
      </c>
      <c r="B21" s="95" t="str">
        <f>IFERROR(IF(VLOOKUP($A21,TableHandbook[],2,FALSE)=0,"",VLOOKUP($A21,TableHandbook[],2,FALSE)),"")</f>
        <v/>
      </c>
      <c r="C21" s="95" t="str">
        <f>IFERROR(IF(VLOOKUP($A21,TableHandbook[],3,FALSE)=0,"",VLOOKUP($A21,TableHandbook[],3,FALSE)),"")</f>
        <v/>
      </c>
      <c r="D21" s="99" t="str">
        <f>IFERROR(IF(VLOOKUP($A21,TableHandbook[],4,FALSE)=0,"",VLOOKUP($A21,TableHandbook[],4,FALSE)),"")</f>
        <v/>
      </c>
      <c r="E21" s="95" t="str">
        <f t="shared" si="2"/>
        <v/>
      </c>
      <c r="F21" s="84" t="str">
        <f>IFERROR(IF(VLOOKUP($A21,TableHandbook[],6,FALSE)=0,"",VLOOKUP($A21,TableHandbook[],6,FALSE)),"")</f>
        <v/>
      </c>
      <c r="G21" s="82" t="str">
        <f>IFERROR(IF(VLOOKUP($A21,TableHandbook[],5,FALSE)=0,"",VLOOKUP($A21,TableHandbook[],5,FALSE)),"")</f>
        <v/>
      </c>
      <c r="H21" s="85" t="str">
        <f>IFERROR(VLOOKUP($A21,TableHandbook[],H$2,FALSE),"")</f>
        <v/>
      </c>
      <c r="I21" s="86" t="str">
        <f>IFERROR(VLOOKUP($A21,TableHandbook[],I$2,FALSE),"")</f>
        <v/>
      </c>
      <c r="J21" s="85" t="str">
        <f>IFERROR(VLOOKUP($A21,TableHandbook[],J$2,FALSE),"")</f>
        <v/>
      </c>
      <c r="K21" s="86" t="str">
        <f>IFERROR(VLOOKUP($A21,TableHandbook[],K$2,FALSE),"")</f>
        <v/>
      </c>
      <c r="L21" s="38"/>
      <c r="M21" s="87">
        <v>12</v>
      </c>
      <c r="N21" s="88"/>
      <c r="O21" s="88"/>
    </row>
    <row r="22" spans="1:23" s="29" customFormat="1" ht="20.100000000000001" customHeight="1" x14ac:dyDescent="0.15">
      <c r="A22" s="81" t="str">
        <f>IFERROR(IF(HLOOKUP($L$4,RangeUnitsets,M22,FALSE)=0,"",HLOOKUP($L$4,RangeUnitsets,M22,FALSE)),"")</f>
        <v/>
      </c>
      <c r="B22" s="95" t="str">
        <f>IFERROR(IF(VLOOKUP($A22,TableHandbook[],2,FALSE)=0,"",VLOOKUP($A22,TableHandbook[],2,FALSE)),"")</f>
        <v/>
      </c>
      <c r="C22" s="95" t="str">
        <f>IFERROR(IF(VLOOKUP($A22,TableHandbook[],3,FALSE)=0,"",VLOOKUP($A22,TableHandbook[],3,FALSE)),"")</f>
        <v/>
      </c>
      <c r="D22" s="99" t="str">
        <f>IFERROR(IF(VLOOKUP($A22,TableHandbook[],4,FALSE)=0,"",VLOOKUP($A22,TableHandbook[],4,FALSE)),"")</f>
        <v/>
      </c>
      <c r="E22" s="95" t="str">
        <f>IF(OR(A22="",A22="-"),"",E21)</f>
        <v/>
      </c>
      <c r="F22" s="84" t="str">
        <f>IFERROR(IF(VLOOKUP($A22,TableHandbook[],6,FALSE)=0,"",VLOOKUP($A22,TableHandbook[],6,FALSE)),"")</f>
        <v/>
      </c>
      <c r="G22" s="82" t="str">
        <f>IFERROR(IF(VLOOKUP($A22,TableHandbook[],5,FALSE)=0,"",VLOOKUP($A22,TableHandbook[],5,FALSE)),"")</f>
        <v/>
      </c>
      <c r="H22" s="85" t="str">
        <f>IFERROR(VLOOKUP($A22,TableHandbook[],H$2,FALSE),"")</f>
        <v/>
      </c>
      <c r="I22" s="86" t="str">
        <f>IFERROR(VLOOKUP($A22,TableHandbook[],I$2,FALSE),"")</f>
        <v/>
      </c>
      <c r="J22" s="85" t="str">
        <f>IFERROR(VLOOKUP($A22,TableHandbook[],J$2,FALSE),"")</f>
        <v/>
      </c>
      <c r="K22" s="86" t="str">
        <f>IFERROR(VLOOKUP($A22,TableHandbook[],K$2,FALSE),"")</f>
        <v/>
      </c>
      <c r="L22" s="38"/>
      <c r="M22" s="87">
        <v>13</v>
      </c>
      <c r="N22" s="88"/>
      <c r="O22" s="88"/>
    </row>
    <row r="23" spans="1:23" s="32" customFormat="1" ht="13.9" customHeight="1" x14ac:dyDescent="0.2">
      <c r="A23" s="102"/>
      <c r="B23" s="103"/>
      <c r="C23" s="103"/>
      <c r="D23" s="104"/>
      <c r="E23" s="104"/>
      <c r="F23" s="105"/>
      <c r="G23" s="105"/>
      <c r="H23" s="105"/>
      <c r="I23" s="105"/>
      <c r="J23" s="105"/>
      <c r="K23" s="105"/>
      <c r="L23" s="192"/>
      <c r="M23" s="106"/>
      <c r="N23" s="107"/>
      <c r="O23" s="107"/>
    </row>
    <row r="24" spans="1:23" ht="16.5" x14ac:dyDescent="0.25">
      <c r="A24" s="108" t="s">
        <v>28</v>
      </c>
      <c r="B24" s="71"/>
      <c r="C24" s="71"/>
      <c r="D24" s="72"/>
      <c r="E24" s="73"/>
      <c r="F24" s="71"/>
      <c r="G24" s="71"/>
      <c r="H24" s="74" t="str">
        <f>H7</f>
        <v>2025 Availabilities</v>
      </c>
      <c r="I24" s="75"/>
      <c r="J24" s="75"/>
      <c r="K24" s="76"/>
      <c r="L24" s="71"/>
      <c r="M24" s="109"/>
    </row>
    <row r="25" spans="1:23" s="33" customFormat="1" ht="21" x14ac:dyDescent="0.25">
      <c r="A25" s="71"/>
      <c r="B25" s="71"/>
      <c r="C25" s="71"/>
      <c r="D25" s="72" t="s">
        <v>3</v>
      </c>
      <c r="E25" s="78"/>
      <c r="F25" s="71" t="s">
        <v>20</v>
      </c>
      <c r="G25" s="71" t="s">
        <v>21</v>
      </c>
      <c r="H25" s="79" t="str">
        <f>H8</f>
        <v>Sem1 BEN</v>
      </c>
      <c r="I25" s="80" t="str">
        <f t="shared" ref="I25:K25" si="3">I8</f>
        <v>Sem1 FO</v>
      </c>
      <c r="J25" s="79" t="str">
        <f t="shared" si="3"/>
        <v>Sem2 BEN</v>
      </c>
      <c r="K25" s="80" t="str">
        <f t="shared" si="3"/>
        <v>Sem2 FO</v>
      </c>
      <c r="L25" s="71" t="str">
        <f>L8</f>
        <v>Notes / Progress</v>
      </c>
      <c r="M25" s="109"/>
    </row>
    <row r="26" spans="1:23" ht="18" customHeight="1" x14ac:dyDescent="0.25">
      <c r="A26" s="110" t="str">
        <f>IFERROR(IF(HLOOKUP($L$4,RangeAltCores,M26,FALSE)=0,"",HLOOKUP($L$4,RangeAltCores,M26,FALSE)),"")</f>
        <v>--</v>
      </c>
      <c r="B26" s="111" t="str">
        <f>IFERROR(IF(VLOOKUP($A26,TableHandbook[],2,FALSE)=0,"",VLOOKUP($A26,TableHandbook[],2,FALSE)),"")</f>
        <v/>
      </c>
      <c r="C26" s="112" t="str">
        <f>IFERROR(IF(VLOOKUP($A26,TableHandbook[],3,FALSE)=0,"",VLOOKUP($A26,TableHandbook[],3,FALSE)),"")</f>
        <v/>
      </c>
      <c r="D26" s="112" t="str">
        <f>IFERROR(IF(VLOOKUP($A26,TableHandbook[],4,FALSE)=0,"",VLOOKUP($A26,TableHandbook[],4,FALSE)),"")</f>
        <v>Not relevant to this study sequence</v>
      </c>
      <c r="E26" s="113"/>
      <c r="F26" s="113" t="str">
        <f>IFERROR(IF(VLOOKUP($A26,TableHandbook[],6,FALSE)=0,"",VLOOKUP($A26,TableHandbook[],6,FALSE)),"")</f>
        <v/>
      </c>
      <c r="G26" s="113" t="str">
        <f>IFERROR(IF(VLOOKUP($A26,TableHandbook[],5,FALSE)=0,"",VLOOKUP($A26,TableHandbook[],5,FALSE)),"")</f>
        <v/>
      </c>
      <c r="H26" s="85" t="str">
        <f>IFERROR(VLOOKUP($A26,TableHandbook[],H$2,FALSE),"")</f>
        <v/>
      </c>
      <c r="I26" s="86" t="str">
        <f>IFERROR(VLOOKUP($A26,TableHandbook[],I$2,FALSE),"")</f>
        <v/>
      </c>
      <c r="J26" s="85" t="str">
        <f>IFERROR(VLOOKUP($A26,TableHandbook[],J$2,FALSE),"")</f>
        <v/>
      </c>
      <c r="K26" s="86" t="str">
        <f>IFERROR(VLOOKUP($A26,TableHandbook[],K$2,FALSE),"")</f>
        <v/>
      </c>
      <c r="L26" s="39"/>
      <c r="M26" s="87">
        <v>2</v>
      </c>
    </row>
    <row r="27" spans="1:23" ht="18" customHeight="1" x14ac:dyDescent="0.25">
      <c r="A27" s="110" t="str">
        <f>IFERROR(IF(HLOOKUP($L$4,RangeAltCores,M27,FALSE)=0,"",HLOOKUP($L$4,RangeAltCores,M27,FALSE)),"")</f>
        <v/>
      </c>
      <c r="B27" s="111" t="str">
        <f>IFERROR(IF(VLOOKUP($A27,TableHandbook[],2,FALSE)=0,"",VLOOKUP($A27,TableHandbook[],2,FALSE)),"")</f>
        <v/>
      </c>
      <c r="C27" s="112" t="str">
        <f>IFERROR(IF(VLOOKUP($A27,TableHandbook[],3,FALSE)=0,"",VLOOKUP($A27,TableHandbook[],3,FALSE)),"")</f>
        <v/>
      </c>
      <c r="D27" s="112" t="str">
        <f>IFERROR(IF(VLOOKUP($A27,TableHandbook[],4,FALSE)=0,"",VLOOKUP($A27,TableHandbook[],4,FALSE)),"")</f>
        <v/>
      </c>
      <c r="E27" s="113"/>
      <c r="F27" s="113" t="str">
        <f>IFERROR(IF(VLOOKUP($A27,TableHandbook[],6,FALSE)=0,"",VLOOKUP($A27,TableHandbook[],6,FALSE)),"")</f>
        <v/>
      </c>
      <c r="G27" s="113" t="str">
        <f>IFERROR(IF(VLOOKUP($A27,TableHandbook[],5,FALSE)=0,"",VLOOKUP($A27,TableHandbook[],5,FALSE)),"")</f>
        <v/>
      </c>
      <c r="H27" s="85" t="str">
        <f>IFERROR(VLOOKUP($A27,TableHandbook[],H$2,FALSE),"")</f>
        <v/>
      </c>
      <c r="I27" s="86" t="str">
        <f>IFERROR(VLOOKUP($A27,TableHandbook[],I$2,FALSE),"")</f>
        <v/>
      </c>
      <c r="J27" s="85" t="str">
        <f>IFERROR(VLOOKUP($A27,TableHandbook[],J$2,FALSE),"")</f>
        <v/>
      </c>
      <c r="K27" s="86" t="str">
        <f>IFERROR(VLOOKUP($A27,TableHandbook[],K$2,FALSE),"")</f>
        <v/>
      </c>
      <c r="L27" s="39"/>
      <c r="M27" s="87">
        <v>3</v>
      </c>
    </row>
    <row r="28" spans="1:23" ht="18" customHeight="1" x14ac:dyDescent="0.25">
      <c r="A28" s="110" t="str">
        <f>IFERROR(IF(HLOOKUP($L$4,RangeAltCores,M28,FALSE)=0,"",HLOOKUP($L$4,RangeAltCores,M28,FALSE)),"")</f>
        <v/>
      </c>
      <c r="B28" s="111" t="str">
        <f>IFERROR(IF(VLOOKUP($A28,TableHandbook[],2,FALSE)=0,"",VLOOKUP($A28,TableHandbook[],2,FALSE)),"")</f>
        <v/>
      </c>
      <c r="C28" s="112" t="str">
        <f>IFERROR(IF(VLOOKUP($A28,TableHandbook[],3,FALSE)=0,"",VLOOKUP($A28,TableHandbook[],3,FALSE)),"")</f>
        <v/>
      </c>
      <c r="D28" s="112" t="str">
        <f>IFERROR(IF(VLOOKUP($A28,TableHandbook[],4,FALSE)=0,"",VLOOKUP($A28,TableHandbook[],4,FALSE)),"")</f>
        <v/>
      </c>
      <c r="E28" s="113"/>
      <c r="F28" s="113" t="str">
        <f>IFERROR(IF(VLOOKUP($A28,TableHandbook[],6,FALSE)=0,"",VLOOKUP($A28,TableHandbook[],6,FALSE)),"")</f>
        <v/>
      </c>
      <c r="G28" s="113" t="str">
        <f>IFERROR(IF(VLOOKUP($A28,TableHandbook[],5,FALSE)=0,"",VLOOKUP($A28,TableHandbook[],5,FALSE)),"")</f>
        <v/>
      </c>
      <c r="H28" s="85" t="str">
        <f>IFERROR(VLOOKUP($A28,TableHandbook[],H$2,FALSE),"")</f>
        <v/>
      </c>
      <c r="I28" s="86" t="str">
        <f>IFERROR(VLOOKUP($A28,TableHandbook[],I$2,FALSE),"")</f>
        <v/>
      </c>
      <c r="J28" s="85" t="str">
        <f>IFERROR(VLOOKUP($A28,TableHandbook[],J$2,FALSE),"")</f>
        <v/>
      </c>
      <c r="K28" s="86" t="str">
        <f>IFERROR(VLOOKUP($A28,TableHandbook[],K$2,FALSE),"")</f>
        <v/>
      </c>
      <c r="L28" s="39"/>
      <c r="M28" s="87">
        <v>4</v>
      </c>
    </row>
    <row r="30" spans="1:23" s="27" customFormat="1" ht="32.25" customHeight="1" x14ac:dyDescent="0.25">
      <c r="A30" s="199" t="s">
        <v>29</v>
      </c>
      <c r="B30" s="199"/>
      <c r="C30" s="199"/>
      <c r="D30" s="199"/>
      <c r="E30" s="199"/>
      <c r="F30" s="199"/>
      <c r="G30" s="199"/>
      <c r="H30" s="199"/>
      <c r="I30" s="199"/>
      <c r="J30" s="199"/>
      <c r="K30" s="199"/>
      <c r="L30" s="199"/>
      <c r="M30" s="25"/>
      <c r="N30" s="25"/>
      <c r="O30" s="25"/>
      <c r="P30" s="25"/>
      <c r="Q30" s="25"/>
      <c r="R30" s="25"/>
      <c r="S30" s="25"/>
      <c r="T30" s="25"/>
      <c r="U30" s="25"/>
      <c r="V30" s="25"/>
      <c r="W30" s="25"/>
    </row>
    <row r="31" spans="1:23" s="31" customFormat="1" ht="17.25" x14ac:dyDescent="0.3">
      <c r="A31" s="51" t="s">
        <v>30</v>
      </c>
      <c r="B31" s="51"/>
      <c r="C31" s="51"/>
      <c r="D31" s="52"/>
      <c r="E31" s="52"/>
      <c r="F31" s="52"/>
      <c r="G31" s="52"/>
      <c r="H31" s="52"/>
      <c r="I31" s="52"/>
      <c r="J31" s="52"/>
      <c r="K31" s="52"/>
      <c r="L31" s="52"/>
      <c r="M31" s="114"/>
      <c r="N31" s="114"/>
      <c r="O31" s="114"/>
    </row>
    <row r="32" spans="1:23" s="27" customFormat="1" ht="15" customHeight="1" x14ac:dyDescent="0.25">
      <c r="A32" s="115" t="s">
        <v>31</v>
      </c>
      <c r="B32" s="115"/>
      <c r="C32" s="115"/>
      <c r="D32" s="115"/>
      <c r="E32" s="116"/>
      <c r="F32" s="105"/>
      <c r="G32" s="117"/>
      <c r="H32" s="117"/>
      <c r="I32" s="117"/>
      <c r="J32" s="117"/>
      <c r="K32" s="117"/>
      <c r="L32" s="117" t="s">
        <v>32</v>
      </c>
      <c r="M32" s="25"/>
      <c r="N32" s="25"/>
      <c r="O32" s="25"/>
      <c r="P32" s="25"/>
      <c r="Q32" s="25"/>
      <c r="R32" s="25"/>
      <c r="S32" s="25"/>
      <c r="T32" s="25"/>
      <c r="U32" s="25"/>
      <c r="V32" s="25"/>
      <c r="W32" s="25"/>
    </row>
  </sheetData>
  <sheetProtection formatCells="0"/>
  <mergeCells count="2">
    <mergeCell ref="A3:D3"/>
    <mergeCell ref="A30:L30"/>
  </mergeCells>
  <conditionalFormatting sqref="A9:L22 A26:L28">
    <cfRule type="expression" dxfId="33" priority="3">
      <formula>$A9=""</formula>
    </cfRule>
  </conditionalFormatting>
  <conditionalFormatting sqref="A26:L28">
    <cfRule type="expression" dxfId="32" priority="4">
      <formula>LEFT($D26,5)="Study"</formula>
    </cfRule>
  </conditionalFormatting>
  <conditionalFormatting sqref="D5:D6">
    <cfRule type="containsText" dxfId="31" priority="5" operator="containsText" text="Choose">
      <formula>NOT(ISERROR(SEARCH("Choose",D5)))</formula>
    </cfRule>
  </conditionalFormatting>
  <conditionalFormatting sqref="H9:K22">
    <cfRule type="expression" dxfId="30" priority="1">
      <formula>$E9=LEFT(H$8,4)</formula>
    </cfRule>
  </conditionalFormatting>
  <dataValidations count="1">
    <dataValidation type="list" allowBlank="1" showInputMessage="1" showErrorMessage="1" sqref="L13" xr:uid="{00000000-0002-0000-0000-000000000000}"/>
  </dataValidations>
  <hyperlinks>
    <hyperlink ref="A31:L31"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2"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Unitsets!$A$17:$A$19</xm:f>
          </x14:formula1>
          <xm:sqref>D6</xm:sqref>
        </x14:dataValidation>
        <x14:dataValidation type="list" showInputMessage="1" showErrorMessage="1" xr:uid="{00000000-0002-0000-0000-000002000000}">
          <x14:formula1>
            <xm:f>Unitsets!$A$4:$A$8</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7"/>
  <sheetViews>
    <sheetView showGridLines="0" tabSelected="1" topLeftCell="A3" workbookViewId="0">
      <selection activeCell="D5" sqref="D5"/>
    </sheetView>
  </sheetViews>
  <sheetFormatPr defaultRowHeight="15" x14ac:dyDescent="0.25"/>
  <cols>
    <col min="1" max="1" width="9.375" style="215" customWidth="1"/>
    <col min="2" max="2" width="3.25" style="215" customWidth="1"/>
    <col min="3" max="3" width="5.875" style="215" customWidth="1"/>
    <col min="4" max="4" width="64.375" style="204" bestFit="1" customWidth="1"/>
    <col min="5" max="5" width="7" style="204" customWidth="1"/>
    <col min="6" max="6" width="19" style="204" customWidth="1"/>
    <col min="7" max="7" width="5.625" style="204" customWidth="1"/>
    <col min="8" max="11" width="4.625" style="204" customWidth="1"/>
    <col min="12" max="12" width="18.625" style="204" customWidth="1"/>
    <col min="13" max="13" width="2.5" style="204" hidden="1" customWidth="1"/>
    <col min="14" max="16384" width="9" style="204"/>
  </cols>
  <sheetData>
    <row r="1" spans="1:16" hidden="1" x14ac:dyDescent="0.25">
      <c r="A1" s="200" t="s">
        <v>0</v>
      </c>
      <c r="B1" s="201" t="s">
        <v>1</v>
      </c>
      <c r="C1" s="201" t="s">
        <v>2</v>
      </c>
      <c r="D1" s="202" t="s">
        <v>3</v>
      </c>
      <c r="E1" s="202" t="s">
        <v>4</v>
      </c>
      <c r="F1" s="202" t="s">
        <v>5</v>
      </c>
      <c r="G1" s="202" t="s">
        <v>6</v>
      </c>
      <c r="H1" s="203" t="s">
        <v>7</v>
      </c>
      <c r="I1" s="202"/>
      <c r="J1" s="202"/>
      <c r="K1" s="202"/>
      <c r="L1" s="202" t="s">
        <v>8</v>
      </c>
    </row>
    <row r="2" spans="1:16" hidden="1" x14ac:dyDescent="0.25">
      <c r="A2" s="205"/>
      <c r="B2" s="206">
        <v>2</v>
      </c>
      <c r="C2" s="206">
        <v>3</v>
      </c>
      <c r="D2" s="206">
        <v>4</v>
      </c>
      <c r="E2" s="206"/>
      <c r="F2" s="206">
        <v>6</v>
      </c>
      <c r="G2" s="206">
        <v>5</v>
      </c>
      <c r="H2" s="206">
        <v>7</v>
      </c>
      <c r="I2" s="206">
        <v>8</v>
      </c>
      <c r="J2" s="206">
        <v>9</v>
      </c>
      <c r="K2" s="206">
        <v>10</v>
      </c>
      <c r="L2" s="206"/>
    </row>
    <row r="3" spans="1:16" ht="39.950000000000003" customHeight="1" x14ac:dyDescent="0.25">
      <c r="A3" s="207" t="s">
        <v>9</v>
      </c>
      <c r="B3" s="207"/>
      <c r="C3" s="207"/>
      <c r="D3" s="207"/>
      <c r="E3" s="208"/>
      <c r="F3" s="208"/>
      <c r="G3" s="208"/>
      <c r="H3" s="208"/>
      <c r="I3" s="208"/>
      <c r="J3" s="208"/>
      <c r="K3" s="208"/>
      <c r="L3" s="208"/>
    </row>
    <row r="4" spans="1:16" ht="26.25" x14ac:dyDescent="0.25">
      <c r="A4" s="209"/>
      <c r="B4" s="210"/>
      <c r="C4" s="210"/>
      <c r="D4" s="211"/>
      <c r="E4" s="212" t="s">
        <v>10</v>
      </c>
      <c r="F4" s="210"/>
      <c r="G4" s="213"/>
      <c r="H4" s="213"/>
      <c r="I4" s="213"/>
      <c r="J4" s="213"/>
      <c r="K4" s="213"/>
      <c r="L4" s="214" t="e">
        <f>CONCATENATE(VLOOKUP(D5,TableCourses2[],2,FALSE),VLOOKUP(D6,TableStudyPeriod[],2,FALSE))</f>
        <v>#N/A</v>
      </c>
    </row>
    <row r="5" spans="1:16" ht="20.100000000000001" customHeight="1" x14ac:dyDescent="0.25">
      <c r="B5" s="216"/>
      <c r="C5" s="217" t="s">
        <v>11</v>
      </c>
      <c r="D5" s="59" t="s">
        <v>91</v>
      </c>
      <c r="E5" s="218"/>
      <c r="F5" s="217" t="s">
        <v>13</v>
      </c>
      <c r="G5" s="218" t="str">
        <f>IFERROR(CONCATENATE(VLOOKUP(D5,TableCourses2[],2,FALSE)," ",VLOOKUP(D5,TableCourses2[],3,FALSE)),"")</f>
        <v/>
      </c>
      <c r="H5" s="218"/>
      <c r="I5" s="218"/>
      <c r="J5" s="218"/>
      <c r="K5" s="218"/>
      <c r="L5" s="219"/>
    </row>
    <row r="6" spans="1:16" ht="20.100000000000001" customHeight="1" x14ac:dyDescent="0.25">
      <c r="A6" s="220"/>
      <c r="B6" s="221"/>
      <c r="C6" s="217" t="s">
        <v>14</v>
      </c>
      <c r="D6" s="53" t="s">
        <v>103</v>
      </c>
      <c r="E6" s="222"/>
      <c r="F6" s="217" t="s">
        <v>16</v>
      </c>
      <c r="G6" s="218" t="str">
        <f>IFERROR(VLOOKUP($D$5,TableCourses2[],7,FALSE),"")</f>
        <v/>
      </c>
      <c r="H6" s="223"/>
      <c r="I6" s="223"/>
      <c r="J6" s="223"/>
      <c r="K6" s="223"/>
      <c r="L6" s="224"/>
    </row>
    <row r="7" spans="1:16" s="232" customFormat="1" ht="14.1" customHeight="1" x14ac:dyDescent="0.25">
      <c r="A7" s="225"/>
      <c r="B7" s="225"/>
      <c r="C7" s="225"/>
      <c r="D7" s="226"/>
      <c r="E7" s="227"/>
      <c r="F7" s="225"/>
      <c r="G7" s="225"/>
      <c r="H7" s="228" t="s">
        <v>17</v>
      </c>
      <c r="I7" s="229"/>
      <c r="J7" s="229"/>
      <c r="K7" s="230"/>
      <c r="L7" s="227"/>
      <c r="M7" s="231"/>
      <c r="N7" s="231"/>
      <c r="O7" s="231"/>
    </row>
    <row r="8" spans="1:16" s="232" customFormat="1" ht="21" x14ac:dyDescent="0.25">
      <c r="A8" s="225" t="s">
        <v>18</v>
      </c>
      <c r="B8" s="225"/>
      <c r="C8" s="225"/>
      <c r="D8" s="226" t="s">
        <v>3</v>
      </c>
      <c r="E8" s="233" t="s">
        <v>19</v>
      </c>
      <c r="F8" s="233" t="s">
        <v>20</v>
      </c>
      <c r="G8" s="225" t="s">
        <v>21</v>
      </c>
      <c r="H8" s="234" t="s">
        <v>22</v>
      </c>
      <c r="I8" s="235" t="s">
        <v>23</v>
      </c>
      <c r="J8" s="234" t="s">
        <v>24</v>
      </c>
      <c r="K8" s="235" t="s">
        <v>25</v>
      </c>
      <c r="L8" s="225" t="s">
        <v>26</v>
      </c>
      <c r="M8" s="231"/>
      <c r="N8" s="231"/>
      <c r="O8" s="231"/>
    </row>
    <row r="9" spans="1:16" s="244" customFormat="1" ht="20.100000000000001" customHeight="1" x14ac:dyDescent="0.15">
      <c r="A9" s="236" t="str">
        <f>IFERROR(IF(HLOOKUP($L$4,RangeUnitsets,M9,FALSE)=0,"",HLOOKUP($L$4,RangeUnitsets,M9,FALSE)),"")</f>
        <v/>
      </c>
      <c r="B9" s="237" t="str">
        <f>IFERROR(IF(VLOOKUP($A9,TableHandbook[],2,FALSE)=0,"",VLOOKUP($A9,TableHandbook[],2,FALSE)),"")</f>
        <v/>
      </c>
      <c r="C9" s="237" t="str">
        <f>IFERROR(IF(VLOOKUP($A9,TableHandbook[],3,FALSE)=0,"",VLOOKUP($A9,TableHandbook[],3,FALSE)),"")</f>
        <v/>
      </c>
      <c r="D9" s="238" t="str">
        <f>IFERROR(IF(VLOOKUP($A9,TableHandbook[],4,FALSE)=0,"",VLOOKUP($A9,TableHandbook[],4,FALSE)),"")</f>
        <v/>
      </c>
      <c r="E9" s="237" t="str">
        <f>IF(A9="","",VLOOKUP($D$6,TableStudyPeriod[],2,FALSE))</f>
        <v/>
      </c>
      <c r="F9" s="239" t="str">
        <f>IFERROR(IF(VLOOKUP($A9,TableHandbook[],6,FALSE)=0,"",VLOOKUP($A9,TableHandbook[],6,FALSE)),"")</f>
        <v/>
      </c>
      <c r="G9" s="237" t="str">
        <f>IFERROR(IF(VLOOKUP($A9,TableHandbook[],5,FALSE)=0,"",VLOOKUP($A9,TableHandbook[],5,FALSE)),"")</f>
        <v/>
      </c>
      <c r="H9" s="240" t="str">
        <f>IFERROR(VLOOKUP($A9,TableHandbook[],H$2,FALSE),"")</f>
        <v/>
      </c>
      <c r="I9" s="241" t="str">
        <f>IFERROR(VLOOKUP($A9,TableHandbook[],I$2,FALSE),"")</f>
        <v/>
      </c>
      <c r="J9" s="240" t="str">
        <f>IFERROR(VLOOKUP($A9,TableHandbook[],J$2,FALSE),"")</f>
        <v/>
      </c>
      <c r="K9" s="241" t="str">
        <f>IFERROR(VLOOKUP($A9,TableHandbook[],K$2,FALSE),"")</f>
        <v/>
      </c>
      <c r="L9" s="38"/>
      <c r="M9" s="242">
        <v>2</v>
      </c>
      <c r="N9" s="243"/>
      <c r="O9" s="243"/>
    </row>
    <row r="10" spans="1:16" s="244" customFormat="1" ht="20.100000000000001" customHeight="1" x14ac:dyDescent="0.15">
      <c r="A10" s="236" t="str">
        <f>IFERROR(IF(HLOOKUP($L$4,RangeUnitsets,M10,FALSE)=0,"",HLOOKUP($L$4,RangeUnitsets,M10,FALSE)),"")</f>
        <v/>
      </c>
      <c r="B10" s="237" t="str">
        <f>IFERROR(IF(VLOOKUP($A10,TableHandbook[],2,FALSE)=0,"",VLOOKUP($A10,TableHandbook[],2,FALSE)),"")</f>
        <v/>
      </c>
      <c r="C10" s="237" t="str">
        <f>IFERROR(IF(VLOOKUP($A10,TableHandbook[],3,FALSE)=0,"",VLOOKUP($A10,TableHandbook[],3,FALSE)),"")</f>
        <v/>
      </c>
      <c r="D10" s="238" t="str">
        <f>IFERROR(IF(VLOOKUP($A10,TableHandbook[],4,FALSE)=0,"",VLOOKUP($A10,TableHandbook[],4,FALSE)),"")</f>
        <v/>
      </c>
      <c r="E10" s="237" t="str">
        <f t="shared" ref="E10:E11" si="0">IF(OR(A10="",A10="-"),"",E9)</f>
        <v/>
      </c>
      <c r="F10" s="239" t="str">
        <f>IFERROR(IF(VLOOKUP($A10,TableHandbook[],6,FALSE)=0,"",VLOOKUP($A10,TableHandbook[],6,FALSE)),"")</f>
        <v/>
      </c>
      <c r="G10" s="237" t="str">
        <f>IFERROR(IF(VLOOKUP($A10,TableHandbook[],5,FALSE)=0,"",VLOOKUP($A10,TableHandbook[],5,FALSE)),"")</f>
        <v/>
      </c>
      <c r="H10" s="240" t="str">
        <f>IFERROR(VLOOKUP($A10,TableHandbook[],H$2,FALSE),"")</f>
        <v/>
      </c>
      <c r="I10" s="241" t="str">
        <f>IFERROR(VLOOKUP($A10,TableHandbook[],I$2,FALSE),"")</f>
        <v/>
      </c>
      <c r="J10" s="240" t="str">
        <f>IFERROR(VLOOKUP($A10,TableHandbook[],J$2,FALSE),"")</f>
        <v/>
      </c>
      <c r="K10" s="241" t="str">
        <f>IFERROR(VLOOKUP($A10,TableHandbook[],K$2,FALSE),"")</f>
        <v/>
      </c>
      <c r="L10" s="38"/>
      <c r="M10" s="242">
        <v>3</v>
      </c>
      <c r="N10" s="243"/>
      <c r="O10" s="243"/>
    </row>
    <row r="11" spans="1:16" s="244" customFormat="1" ht="20.100000000000001" customHeight="1" x14ac:dyDescent="0.15">
      <c r="A11" s="236" t="str">
        <f>IFERROR(IF(HLOOKUP($L$4,RangeUnitsets,M11,FALSE)=0,"",HLOOKUP($L$4,RangeUnitsets,M11,FALSE)),"")</f>
        <v/>
      </c>
      <c r="B11" s="237" t="str">
        <f>IFERROR(IF(VLOOKUP($A11,TableHandbook[],2,FALSE)=0,"",VLOOKUP($A11,TableHandbook[],2,FALSE)),"")</f>
        <v/>
      </c>
      <c r="C11" s="237" t="str">
        <f>IFERROR(IF(VLOOKUP($A11,TableHandbook[],3,FALSE)=0,"",VLOOKUP($A11,TableHandbook[],3,FALSE)),"")</f>
        <v/>
      </c>
      <c r="D11" s="238" t="str">
        <f>IFERROR(IF(VLOOKUP($A11,TableHandbook[],4,FALSE)=0,"",VLOOKUP($A11,TableHandbook[],4,FALSE)),"")</f>
        <v/>
      </c>
      <c r="E11" s="237" t="str">
        <f t="shared" si="0"/>
        <v/>
      </c>
      <c r="F11" s="239" t="str">
        <f>IFERROR(IF(VLOOKUP($A11,TableHandbook[],6,FALSE)=0,"",VLOOKUP($A11,TableHandbook[],6,FALSE)),"")</f>
        <v/>
      </c>
      <c r="G11" s="237" t="str">
        <f>IFERROR(IF(VLOOKUP($A11,TableHandbook[],5,FALSE)=0,"",VLOOKUP($A11,TableHandbook[],5,FALSE)),"")</f>
        <v/>
      </c>
      <c r="H11" s="240" t="str">
        <f>IFERROR(VLOOKUP($A11,TableHandbook[],H$2,FALSE),"")</f>
        <v/>
      </c>
      <c r="I11" s="241" t="str">
        <f>IFERROR(VLOOKUP($A11,TableHandbook[],I$2,FALSE),"")</f>
        <v/>
      </c>
      <c r="J11" s="240" t="str">
        <f>IFERROR(VLOOKUP($A11,TableHandbook[],J$2,FALSE),"")</f>
        <v/>
      </c>
      <c r="K11" s="241" t="str">
        <f>IFERROR(VLOOKUP($A11,TableHandbook[],K$2,FALSE),"")</f>
        <v/>
      </c>
      <c r="L11" s="39"/>
      <c r="M11" s="242">
        <v>4</v>
      </c>
      <c r="N11" s="243"/>
      <c r="O11" s="243"/>
    </row>
    <row r="12" spans="1:16" s="244" customFormat="1" ht="20.100000000000001" customHeight="1" x14ac:dyDescent="0.15">
      <c r="A12" s="236" t="str">
        <f>IFERROR(IF(HLOOKUP($L$4,RangeUnitsets,M12,FALSE)=0,"",HLOOKUP($L$4,RangeUnitsets,M12,FALSE)),"")</f>
        <v/>
      </c>
      <c r="B12" s="237" t="str">
        <f>IFERROR(IF(VLOOKUP($A12,TableHandbook[],2,FALSE)=0,"",VLOOKUP($A12,TableHandbook[],2,FALSE)),"")</f>
        <v/>
      </c>
      <c r="C12" s="237" t="str">
        <f>IFERROR(IF(VLOOKUP($A12,TableHandbook[],3,FALSE)=0,"",VLOOKUP($A12,TableHandbook[],3,FALSE)),"")</f>
        <v/>
      </c>
      <c r="D12" s="238" t="str">
        <f>IFERROR(IF(VLOOKUP($A12,TableHandbook[],4,FALSE)=0,"",VLOOKUP($A12,TableHandbook[],4,FALSE)),"")</f>
        <v/>
      </c>
      <c r="E12" s="237" t="str">
        <f>IF(OR(A12="",A12="-"),"",E11)</f>
        <v/>
      </c>
      <c r="F12" s="239" t="str">
        <f>IFERROR(IF(VLOOKUP($A12,TableHandbook[],6,FALSE)=0,"",VLOOKUP($A12,TableHandbook[],6,FALSE)),"")</f>
        <v/>
      </c>
      <c r="G12" s="237" t="str">
        <f>IFERROR(IF(VLOOKUP($A12,TableHandbook[],5,FALSE)=0,"",VLOOKUP($A12,TableHandbook[],5,FALSE)),"")</f>
        <v/>
      </c>
      <c r="H12" s="240" t="str">
        <f>IFERROR(VLOOKUP($A12,TableHandbook[],H$2,FALSE),"")</f>
        <v/>
      </c>
      <c r="I12" s="241" t="str">
        <f>IFERROR(VLOOKUP($A12,TableHandbook[],I$2,FALSE),"")</f>
        <v/>
      </c>
      <c r="J12" s="240" t="str">
        <f>IFERROR(VLOOKUP($A12,TableHandbook[],J$2,FALSE),"")</f>
        <v/>
      </c>
      <c r="K12" s="241" t="str">
        <f>IFERROR(VLOOKUP($A12,TableHandbook[],K$2,FALSE),"")</f>
        <v/>
      </c>
      <c r="L12" s="38"/>
      <c r="M12" s="242">
        <v>5</v>
      </c>
      <c r="N12" s="243"/>
      <c r="O12" s="243"/>
    </row>
    <row r="13" spans="1:16" s="244" customFormat="1" ht="5.0999999999999996" customHeight="1" x14ac:dyDescent="0.15">
      <c r="A13" s="245"/>
      <c r="B13" s="246"/>
      <c r="C13" s="246"/>
      <c r="D13" s="247"/>
      <c r="E13" s="246"/>
      <c r="F13" s="248"/>
      <c r="G13" s="246"/>
      <c r="H13" s="249"/>
      <c r="I13" s="250"/>
      <c r="J13" s="249"/>
      <c r="K13" s="250"/>
      <c r="L13" s="58"/>
      <c r="M13" s="242"/>
      <c r="N13" s="243"/>
      <c r="O13" s="243"/>
      <c r="P13" s="243"/>
    </row>
    <row r="14" spans="1:16" s="244" customFormat="1" ht="20.100000000000001" customHeight="1" x14ac:dyDescent="0.15">
      <c r="A14" s="236" t="str">
        <f>IFERROR(IF(HLOOKUP($L$4,RangeUnitsets,M14,FALSE)=0,"",HLOOKUP($L$4,RangeUnitsets,M14,FALSE)),"")</f>
        <v/>
      </c>
      <c r="B14" s="251" t="str">
        <f>IFERROR(IF(VLOOKUP($A14,TableHandbook[],2,FALSE)=0,"",VLOOKUP($A14,TableHandbook[],2,FALSE)),"")</f>
        <v/>
      </c>
      <c r="C14" s="251" t="str">
        <f>IFERROR(IF(VLOOKUP($A14,TableHandbook[],3,FALSE)=0,"",VLOOKUP($A14,TableHandbook[],3,FALSE)),"")</f>
        <v/>
      </c>
      <c r="D14" s="238" t="str">
        <f>IFERROR(IF(VLOOKUP($A14,TableHandbook[],4,FALSE)=0,"",VLOOKUP($A14,TableHandbook[],4,FALSE)),"")</f>
        <v/>
      </c>
      <c r="E14" s="237" t="str">
        <f>IF(A14="","",VLOOKUP($D$6,TableStudyPeriod[],3,FALSE))</f>
        <v/>
      </c>
      <c r="F14" s="239" t="str">
        <f>IFERROR(IF(VLOOKUP($A14,TableHandbook[],6,FALSE)=0,"",VLOOKUP($A14,TableHandbook[],6,FALSE)),"")</f>
        <v/>
      </c>
      <c r="G14" s="251" t="str">
        <f>IFERROR(IF(VLOOKUP($A14,TableHandbook[],5,FALSE)=0,"",VLOOKUP($A14,TableHandbook[],5,FALSE)),"")</f>
        <v/>
      </c>
      <c r="H14" s="252" t="str">
        <f>IFERROR(VLOOKUP($A14,TableHandbook[],H$2,FALSE),"")</f>
        <v/>
      </c>
      <c r="I14" s="253" t="str">
        <f>IFERROR(VLOOKUP($A14,TableHandbook[],I$2,FALSE),"")</f>
        <v/>
      </c>
      <c r="J14" s="252" t="str">
        <f>IFERROR(VLOOKUP($A14,TableHandbook[],J$2,FALSE),"")</f>
        <v/>
      </c>
      <c r="K14" s="253" t="str">
        <f>IFERROR(VLOOKUP($A14,TableHandbook[],K$2,FALSE),"")</f>
        <v/>
      </c>
      <c r="L14" s="39"/>
      <c r="M14" s="242">
        <v>6</v>
      </c>
      <c r="N14" s="243"/>
      <c r="O14" s="243"/>
    </row>
    <row r="15" spans="1:16" s="255" customFormat="1" ht="20.100000000000001" customHeight="1" x14ac:dyDescent="0.15">
      <c r="A15" s="236" t="str">
        <f>IFERROR(IF(HLOOKUP($L$4,RangeUnitsets,M15,FALSE)=0,"",HLOOKUP($L$4,RangeUnitsets,M15,FALSE)),"")</f>
        <v/>
      </c>
      <c r="B15" s="251" t="str">
        <f>IFERROR(IF(VLOOKUP($A15,TableHandbook[],2,FALSE)=0,"",VLOOKUP($A15,TableHandbook[],2,FALSE)),"")</f>
        <v/>
      </c>
      <c r="C15" s="251" t="str">
        <f>IFERROR(IF(VLOOKUP($A15,TableHandbook[],3,FALSE)=0,"",VLOOKUP($A15,TableHandbook[],3,FALSE)),"")</f>
        <v/>
      </c>
      <c r="D15" s="238" t="str">
        <f>IFERROR(IF(VLOOKUP($A15,TableHandbook[],4,FALSE)=0,"",VLOOKUP($A15,TableHandbook[],4,FALSE)),"")</f>
        <v/>
      </c>
      <c r="E15" s="237" t="str">
        <f t="shared" ref="E15:E16" si="1">IF(OR(A15="",A15="-"),"",E14)</f>
        <v/>
      </c>
      <c r="F15" s="239" t="str">
        <f>IFERROR(IF(VLOOKUP($A15,TableHandbook[],6,FALSE)=0,"",VLOOKUP($A15,TableHandbook[],6,FALSE)),"")</f>
        <v/>
      </c>
      <c r="G15" s="251" t="str">
        <f>IFERROR(IF(VLOOKUP($A15,TableHandbook[],5,FALSE)=0,"",VLOOKUP($A15,TableHandbook[],5,FALSE)),"")</f>
        <v/>
      </c>
      <c r="H15" s="252" t="str">
        <f>IFERROR(VLOOKUP($A15,TableHandbook[],H$2,FALSE),"")</f>
        <v/>
      </c>
      <c r="I15" s="253" t="str">
        <f>IFERROR(VLOOKUP($A15,TableHandbook[],I$2,FALSE),"")</f>
        <v/>
      </c>
      <c r="J15" s="252" t="str">
        <f>IFERROR(VLOOKUP($A15,TableHandbook[],J$2,FALSE),"")</f>
        <v/>
      </c>
      <c r="K15" s="253" t="str">
        <f>IFERROR(VLOOKUP($A15,TableHandbook[],K$2,FALSE),"")</f>
        <v/>
      </c>
      <c r="L15" s="39"/>
      <c r="M15" s="242">
        <v>7</v>
      </c>
      <c r="N15" s="254"/>
      <c r="O15" s="254"/>
    </row>
    <row r="16" spans="1:16" s="255" customFormat="1" ht="20.100000000000001" customHeight="1" x14ac:dyDescent="0.15">
      <c r="A16" s="236" t="str">
        <f>IFERROR(IF(HLOOKUP($L$4,RangeUnitsets,M16,FALSE)=0,"",HLOOKUP($L$4,RangeUnitsets,M16,FALSE)),"")</f>
        <v/>
      </c>
      <c r="B16" s="251" t="str">
        <f>IFERROR(IF(VLOOKUP($A16,TableHandbook[],2,FALSE)=0,"",VLOOKUP($A16,TableHandbook[],2,FALSE)),"")</f>
        <v/>
      </c>
      <c r="C16" s="251" t="str">
        <f>IFERROR(IF(VLOOKUP($A16,TableHandbook[],3,FALSE)=0,"",VLOOKUP($A16,TableHandbook[],3,FALSE)),"")</f>
        <v/>
      </c>
      <c r="D16" s="238" t="str">
        <f>IFERROR(IF(VLOOKUP($A16,TableHandbook[],4,FALSE)=0,"",VLOOKUP($A16,TableHandbook[],4,FALSE)),"")</f>
        <v/>
      </c>
      <c r="E16" s="237" t="str">
        <f t="shared" si="1"/>
        <v/>
      </c>
      <c r="F16" s="239" t="str">
        <f>IFERROR(IF(VLOOKUP($A16,TableHandbook[],6,FALSE)=0,"",VLOOKUP($A16,TableHandbook[],6,FALSE)),"")</f>
        <v/>
      </c>
      <c r="G16" s="251" t="str">
        <f>IFERROR(IF(VLOOKUP($A16,TableHandbook[],5,FALSE)=0,"",VLOOKUP($A16,TableHandbook[],5,FALSE)),"")</f>
        <v/>
      </c>
      <c r="H16" s="252" t="str">
        <f>IFERROR(VLOOKUP($A16,TableHandbook[],H$2,FALSE),"")</f>
        <v/>
      </c>
      <c r="I16" s="253" t="str">
        <f>IFERROR(VLOOKUP($A16,TableHandbook[],I$2,FALSE),"")</f>
        <v/>
      </c>
      <c r="J16" s="252" t="str">
        <f>IFERROR(VLOOKUP($A16,TableHandbook[],J$2,FALSE),"")</f>
        <v/>
      </c>
      <c r="K16" s="253" t="str">
        <f>IFERROR(VLOOKUP($A16,TableHandbook[],K$2,FALSE),"")</f>
        <v/>
      </c>
      <c r="L16" s="39"/>
      <c r="M16" s="242">
        <v>8</v>
      </c>
      <c r="N16" s="254"/>
      <c r="O16" s="254"/>
    </row>
    <row r="17" spans="1:16" s="255" customFormat="1" ht="20.100000000000001" customHeight="1" x14ac:dyDescent="0.15">
      <c r="A17" s="236" t="str">
        <f>IFERROR(IF(HLOOKUP($L$4,RangeUnitsets,M17,FALSE)=0,"",HLOOKUP($L$4,RangeUnitsets,M17,FALSE)),"")</f>
        <v/>
      </c>
      <c r="B17" s="251" t="str">
        <f>IFERROR(IF(VLOOKUP($A17,TableHandbook[],2,FALSE)=0,"",VLOOKUP($A17,TableHandbook[],2,FALSE)),"")</f>
        <v/>
      </c>
      <c r="C17" s="251" t="str">
        <f>IFERROR(IF(VLOOKUP($A17,TableHandbook[],3,FALSE)=0,"",VLOOKUP($A17,TableHandbook[],3,FALSE)),"")</f>
        <v/>
      </c>
      <c r="D17" s="256" t="str">
        <f>IFERROR(IF(VLOOKUP($A17,TableHandbook[],4,FALSE)=0,"",VLOOKUP($A17,TableHandbook[],4,FALSE)),"")</f>
        <v/>
      </c>
      <c r="E17" s="251" t="str">
        <f>IF(OR(A17="",A17="-"),"",E16)</f>
        <v/>
      </c>
      <c r="F17" s="239" t="str">
        <f>IFERROR(IF(VLOOKUP($A17,TableHandbook[],6,FALSE)=0,"",VLOOKUP($A17,TableHandbook[],6,FALSE)),"")</f>
        <v/>
      </c>
      <c r="G17" s="251" t="str">
        <f>IFERROR(IF(VLOOKUP($A17,TableHandbook[],5,FALSE)=0,"",VLOOKUP($A17,TableHandbook[],5,FALSE)),"")</f>
        <v/>
      </c>
      <c r="H17" s="252" t="str">
        <f>IFERROR(VLOOKUP($A17,TableHandbook[],H$2,FALSE),"")</f>
        <v/>
      </c>
      <c r="I17" s="253" t="str">
        <f>IFERROR(VLOOKUP($A17,TableHandbook[],I$2,FALSE),"")</f>
        <v/>
      </c>
      <c r="J17" s="252" t="str">
        <f>IFERROR(VLOOKUP($A17,TableHandbook[],J$2,FALSE),"")</f>
        <v/>
      </c>
      <c r="K17" s="253" t="str">
        <f>IFERROR(VLOOKUP($A17,TableHandbook[],K$2,FALSE),"")</f>
        <v/>
      </c>
      <c r="L17" s="39"/>
      <c r="M17" s="242">
        <v>9</v>
      </c>
      <c r="N17" s="254"/>
      <c r="O17" s="254"/>
    </row>
    <row r="18" spans="1:16" s="232" customFormat="1" ht="21" x14ac:dyDescent="0.25">
      <c r="A18" s="225" t="s">
        <v>27</v>
      </c>
      <c r="B18" s="225"/>
      <c r="C18" s="225"/>
      <c r="D18" s="226" t="s">
        <v>3</v>
      </c>
      <c r="E18" s="233" t="s">
        <v>19</v>
      </c>
      <c r="F18" s="233" t="s">
        <v>20</v>
      </c>
      <c r="G18" s="225" t="s">
        <v>21</v>
      </c>
      <c r="H18" s="234" t="str">
        <f>H8</f>
        <v>Sem1 BEN</v>
      </c>
      <c r="I18" s="235" t="s">
        <v>22</v>
      </c>
      <c r="J18" s="234" t="s">
        <v>22</v>
      </c>
      <c r="K18" s="235" t="s">
        <v>22</v>
      </c>
      <c r="L18" s="283" t="str">
        <f>L8</f>
        <v>Notes / Progress</v>
      </c>
      <c r="M18" s="257"/>
      <c r="N18" s="231"/>
      <c r="O18" s="231"/>
    </row>
    <row r="19" spans="1:16" s="244" customFormat="1" ht="20.100000000000001" customHeight="1" x14ac:dyDescent="0.15">
      <c r="A19" s="236" t="str">
        <f>IFERROR(IF(HLOOKUP($L$4,RangeUnitsets,M19,FALSE)=0,"",HLOOKUP($L$4,RangeUnitsets,M19,FALSE)),"")</f>
        <v/>
      </c>
      <c r="B19" s="251" t="str">
        <f>IFERROR(IF(VLOOKUP($A19,TableHandbook[],2,FALSE)=0,"",VLOOKUP($A19,TableHandbook[],2,FALSE)),"")</f>
        <v/>
      </c>
      <c r="C19" s="251" t="str">
        <f>IFERROR(IF(VLOOKUP($A19,TableHandbook[],3,FALSE)=0,"",VLOOKUP($A19,TableHandbook[],3,FALSE)),"")</f>
        <v/>
      </c>
      <c r="D19" s="258" t="str">
        <f>IFERROR(IF(VLOOKUP($A19,TableHandbook[],4,FALSE)=0,"",VLOOKUP($A19,TableHandbook[],4,FALSE)),"")</f>
        <v/>
      </c>
      <c r="E19" s="251" t="str">
        <f>IF(A19="","",VLOOKUP($D$6,TableStudyPeriod[],2,FALSE))</f>
        <v/>
      </c>
      <c r="F19" s="239" t="str">
        <f>IFERROR(IF(VLOOKUP($A19,TableHandbook[],6,FALSE)=0,"",VLOOKUP($A19,TableHandbook[],6,FALSE)),"")</f>
        <v/>
      </c>
      <c r="G19" s="237" t="str">
        <f>IFERROR(IF(VLOOKUP($A19,TableHandbook[],5,FALSE)=0,"",VLOOKUP($A19,TableHandbook[],5,FALSE)),"")</f>
        <v/>
      </c>
      <c r="H19" s="240" t="str">
        <f>IFERROR(VLOOKUP($A19,TableHandbook[],H$2,FALSE),"")</f>
        <v/>
      </c>
      <c r="I19" s="241" t="str">
        <f>IFERROR(VLOOKUP($A19,TableHandbook[],I$2,FALSE),"")</f>
        <v/>
      </c>
      <c r="J19" s="240" t="str">
        <f>IFERROR(VLOOKUP($A19,TableHandbook[],J$2,FALSE),"")</f>
        <v/>
      </c>
      <c r="K19" s="241" t="str">
        <f>IFERROR(VLOOKUP($A19,TableHandbook[],K$2,FALSE),"")</f>
        <v/>
      </c>
      <c r="L19" s="38"/>
      <c r="M19" s="242">
        <v>10</v>
      </c>
      <c r="N19" s="243"/>
      <c r="O19" s="243"/>
    </row>
    <row r="20" spans="1:16" s="244" customFormat="1" ht="20.100000000000001" customHeight="1" x14ac:dyDescent="0.15">
      <c r="A20" s="236" t="str">
        <f>IFERROR(IF(HLOOKUP($L$4,RangeUnitsets,M20,FALSE)=0,"",HLOOKUP($L$4,RangeUnitsets,M20,FALSE)),"")</f>
        <v/>
      </c>
      <c r="B20" s="251" t="str">
        <f>IFERROR(IF(VLOOKUP($A20,TableHandbook[],2,FALSE)=0,"",VLOOKUP($A20,TableHandbook[],2,FALSE)),"")</f>
        <v/>
      </c>
      <c r="C20" s="251" t="str">
        <f>IFERROR(IF(VLOOKUP($A20,TableHandbook[],3,FALSE)=0,"",VLOOKUP($A20,TableHandbook[],3,FALSE)),"")</f>
        <v/>
      </c>
      <c r="D20" s="256" t="str">
        <f>IFERROR(IF(VLOOKUP($A20,TableHandbook[],4,FALSE)=0,"",VLOOKUP($A20,TableHandbook[],4,FALSE)),"")</f>
        <v/>
      </c>
      <c r="E20" s="251" t="str">
        <f t="shared" ref="E20:E21" si="2">IF(OR(A20="",A20="-"),"",E19)</f>
        <v/>
      </c>
      <c r="F20" s="239" t="str">
        <f>IFERROR(IF(VLOOKUP($A20,TableHandbook[],6,FALSE)=0,"",VLOOKUP($A20,TableHandbook[],6,FALSE)),"")</f>
        <v/>
      </c>
      <c r="G20" s="237" t="str">
        <f>IFERROR(IF(VLOOKUP($A20,TableHandbook[],5,FALSE)=0,"",VLOOKUP($A20,TableHandbook[],5,FALSE)),"")</f>
        <v/>
      </c>
      <c r="H20" s="240" t="str">
        <f>IFERROR(VLOOKUP($A20,TableHandbook[],H$2,FALSE),"")</f>
        <v/>
      </c>
      <c r="I20" s="241" t="str">
        <f>IFERROR(VLOOKUP($A20,TableHandbook[],I$2,FALSE),"")</f>
        <v/>
      </c>
      <c r="J20" s="240" t="str">
        <f>IFERROR(VLOOKUP($A20,TableHandbook[],J$2,FALSE),"")</f>
        <v/>
      </c>
      <c r="K20" s="241" t="str">
        <f>IFERROR(VLOOKUP($A20,TableHandbook[],K$2,FALSE),"")</f>
        <v/>
      </c>
      <c r="L20" s="38"/>
      <c r="M20" s="242">
        <v>11</v>
      </c>
      <c r="N20" s="243"/>
      <c r="O20" s="243"/>
    </row>
    <row r="21" spans="1:16" s="244" customFormat="1" ht="20.100000000000001" customHeight="1" x14ac:dyDescent="0.15">
      <c r="A21" s="236" t="str">
        <f>IFERROR(IF(HLOOKUP($L$4,RangeUnitsets,M21,FALSE)=0,"",HLOOKUP($L$4,RangeUnitsets,M21,FALSE)),"")</f>
        <v/>
      </c>
      <c r="B21" s="251" t="str">
        <f>IFERROR(IF(VLOOKUP($A21,TableHandbook[],2,FALSE)=0,"",VLOOKUP($A21,TableHandbook[],2,FALSE)),"")</f>
        <v/>
      </c>
      <c r="C21" s="251" t="str">
        <f>IFERROR(IF(VLOOKUP($A21,TableHandbook[],3,FALSE)=0,"",VLOOKUP($A21,TableHandbook[],3,FALSE)),"")</f>
        <v/>
      </c>
      <c r="D21" s="256" t="str">
        <f>IFERROR(IF(VLOOKUP($A21,TableHandbook[],4,FALSE)=0,"",VLOOKUP($A21,TableHandbook[],4,FALSE)),"")</f>
        <v/>
      </c>
      <c r="E21" s="251" t="str">
        <f t="shared" si="2"/>
        <v/>
      </c>
      <c r="F21" s="239" t="str">
        <f>IFERROR(IF(VLOOKUP($A21,TableHandbook[],6,FALSE)=0,"",VLOOKUP($A21,TableHandbook[],6,FALSE)),"")</f>
        <v/>
      </c>
      <c r="G21" s="237" t="str">
        <f>IFERROR(IF(VLOOKUP($A21,TableHandbook[],5,FALSE)=0,"",VLOOKUP($A21,TableHandbook[],5,FALSE)),"")</f>
        <v/>
      </c>
      <c r="H21" s="240" t="str">
        <f>IFERROR(VLOOKUP($A21,TableHandbook[],H$2,FALSE),"")</f>
        <v/>
      </c>
      <c r="I21" s="241" t="str">
        <f>IFERROR(VLOOKUP($A21,TableHandbook[],I$2,FALSE),"")</f>
        <v/>
      </c>
      <c r="J21" s="240" t="str">
        <f>IFERROR(VLOOKUP($A21,TableHandbook[],J$2,FALSE),"")</f>
        <v/>
      </c>
      <c r="K21" s="241" t="str">
        <f>IFERROR(VLOOKUP($A21,TableHandbook[],K$2,FALSE),"")</f>
        <v/>
      </c>
      <c r="L21" s="38"/>
      <c r="M21" s="242">
        <v>12</v>
      </c>
      <c r="N21" s="243"/>
      <c r="O21" s="243"/>
    </row>
    <row r="22" spans="1:16" s="244" customFormat="1" ht="20.100000000000001" customHeight="1" x14ac:dyDescent="0.15">
      <c r="A22" s="236" t="str">
        <f>IFERROR(IF(HLOOKUP($L$4,RangeUnitsets,M22,FALSE)=0,"",HLOOKUP($L$4,RangeUnitsets,M22,FALSE)),"")</f>
        <v/>
      </c>
      <c r="B22" s="251" t="str">
        <f>IFERROR(IF(VLOOKUP($A22,TableHandbook[],2,FALSE)=0,"",VLOOKUP($A22,TableHandbook[],2,FALSE)),"")</f>
        <v/>
      </c>
      <c r="C22" s="251" t="str">
        <f>IFERROR(IF(VLOOKUP($A22,TableHandbook[],3,FALSE)=0,"",VLOOKUP($A22,TableHandbook[],3,FALSE)),"")</f>
        <v/>
      </c>
      <c r="D22" s="256" t="str">
        <f>IFERROR(IF(VLOOKUP($A22,TableHandbook[],4,FALSE)=0,"",VLOOKUP($A22,TableHandbook[],4,FALSE)),"")</f>
        <v/>
      </c>
      <c r="E22" s="251" t="str">
        <f>IF(OR(A22="",A22="-"),"",E21)</f>
        <v/>
      </c>
      <c r="F22" s="239" t="str">
        <f>IFERROR(IF(VLOOKUP($A22,TableHandbook[],6,FALSE)=0,"",VLOOKUP($A22,TableHandbook[],6,FALSE)),"")</f>
        <v/>
      </c>
      <c r="G22" s="237" t="str">
        <f>IFERROR(IF(VLOOKUP($A22,TableHandbook[],5,FALSE)=0,"",VLOOKUP($A22,TableHandbook[],5,FALSE)),"")</f>
        <v/>
      </c>
      <c r="H22" s="240" t="str">
        <f>IFERROR(VLOOKUP($A22,TableHandbook[],H$2,FALSE),"")</f>
        <v/>
      </c>
      <c r="I22" s="241" t="str">
        <f>IFERROR(VLOOKUP($A22,TableHandbook[],I$2,FALSE),"")</f>
        <v/>
      </c>
      <c r="J22" s="240" t="str">
        <f>IFERROR(VLOOKUP($A22,TableHandbook[],J$2,FALSE),"")</f>
        <v/>
      </c>
      <c r="K22" s="241" t="str">
        <f>IFERROR(VLOOKUP($A22,TableHandbook[],K$2,FALSE),"")</f>
        <v/>
      </c>
      <c r="L22" s="38"/>
      <c r="M22" s="242">
        <v>13</v>
      </c>
      <c r="N22" s="243"/>
      <c r="O22" s="243"/>
    </row>
    <row r="23" spans="1:16" s="244" customFormat="1" ht="3.75" customHeight="1" x14ac:dyDescent="0.15">
      <c r="A23" s="245"/>
      <c r="B23" s="246"/>
      <c r="C23" s="246"/>
      <c r="D23" s="247"/>
      <c r="E23" s="246"/>
      <c r="F23" s="248"/>
      <c r="G23" s="246"/>
      <c r="H23" s="249"/>
      <c r="I23" s="250"/>
      <c r="J23" s="249"/>
      <c r="K23" s="250"/>
      <c r="L23" s="58"/>
      <c r="M23" s="242"/>
      <c r="N23" s="243"/>
      <c r="O23" s="243"/>
      <c r="P23" s="243"/>
    </row>
    <row r="24" spans="1:16" s="244" customFormat="1" ht="20.100000000000001" customHeight="1" x14ac:dyDescent="0.15">
      <c r="A24" s="236" t="str">
        <f>IFERROR(IF(HLOOKUP($L$4,RangeUnitsets,M24,FALSE)=0,"",HLOOKUP($L$4,RangeUnitsets,M24,FALSE)),"")</f>
        <v/>
      </c>
      <c r="B24" s="251" t="str">
        <f>IFERROR(IF(VLOOKUP($A24,TableHandbook[],2,FALSE)=0,"",VLOOKUP($A24,TableHandbook[],2,FALSE)),"")</f>
        <v/>
      </c>
      <c r="C24" s="251" t="str">
        <f>IFERROR(IF(VLOOKUP($A24,TableHandbook[],3,FALSE)=0,"",VLOOKUP($A24,TableHandbook[],3,FALSE)),"")</f>
        <v/>
      </c>
      <c r="D24" s="256" t="str">
        <f>IFERROR(IF(VLOOKUP($A24,TableHandbook[],4,FALSE)=0,"",VLOOKUP($A24,TableHandbook[],4,FALSE)),"")</f>
        <v/>
      </c>
      <c r="E24" s="251" t="str">
        <f>IF(A24="","",VLOOKUP($D$6,TableStudyPeriod[],3,FALSE))</f>
        <v/>
      </c>
      <c r="F24" s="239" t="str">
        <f>IFERROR(IF(VLOOKUP($A24,TableHandbook[],6,FALSE)=0,"",VLOOKUP($A24,TableHandbook[],6,FALSE)),"")</f>
        <v/>
      </c>
      <c r="G24" s="237" t="str">
        <f>IFERROR(IF(VLOOKUP($A24,TableHandbook[],5,FALSE)=0,"",VLOOKUP($A24,TableHandbook[],5,FALSE)),"")</f>
        <v/>
      </c>
      <c r="H24" s="240" t="str">
        <f>IFERROR(VLOOKUP($A24,TableHandbook[],H$2,FALSE),"")</f>
        <v/>
      </c>
      <c r="I24" s="241" t="str">
        <f>IFERROR(VLOOKUP($A24,TableHandbook[],I$2,FALSE),"")</f>
        <v/>
      </c>
      <c r="J24" s="240" t="str">
        <f>IFERROR(VLOOKUP($A24,TableHandbook[],J$2,FALSE),"")</f>
        <v/>
      </c>
      <c r="K24" s="241" t="str">
        <f>IFERROR(VLOOKUP($A24,TableHandbook[],K$2,FALSE),"")</f>
        <v/>
      </c>
      <c r="L24" s="38"/>
      <c r="M24" s="242">
        <v>14</v>
      </c>
      <c r="N24" s="243"/>
      <c r="O24" s="243"/>
    </row>
    <row r="25" spans="1:16" s="244" customFormat="1" ht="20.100000000000001" customHeight="1" x14ac:dyDescent="0.15">
      <c r="A25" s="236" t="str">
        <f>IFERROR(IF(HLOOKUP($L$4,RangeUnitsets,M25,FALSE)=0,"",HLOOKUP($L$4,RangeUnitsets,M25,FALSE)),"")</f>
        <v/>
      </c>
      <c r="B25" s="251" t="str">
        <f>IFERROR(IF(VLOOKUP($A25,TableHandbook[],2,FALSE)=0,"",VLOOKUP($A25,TableHandbook[],2,FALSE)),"")</f>
        <v/>
      </c>
      <c r="C25" s="251" t="str">
        <f>IFERROR(IF(VLOOKUP($A25,TableHandbook[],3,FALSE)=0,"",VLOOKUP($A25,TableHandbook[],3,FALSE)),"")</f>
        <v/>
      </c>
      <c r="D25" s="256" t="str">
        <f>IFERROR(IF(VLOOKUP($A25,TableHandbook[],4,FALSE)=0,"",VLOOKUP($A25,TableHandbook[],4,FALSE)),"")</f>
        <v/>
      </c>
      <c r="E25" s="251" t="str">
        <f t="shared" ref="E25:E26" si="3">IF(OR(A25="",A25="-"),"",E24)</f>
        <v/>
      </c>
      <c r="F25" s="239" t="str">
        <f>IFERROR(IF(VLOOKUP($A25,TableHandbook[],6,FALSE)=0,"",VLOOKUP($A25,TableHandbook[],6,FALSE)),"")</f>
        <v/>
      </c>
      <c r="G25" s="237" t="str">
        <f>IFERROR(IF(VLOOKUP($A25,TableHandbook[],5,FALSE)=0,"",VLOOKUP($A25,TableHandbook[],5,FALSE)),"")</f>
        <v/>
      </c>
      <c r="H25" s="240" t="str">
        <f>IFERROR(VLOOKUP($A25,TableHandbook[],H$2,FALSE),"")</f>
        <v/>
      </c>
      <c r="I25" s="241" t="str">
        <f>IFERROR(VLOOKUP($A25,TableHandbook[],I$2,FALSE),"")</f>
        <v/>
      </c>
      <c r="J25" s="240" t="str">
        <f>IFERROR(VLOOKUP($A25,TableHandbook[],J$2,FALSE),"")</f>
        <v/>
      </c>
      <c r="K25" s="241" t="str">
        <f>IFERROR(VLOOKUP($A25,TableHandbook[],K$2,FALSE),"")</f>
        <v/>
      </c>
      <c r="L25" s="38"/>
      <c r="M25" s="242">
        <v>15</v>
      </c>
      <c r="N25" s="243"/>
      <c r="O25" s="243"/>
    </row>
    <row r="26" spans="1:16" s="255" customFormat="1" ht="20.100000000000001" customHeight="1" x14ac:dyDescent="0.15">
      <c r="A26" s="236" t="str">
        <f>IFERROR(IF(HLOOKUP($L$4,RangeUnitsets,M26,FALSE)=0,"",HLOOKUP($L$4,RangeUnitsets,M26,FALSE)),"")</f>
        <v/>
      </c>
      <c r="B26" s="251" t="str">
        <f>IFERROR(IF(VLOOKUP($A26,TableHandbook[],2,FALSE)=0,"",VLOOKUP($A26,TableHandbook[],2,FALSE)),"")</f>
        <v/>
      </c>
      <c r="C26" s="251" t="str">
        <f>IFERROR(IF(VLOOKUP($A26,TableHandbook[],3,FALSE)=0,"",VLOOKUP($A26,TableHandbook[],3,FALSE)),"")</f>
        <v/>
      </c>
      <c r="D26" s="256" t="str">
        <f>IFERROR(IF(VLOOKUP($A26,TableHandbook[],4,FALSE)=0,"",VLOOKUP($A26,TableHandbook[],4,FALSE)),"")</f>
        <v/>
      </c>
      <c r="E26" s="251" t="str">
        <f t="shared" si="3"/>
        <v/>
      </c>
      <c r="F26" s="239" t="str">
        <f>IFERROR(IF(VLOOKUP($A26,TableHandbook[],6,FALSE)=0,"",VLOOKUP($A26,TableHandbook[],6,FALSE)),"")</f>
        <v/>
      </c>
      <c r="G26" s="237" t="str">
        <f>IFERROR(IF(VLOOKUP($A26,TableHandbook[],5,FALSE)=0,"",VLOOKUP($A26,TableHandbook[],5,FALSE)),"")</f>
        <v/>
      </c>
      <c r="H26" s="240" t="str">
        <f>IFERROR(VLOOKUP($A26,TableHandbook[],H$2,FALSE),"")</f>
        <v/>
      </c>
      <c r="I26" s="241" t="str">
        <f>IFERROR(VLOOKUP($A26,TableHandbook[],I$2,FALSE),"")</f>
        <v/>
      </c>
      <c r="J26" s="240" t="str">
        <f>IFERROR(VLOOKUP($A26,TableHandbook[],J$2,FALSE),"")</f>
        <v/>
      </c>
      <c r="K26" s="241" t="str">
        <f>IFERROR(VLOOKUP($A26,TableHandbook[],K$2,FALSE),"")</f>
        <v/>
      </c>
      <c r="L26" s="38"/>
      <c r="M26" s="242">
        <v>16</v>
      </c>
      <c r="N26" s="254"/>
      <c r="O26" s="254"/>
    </row>
    <row r="27" spans="1:16" s="255" customFormat="1" ht="20.100000000000001" customHeight="1" x14ac:dyDescent="0.15">
      <c r="A27" s="236" t="str">
        <f>IFERROR(IF(HLOOKUP($L$4,RangeUnitsets,M27,FALSE)=0,"",HLOOKUP($L$4,RangeUnitsets,M27,FALSE)),"")</f>
        <v/>
      </c>
      <c r="B27" s="251" t="str">
        <f>IFERROR(IF(VLOOKUP($A27,TableHandbook[],2,FALSE)=0,"",VLOOKUP($A27,TableHandbook[],2,FALSE)),"")</f>
        <v/>
      </c>
      <c r="C27" s="251" t="str">
        <f>IFERROR(IF(VLOOKUP($A27,TableHandbook[],3,FALSE)=0,"",VLOOKUP($A27,TableHandbook[],3,FALSE)),"")</f>
        <v/>
      </c>
      <c r="D27" s="256" t="str">
        <f>IFERROR(IF(VLOOKUP($A27,TableHandbook[],4,FALSE)=0,"",VLOOKUP($A27,TableHandbook[],4,FALSE)),"")</f>
        <v/>
      </c>
      <c r="E27" s="237" t="str">
        <f>IF(OR(A27="",A27="-"),"",E26)</f>
        <v/>
      </c>
      <c r="F27" s="239" t="str">
        <f>IFERROR(IF(VLOOKUP($A27,TableHandbook[],6,FALSE)=0,"",VLOOKUP($A27,TableHandbook[],6,FALSE)),"")</f>
        <v/>
      </c>
      <c r="G27" s="237" t="str">
        <f>IFERROR(IF(VLOOKUP($A27,TableHandbook[],5,FALSE)=0,"",VLOOKUP($A27,TableHandbook[],5,FALSE)),"")</f>
        <v/>
      </c>
      <c r="H27" s="240" t="str">
        <f>IFERROR(VLOOKUP($A27,TableHandbook[],H$2,FALSE),"")</f>
        <v/>
      </c>
      <c r="I27" s="241" t="str">
        <f>IFERROR(VLOOKUP($A27,TableHandbook[],I$2,FALSE),"")</f>
        <v/>
      </c>
      <c r="J27" s="240" t="str">
        <f>IFERROR(VLOOKUP($A27,TableHandbook[],J$2,FALSE),"")</f>
        <v/>
      </c>
      <c r="K27" s="241" t="str">
        <f>IFERROR(VLOOKUP($A27,TableHandbook[],K$2,FALSE),"")</f>
        <v/>
      </c>
      <c r="L27" s="38"/>
      <c r="M27" s="242">
        <v>17</v>
      </c>
      <c r="N27" s="254"/>
      <c r="O27" s="254"/>
    </row>
    <row r="28" spans="1:16" s="266" customFormat="1" ht="13.9" customHeight="1" x14ac:dyDescent="0.2">
      <c r="A28" s="259"/>
      <c r="B28" s="260"/>
      <c r="C28" s="260"/>
      <c r="D28" s="261"/>
      <c r="E28" s="261"/>
      <c r="F28" s="262"/>
      <c r="G28" s="262"/>
      <c r="H28" s="262"/>
      <c r="I28" s="262"/>
      <c r="J28" s="262"/>
      <c r="K28" s="262"/>
      <c r="L28" s="263"/>
      <c r="M28" s="264"/>
      <c r="N28" s="265"/>
      <c r="O28" s="265"/>
    </row>
    <row r="29" spans="1:16" ht="16.5" x14ac:dyDescent="0.25">
      <c r="A29" s="267" t="s">
        <v>28</v>
      </c>
      <c r="B29" s="225"/>
      <c r="C29" s="225"/>
      <c r="D29" s="226"/>
      <c r="E29" s="227"/>
      <c r="F29" s="225"/>
      <c r="G29" s="225"/>
      <c r="H29" s="228" t="str">
        <f>H7</f>
        <v>2025 Availabilities</v>
      </c>
      <c r="I29" s="229"/>
      <c r="J29" s="229"/>
      <c r="K29" s="230"/>
      <c r="L29" s="225"/>
      <c r="M29" s="268"/>
    </row>
    <row r="30" spans="1:16" s="269" customFormat="1" ht="21" x14ac:dyDescent="0.25">
      <c r="A30" s="225"/>
      <c r="B30" s="225"/>
      <c r="C30" s="225"/>
      <c r="D30" s="226" t="s">
        <v>3</v>
      </c>
      <c r="E30" s="233"/>
      <c r="F30" s="225" t="s">
        <v>20</v>
      </c>
      <c r="G30" s="225" t="s">
        <v>21</v>
      </c>
      <c r="H30" s="234" t="str">
        <f>H8</f>
        <v>Sem1 BEN</v>
      </c>
      <c r="I30" s="235" t="str">
        <f t="shared" ref="I30:L30" si="4">I8</f>
        <v>Sem1 FO</v>
      </c>
      <c r="J30" s="234" t="str">
        <f t="shared" si="4"/>
        <v>Sem2 BEN</v>
      </c>
      <c r="K30" s="235" t="str">
        <f t="shared" si="4"/>
        <v>Sem2 FO</v>
      </c>
      <c r="L30" s="225" t="str">
        <f t="shared" si="4"/>
        <v>Notes / Progress</v>
      </c>
      <c r="M30" s="268"/>
    </row>
    <row r="31" spans="1:16" ht="18" customHeight="1" x14ac:dyDescent="0.25">
      <c r="A31" s="270" t="str">
        <f>IFERROR(IF(HLOOKUP($L$4,RangeAltCores,M31,FALSE)=0,"",HLOOKUP($L$4,RangeAltCores,M31,FALSE)),"")</f>
        <v/>
      </c>
      <c r="B31" s="271" t="str">
        <f>IFERROR(IF(VLOOKUP($A31,TableHandbook[],2,FALSE)=0,"",VLOOKUP($A31,TableHandbook[],2,FALSE)),"")</f>
        <v/>
      </c>
      <c r="C31" s="272" t="str">
        <f>IFERROR(IF(VLOOKUP($A31,TableHandbook[],3,FALSE)=0,"",VLOOKUP($A31,TableHandbook[],3,FALSE)),"")</f>
        <v/>
      </c>
      <c r="D31" s="272" t="str">
        <f>IFERROR(IF(VLOOKUP($A31,TableHandbook[],4,FALSE)=0,"",VLOOKUP($A31,TableHandbook[],4,FALSE)),"")</f>
        <v/>
      </c>
      <c r="E31" s="273"/>
      <c r="F31" s="273" t="str">
        <f>IFERROR(IF(VLOOKUP($A31,TableHandbook[],6,FALSE)=0,"",VLOOKUP($A31,TableHandbook[],6,FALSE)),"")</f>
        <v/>
      </c>
      <c r="G31" s="273" t="str">
        <f>IFERROR(IF(VLOOKUP($A31,TableHandbook[],5,FALSE)=0,"",VLOOKUP($A31,TableHandbook[],5,FALSE)),"")</f>
        <v/>
      </c>
      <c r="H31" s="240" t="str">
        <f>IFERROR(VLOOKUP($A31,TableHandbook[],H$2,FALSE),"")</f>
        <v/>
      </c>
      <c r="I31" s="241" t="str">
        <f>IFERROR(VLOOKUP($A31,TableHandbook[],I$2,FALSE),"")</f>
        <v/>
      </c>
      <c r="J31" s="240" t="str">
        <f>IFERROR(VLOOKUP($A31,TableHandbook[],J$2,FALSE),"")</f>
        <v/>
      </c>
      <c r="K31" s="241" t="str">
        <f>IFERROR(VLOOKUP($A31,TableHandbook[],K$2,FALSE),"")</f>
        <v/>
      </c>
      <c r="L31" s="39"/>
      <c r="M31" s="242">
        <v>2</v>
      </c>
    </row>
    <row r="32" spans="1:16" ht="18" customHeight="1" x14ac:dyDescent="0.25">
      <c r="A32" s="270" t="str">
        <f>IFERROR(IF(HLOOKUP($L$4,RangeAltCores,M32,FALSE)=0,"",HLOOKUP($L$4,RangeAltCores,M32,FALSE)),"")</f>
        <v/>
      </c>
      <c r="B32" s="271" t="str">
        <f>IFERROR(IF(VLOOKUP($A32,TableHandbook[],2,FALSE)=0,"",VLOOKUP($A32,TableHandbook[],2,FALSE)),"")</f>
        <v/>
      </c>
      <c r="C32" s="272" t="str">
        <f>IFERROR(IF(VLOOKUP($A32,TableHandbook[],3,FALSE)=0,"",VLOOKUP($A32,TableHandbook[],3,FALSE)),"")</f>
        <v/>
      </c>
      <c r="D32" s="272" t="str">
        <f>IFERROR(IF(VLOOKUP($A32,TableHandbook[],4,FALSE)=0,"",VLOOKUP($A32,TableHandbook[],4,FALSE)),"")</f>
        <v/>
      </c>
      <c r="E32" s="273"/>
      <c r="F32" s="273" t="str">
        <f>IFERROR(IF(VLOOKUP($A32,TableHandbook[],6,FALSE)=0,"",VLOOKUP($A32,TableHandbook[],6,FALSE)),"")</f>
        <v/>
      </c>
      <c r="G32" s="273" t="str">
        <f>IFERROR(IF(VLOOKUP($A32,TableHandbook[],5,FALSE)=0,"",VLOOKUP($A32,TableHandbook[],5,FALSE)),"")</f>
        <v/>
      </c>
      <c r="H32" s="240" t="str">
        <f>IFERROR(VLOOKUP($A32,TableHandbook[],H$2,FALSE),"")</f>
        <v/>
      </c>
      <c r="I32" s="241" t="str">
        <f>IFERROR(VLOOKUP($A32,TableHandbook[],I$2,FALSE),"")</f>
        <v/>
      </c>
      <c r="J32" s="240" t="str">
        <f>IFERROR(VLOOKUP($A32,TableHandbook[],J$2,FALSE),"")</f>
        <v/>
      </c>
      <c r="K32" s="241" t="str">
        <f>IFERROR(VLOOKUP($A32,TableHandbook[],K$2,FALSE),"")</f>
        <v/>
      </c>
      <c r="L32" s="39"/>
      <c r="M32" s="242">
        <v>3</v>
      </c>
    </row>
    <row r="33" spans="1:15" ht="18" customHeight="1" x14ac:dyDescent="0.25">
      <c r="A33" s="270" t="str">
        <f>IFERROR(IF(HLOOKUP($L$4,RangeAltCores,M33,FALSE)=0,"",HLOOKUP($L$4,RangeAltCores,M33,FALSE)),"")</f>
        <v/>
      </c>
      <c r="B33" s="271" t="str">
        <f>IFERROR(IF(VLOOKUP($A33,TableHandbook[],2,FALSE)=0,"",VLOOKUP($A33,TableHandbook[],2,FALSE)),"")</f>
        <v/>
      </c>
      <c r="C33" s="272" t="str">
        <f>IFERROR(IF(VLOOKUP($A33,TableHandbook[],3,FALSE)=0,"",VLOOKUP($A33,TableHandbook[],3,FALSE)),"")</f>
        <v/>
      </c>
      <c r="D33" s="272" t="str">
        <f>IFERROR(IF(VLOOKUP($A33,TableHandbook[],4,FALSE)=0,"",VLOOKUP($A33,TableHandbook[],4,FALSE)),"")</f>
        <v/>
      </c>
      <c r="E33" s="273"/>
      <c r="F33" s="273" t="str">
        <f>IFERROR(IF(VLOOKUP($A33,TableHandbook[],6,FALSE)=0,"",VLOOKUP($A33,TableHandbook[],6,FALSE)),"")</f>
        <v/>
      </c>
      <c r="G33" s="273" t="str">
        <f>IFERROR(IF(VLOOKUP($A33,TableHandbook[],5,FALSE)=0,"",VLOOKUP($A33,TableHandbook[],5,FALSE)),"")</f>
        <v/>
      </c>
      <c r="H33" s="240" t="str">
        <f>IFERROR(VLOOKUP($A33,TableHandbook[],H$2,FALSE),"")</f>
        <v/>
      </c>
      <c r="I33" s="241" t="str">
        <f>IFERROR(VLOOKUP($A33,TableHandbook[],I$2,FALSE),"")</f>
        <v/>
      </c>
      <c r="J33" s="240" t="str">
        <f>IFERROR(VLOOKUP($A33,TableHandbook[],J$2,FALSE),"")</f>
        <v/>
      </c>
      <c r="K33" s="241" t="str">
        <f>IFERROR(VLOOKUP($A33,TableHandbook[],K$2,FALSE),"")</f>
        <v/>
      </c>
      <c r="L33" s="39"/>
      <c r="M33" s="242">
        <v>4</v>
      </c>
    </row>
    <row r="34" spans="1:15" ht="18" customHeight="1" x14ac:dyDescent="0.25">
      <c r="A34" s="274"/>
      <c r="B34" s="274"/>
      <c r="C34" s="275"/>
      <c r="D34" s="275"/>
      <c r="E34" s="275"/>
      <c r="F34" s="275"/>
      <c r="G34" s="275"/>
      <c r="H34" s="276"/>
      <c r="I34" s="276"/>
      <c r="J34" s="276"/>
      <c r="K34" s="276"/>
      <c r="L34" s="276"/>
      <c r="M34" s="242"/>
    </row>
    <row r="35" spans="1:15" ht="32.25" customHeight="1" x14ac:dyDescent="0.25">
      <c r="A35" s="277" t="s">
        <v>29</v>
      </c>
      <c r="B35" s="277"/>
      <c r="C35" s="277"/>
      <c r="D35" s="277"/>
      <c r="E35" s="277"/>
      <c r="F35" s="277"/>
      <c r="G35" s="277"/>
      <c r="H35" s="277"/>
      <c r="I35" s="277"/>
      <c r="J35" s="277"/>
      <c r="K35" s="277"/>
      <c r="L35" s="277"/>
    </row>
    <row r="36" spans="1:15" s="279" customFormat="1" ht="17.25" x14ac:dyDescent="0.3">
      <c r="A36" s="51" t="s">
        <v>30</v>
      </c>
      <c r="B36" s="51"/>
      <c r="C36" s="51"/>
      <c r="D36" s="52"/>
      <c r="E36" s="52"/>
      <c r="F36" s="52"/>
      <c r="G36" s="52"/>
      <c r="H36" s="52"/>
      <c r="I36" s="52"/>
      <c r="J36" s="52"/>
      <c r="K36" s="52"/>
      <c r="L36" s="52"/>
      <c r="M36" s="278"/>
      <c r="N36" s="278"/>
      <c r="O36" s="278"/>
    </row>
    <row r="37" spans="1:15" ht="15" customHeight="1" x14ac:dyDescent="0.25">
      <c r="A37" s="280" t="s">
        <v>31</v>
      </c>
      <c r="B37" s="280"/>
      <c r="C37" s="280"/>
      <c r="D37" s="280"/>
      <c r="E37" s="281"/>
      <c r="F37" s="262"/>
      <c r="G37" s="282"/>
      <c r="H37" s="282"/>
      <c r="I37" s="282"/>
      <c r="J37" s="282"/>
      <c r="K37" s="282"/>
      <c r="L37" s="282" t="s">
        <v>32</v>
      </c>
    </row>
  </sheetData>
  <sheetProtection algorithmName="SHA-512" hashValue="vV0rsrsYQKW2BFqL2WCC03UBPI2nHyNva7xgk/TyHTLcnviBr+7fNano4JwNSq5pgUM7sxzLlg2MVh+YydQDUA==" saltValue="RX1ddIJ1AnIAzdYBDiOLew==" spinCount="100000" sheet="1" objects="1" scenarios="1" formatCells="0"/>
  <mergeCells count="2">
    <mergeCell ref="A3:D3"/>
    <mergeCell ref="A35:L35"/>
  </mergeCells>
  <conditionalFormatting sqref="A9:L17 A19:L27 A31:L33">
    <cfRule type="expression" dxfId="29" priority="1">
      <formula>$A9=""</formula>
    </cfRule>
  </conditionalFormatting>
  <conditionalFormatting sqref="A31:L34">
    <cfRule type="expression" dxfId="28" priority="4">
      <formula>LEFT($D31,5)="Study"</formula>
    </cfRule>
  </conditionalFormatting>
  <conditionalFormatting sqref="D5:D6">
    <cfRule type="containsText" dxfId="27" priority="5" operator="containsText" text="Choose">
      <formula>NOT(ISERROR(SEARCH("Choose",D5)))</formula>
    </cfRule>
  </conditionalFormatting>
  <conditionalFormatting sqref="H9:K27">
    <cfRule type="expression" dxfId="26" priority="2">
      <formula>$E9=LEFT(H$8,4)</formula>
    </cfRule>
  </conditionalFormatting>
  <dataValidations count="1">
    <dataValidation type="list" allowBlank="1" showInputMessage="1" showErrorMessage="1" sqref="L23 L13" xr:uid="{00000000-0002-0000-0100-000000000000}"/>
  </dataValidations>
  <hyperlinks>
    <hyperlink ref="A36:L36"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59" orientation="portrait" r:id="rId2"/>
  <rowBreaks count="1" manualBreakCount="1">
    <brk id="27"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Unitsets!$A$17:$A$19</xm:f>
          </x14:formula1>
          <xm:sqref>D6</xm:sqref>
        </x14:dataValidation>
        <x14:dataValidation type="list" showInputMessage="1" showErrorMessage="1" xr:uid="{00000000-0002-0000-0100-000002000000}">
          <x14:formula1>
            <xm:f>Unitsets!$A$11:$A$13</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43"/>
  <sheetViews>
    <sheetView zoomScale="85" zoomScaleNormal="85" workbookViewId="0">
      <selection activeCell="L4" sqref="L4"/>
    </sheetView>
  </sheetViews>
  <sheetFormatPr defaultRowHeight="15.75" x14ac:dyDescent="0.25"/>
  <cols>
    <col min="1" max="1" width="65.875" style="12" bestFit="1" customWidth="1"/>
    <col min="2" max="2" width="22.375" style="7" bestFit="1" customWidth="1"/>
    <col min="3" max="3" width="12.75" style="7" bestFit="1" customWidth="1"/>
    <col min="4" max="4" width="17.375" style="7" bestFit="1" customWidth="1"/>
    <col min="5" max="5" width="14.875" style="7" bestFit="1" customWidth="1"/>
    <col min="6" max="6" width="19.125" style="7" bestFit="1" customWidth="1"/>
    <col min="7" max="7" width="19.875" style="7" bestFit="1" customWidth="1"/>
    <col min="8" max="8" width="22.625" style="7" bestFit="1" customWidth="1"/>
    <col min="9" max="9" width="9.875" style="7" customWidth="1"/>
    <col min="10" max="10" width="12.625" style="7" bestFit="1" customWidth="1"/>
    <col min="11" max="11" width="2.5" bestFit="1" customWidth="1"/>
    <col min="12" max="12" width="7.125" bestFit="1" customWidth="1"/>
    <col min="13" max="13" width="14.25" bestFit="1" customWidth="1"/>
    <col min="14" max="14" width="7.125" bestFit="1" customWidth="1"/>
    <col min="15" max="15" width="14.25" bestFit="1" customWidth="1"/>
    <col min="16" max="16" width="7.125" bestFit="1" customWidth="1"/>
    <col min="17" max="17" width="14.125" bestFit="1" customWidth="1"/>
    <col min="18" max="18" width="7.125" bestFit="1" customWidth="1"/>
    <col min="19" max="19" width="14.125" bestFit="1" customWidth="1"/>
    <col min="20" max="20" width="16.125" bestFit="1" customWidth="1"/>
    <col min="21" max="21" width="10.875" bestFit="1" customWidth="1"/>
    <col min="22" max="22" width="7.125" bestFit="1" customWidth="1"/>
    <col min="23" max="23" width="10.75" bestFit="1" customWidth="1"/>
    <col min="24" max="24" width="27.625" bestFit="1" customWidth="1"/>
    <col min="25" max="25" width="10.75" bestFit="1" customWidth="1"/>
    <col min="26" max="26" width="7.125" bestFit="1" customWidth="1"/>
    <col min="27" max="27" width="10.75" bestFit="1" customWidth="1"/>
    <col min="28" max="28" width="18.375" bestFit="1" customWidth="1"/>
    <col min="29" max="29" width="11.625" bestFit="1" customWidth="1"/>
    <col min="30" max="30" width="7.125" bestFit="1" customWidth="1"/>
    <col min="31" max="31" width="11.625" bestFit="1" customWidth="1"/>
    <col min="32" max="32" width="27.625" bestFit="1" customWidth="1"/>
    <col min="33" max="33" width="11.625" bestFit="1" customWidth="1"/>
    <col min="34" max="34" width="7.125" bestFit="1" customWidth="1"/>
    <col min="35" max="35" width="11.625" bestFit="1" customWidth="1"/>
    <col min="36" max="36" width="6.625" customWidth="1"/>
  </cols>
  <sheetData>
    <row r="1" spans="1:36" x14ac:dyDescent="0.25">
      <c r="A1" s="14" t="s">
        <v>35</v>
      </c>
      <c r="B1" s="15"/>
      <c r="C1" s="15"/>
      <c r="D1" s="15"/>
      <c r="L1" s="35"/>
    </row>
    <row r="2" spans="1:36" x14ac:dyDescent="0.25">
      <c r="M2" s="10"/>
      <c r="N2" s="11"/>
      <c r="O2" s="10"/>
      <c r="P2" s="9"/>
      <c r="Q2" s="10"/>
      <c r="R2" s="11"/>
      <c r="S2" s="10"/>
      <c r="T2" s="37" t="s">
        <v>36</v>
      </c>
      <c r="U2" s="10"/>
      <c r="V2" s="9"/>
      <c r="W2" s="10"/>
      <c r="X2" s="42" t="s">
        <v>37</v>
      </c>
      <c r="Y2" s="41"/>
      <c r="Z2" s="11"/>
      <c r="AA2" s="10"/>
      <c r="AB2" s="37" t="s">
        <v>38</v>
      </c>
      <c r="AC2" s="10"/>
      <c r="AF2" s="43" t="s">
        <v>37</v>
      </c>
      <c r="AH2" s="5"/>
      <c r="AI2" s="5"/>
      <c r="AJ2" s="11"/>
    </row>
    <row r="3" spans="1:36" ht="51" x14ac:dyDescent="0.25">
      <c r="A3" s="50" t="s">
        <v>55</v>
      </c>
      <c r="H3"/>
      <c r="J3" s="44" t="s">
        <v>39</v>
      </c>
      <c r="K3" s="1">
        <v>1</v>
      </c>
      <c r="L3" s="126"/>
      <c r="M3" s="127" t="s">
        <v>40</v>
      </c>
      <c r="N3" s="128"/>
      <c r="O3" s="129" t="s">
        <v>41</v>
      </c>
      <c r="P3" s="126"/>
      <c r="Q3" s="130" t="s">
        <v>42</v>
      </c>
      <c r="R3" s="131"/>
      <c r="S3" s="129" t="s">
        <v>43</v>
      </c>
      <c r="T3" s="132"/>
      <c r="U3" s="133" t="s">
        <v>44</v>
      </c>
      <c r="V3" s="132"/>
      <c r="W3" s="133" t="s">
        <v>45</v>
      </c>
      <c r="X3" s="134"/>
      <c r="Y3" s="135" t="s">
        <v>46</v>
      </c>
      <c r="Z3" s="134"/>
      <c r="AA3" s="136" t="s">
        <v>47</v>
      </c>
      <c r="AB3" s="137"/>
      <c r="AC3" s="138" t="s">
        <v>48</v>
      </c>
      <c r="AD3" s="137"/>
      <c r="AE3" s="139" t="s">
        <v>49</v>
      </c>
      <c r="AF3" s="140"/>
      <c r="AG3" s="141" t="s">
        <v>50</v>
      </c>
      <c r="AH3" s="140"/>
      <c r="AI3" s="141" t="s">
        <v>51</v>
      </c>
      <c r="AJ3" s="36"/>
    </row>
    <row r="4" spans="1:36" x14ac:dyDescent="0.25">
      <c r="A4" s="7" t="s">
        <v>57</v>
      </c>
      <c r="B4" s="12" t="s">
        <v>0</v>
      </c>
      <c r="C4" s="7" t="s">
        <v>58</v>
      </c>
      <c r="D4" s="7" t="s">
        <v>59</v>
      </c>
      <c r="E4" s="7" t="s">
        <v>60</v>
      </c>
      <c r="F4" s="7" t="s">
        <v>61</v>
      </c>
      <c r="G4" s="7" t="s">
        <v>62</v>
      </c>
      <c r="H4" s="7" t="s">
        <v>63</v>
      </c>
      <c r="K4" s="19">
        <v>2</v>
      </c>
      <c r="L4" s="142" t="s">
        <v>52</v>
      </c>
      <c r="M4" s="143" t="s">
        <v>53</v>
      </c>
      <c r="N4" s="142" t="s">
        <v>54</v>
      </c>
      <c r="O4" s="143" t="s">
        <v>53</v>
      </c>
      <c r="P4" s="142" t="s">
        <v>52</v>
      </c>
      <c r="Q4" s="143" t="s">
        <v>53</v>
      </c>
      <c r="R4" s="142" t="s">
        <v>54</v>
      </c>
      <c r="S4" s="143" t="s">
        <v>53</v>
      </c>
      <c r="T4" s="142" t="s">
        <v>52</v>
      </c>
      <c r="U4" s="144" t="s">
        <v>53</v>
      </c>
      <c r="V4" s="142" t="s">
        <v>52</v>
      </c>
      <c r="W4" s="145" t="s">
        <v>53</v>
      </c>
      <c r="X4" s="142" t="s">
        <v>54</v>
      </c>
      <c r="Y4" s="145" t="s">
        <v>53</v>
      </c>
      <c r="Z4" s="142" t="s">
        <v>54</v>
      </c>
      <c r="AA4" s="145" t="s">
        <v>53</v>
      </c>
      <c r="AB4" s="146" t="s">
        <v>52</v>
      </c>
      <c r="AC4" s="144" t="s">
        <v>53</v>
      </c>
      <c r="AD4" s="142" t="s">
        <v>52</v>
      </c>
      <c r="AE4" s="144" t="s">
        <v>53</v>
      </c>
      <c r="AF4" s="142" t="s">
        <v>54</v>
      </c>
      <c r="AG4" s="145" t="s">
        <v>53</v>
      </c>
      <c r="AH4" s="142" t="s">
        <v>54</v>
      </c>
      <c r="AI4" s="145" t="s">
        <v>53</v>
      </c>
      <c r="AJ4" s="1"/>
    </row>
    <row r="5" spans="1:36" x14ac:dyDescent="0.25">
      <c r="A5" s="7" t="s">
        <v>66</v>
      </c>
      <c r="B5" s="185" t="s">
        <v>67</v>
      </c>
      <c r="C5" s="180" t="s">
        <v>68</v>
      </c>
      <c r="D5" s="181">
        <v>42005</v>
      </c>
      <c r="E5" s="180">
        <v>4</v>
      </c>
      <c r="F5" s="181">
        <v>44013</v>
      </c>
      <c r="G5" s="8" t="s">
        <v>69</v>
      </c>
      <c r="H5" s="184" t="s">
        <v>70</v>
      </c>
      <c r="I5"/>
      <c r="K5" s="19">
        <v>3</v>
      </c>
      <c r="L5" s="147" t="s">
        <v>52</v>
      </c>
      <c r="M5" s="148" t="s">
        <v>56</v>
      </c>
      <c r="N5" s="147" t="s">
        <v>54</v>
      </c>
      <c r="O5" s="148" t="s">
        <v>56</v>
      </c>
      <c r="P5" s="147" t="s">
        <v>52</v>
      </c>
      <c r="Q5" s="148" t="s">
        <v>56</v>
      </c>
      <c r="R5" s="147" t="s">
        <v>54</v>
      </c>
      <c r="S5" s="148" t="s">
        <v>56</v>
      </c>
      <c r="T5" s="147" t="s">
        <v>52</v>
      </c>
      <c r="U5" s="149" t="s">
        <v>56</v>
      </c>
      <c r="V5" s="147" t="s">
        <v>52</v>
      </c>
      <c r="W5" s="149" t="s">
        <v>56</v>
      </c>
      <c r="X5" s="147" t="s">
        <v>54</v>
      </c>
      <c r="Y5" s="149" t="s">
        <v>56</v>
      </c>
      <c r="Z5" s="147" t="s">
        <v>54</v>
      </c>
      <c r="AA5" s="149" t="s">
        <v>56</v>
      </c>
      <c r="AB5" s="148" t="s">
        <v>52</v>
      </c>
      <c r="AC5" s="150" t="s">
        <v>56</v>
      </c>
      <c r="AD5" s="147" t="s">
        <v>52</v>
      </c>
      <c r="AE5" s="150" t="s">
        <v>56</v>
      </c>
      <c r="AF5" s="147" t="s">
        <v>54</v>
      </c>
      <c r="AG5" s="149" t="s">
        <v>56</v>
      </c>
      <c r="AH5" s="147" t="s">
        <v>54</v>
      </c>
      <c r="AI5" s="149" t="s">
        <v>56</v>
      </c>
      <c r="AJ5" s="1"/>
    </row>
    <row r="6" spans="1:36" x14ac:dyDescent="0.25">
      <c r="A6" s="7" t="s">
        <v>72</v>
      </c>
      <c r="B6" s="185" t="s">
        <v>73</v>
      </c>
      <c r="C6" s="180" t="s">
        <v>74</v>
      </c>
      <c r="D6" s="181">
        <v>44562</v>
      </c>
      <c r="E6" s="180">
        <v>6</v>
      </c>
      <c r="F6" s="181">
        <v>44562</v>
      </c>
      <c r="G6" s="8" t="s">
        <v>75</v>
      </c>
      <c r="H6" s="184" t="s">
        <v>70</v>
      </c>
      <c r="I6"/>
      <c r="K6" s="19">
        <v>4</v>
      </c>
      <c r="L6" s="147" t="s">
        <v>52</v>
      </c>
      <c r="M6" s="148" t="s">
        <v>64</v>
      </c>
      <c r="N6" s="147" t="s">
        <v>54</v>
      </c>
      <c r="O6" s="148" t="s">
        <v>64</v>
      </c>
      <c r="P6" s="147" t="s">
        <v>52</v>
      </c>
      <c r="Q6" s="148" t="s">
        <v>64</v>
      </c>
      <c r="R6" s="147" t="s">
        <v>54</v>
      </c>
      <c r="S6" s="148" t="s">
        <v>64</v>
      </c>
      <c r="T6" s="147" t="s">
        <v>52</v>
      </c>
      <c r="U6" s="149" t="s">
        <v>64</v>
      </c>
      <c r="V6" s="147" t="s">
        <v>52</v>
      </c>
      <c r="W6" s="149" t="s">
        <v>64</v>
      </c>
      <c r="X6" s="147" t="s">
        <v>54</v>
      </c>
      <c r="Y6" s="149" t="s">
        <v>64</v>
      </c>
      <c r="Z6" s="147" t="s">
        <v>54</v>
      </c>
      <c r="AA6" s="149" t="s">
        <v>64</v>
      </c>
      <c r="AB6" s="148" t="s">
        <v>52</v>
      </c>
      <c r="AC6" s="150" t="s">
        <v>65</v>
      </c>
      <c r="AD6" s="147" t="s">
        <v>52</v>
      </c>
      <c r="AE6" s="150" t="s">
        <v>65</v>
      </c>
      <c r="AF6" s="147" t="s">
        <v>54</v>
      </c>
      <c r="AG6" s="149" t="s">
        <v>65</v>
      </c>
      <c r="AH6" s="147" t="s">
        <v>54</v>
      </c>
      <c r="AI6" s="149" t="s">
        <v>65</v>
      </c>
      <c r="AJ6" s="1"/>
    </row>
    <row r="7" spans="1:36" x14ac:dyDescent="0.25">
      <c r="A7" s="7" t="s">
        <v>12</v>
      </c>
      <c r="B7" s="185" t="s">
        <v>78</v>
      </c>
      <c r="C7" s="180" t="s">
        <v>79</v>
      </c>
      <c r="D7" s="181">
        <v>42736</v>
      </c>
      <c r="E7" s="182" t="s">
        <v>80</v>
      </c>
      <c r="F7" s="181">
        <v>44562</v>
      </c>
      <c r="G7" s="8" t="s">
        <v>81</v>
      </c>
      <c r="H7" s="184" t="s">
        <v>70</v>
      </c>
      <c r="I7"/>
      <c r="K7" s="19">
        <v>5</v>
      </c>
      <c r="L7" s="147" t="s">
        <v>52</v>
      </c>
      <c r="M7" s="148" t="s">
        <v>65</v>
      </c>
      <c r="N7" s="147" t="s">
        <v>54</v>
      </c>
      <c r="O7" s="148" t="s">
        <v>65</v>
      </c>
      <c r="P7" s="147" t="s">
        <v>52</v>
      </c>
      <c r="Q7" s="148" t="s">
        <v>65</v>
      </c>
      <c r="R7" s="147" t="s">
        <v>54</v>
      </c>
      <c r="S7" s="148" t="s">
        <v>65</v>
      </c>
      <c r="T7" s="147" t="s">
        <v>52</v>
      </c>
      <c r="U7" s="149" t="s">
        <v>65</v>
      </c>
      <c r="V7" s="147" t="s">
        <v>52</v>
      </c>
      <c r="W7" s="149" t="s">
        <v>65</v>
      </c>
      <c r="X7" s="147" t="s">
        <v>54</v>
      </c>
      <c r="Y7" s="149" t="s">
        <v>65</v>
      </c>
      <c r="Z7" s="147" t="s">
        <v>54</v>
      </c>
      <c r="AA7" s="149" t="s">
        <v>65</v>
      </c>
      <c r="AB7" s="148" t="s">
        <v>52</v>
      </c>
      <c r="AC7" s="150" t="s">
        <v>71</v>
      </c>
      <c r="AD7" s="147" t="s">
        <v>52</v>
      </c>
      <c r="AE7" s="150" t="s">
        <v>71</v>
      </c>
      <c r="AF7" s="147" t="s">
        <v>54</v>
      </c>
      <c r="AG7" s="149" t="s">
        <v>71</v>
      </c>
      <c r="AH7" s="147" t="s">
        <v>54</v>
      </c>
      <c r="AI7" s="149" t="s">
        <v>71</v>
      </c>
      <c r="AJ7" s="1"/>
    </row>
    <row r="8" spans="1:36" x14ac:dyDescent="0.25">
      <c r="A8" s="7" t="s">
        <v>83</v>
      </c>
      <c r="B8" s="185" t="s">
        <v>84</v>
      </c>
      <c r="C8" s="180" t="s">
        <v>79</v>
      </c>
      <c r="D8" s="181">
        <v>42736</v>
      </c>
      <c r="E8" s="182" t="s">
        <v>80</v>
      </c>
      <c r="F8" s="181">
        <v>44562</v>
      </c>
      <c r="G8" s="8" t="s">
        <v>81</v>
      </c>
      <c r="H8" s="184" t="s">
        <v>70</v>
      </c>
      <c r="I8"/>
      <c r="K8" s="19">
        <v>6</v>
      </c>
      <c r="L8" s="142"/>
      <c r="M8" s="146"/>
      <c r="N8" s="146"/>
      <c r="O8" s="145"/>
      <c r="P8" s="147" t="s">
        <v>54</v>
      </c>
      <c r="Q8" s="148" t="s">
        <v>76</v>
      </c>
      <c r="R8" s="147" t="s">
        <v>52</v>
      </c>
      <c r="S8" s="148" t="s">
        <v>76</v>
      </c>
      <c r="T8" s="147" t="s">
        <v>54</v>
      </c>
      <c r="U8" s="149" t="s">
        <v>77</v>
      </c>
      <c r="V8" s="147" t="s">
        <v>54</v>
      </c>
      <c r="W8" s="149" t="s">
        <v>77</v>
      </c>
      <c r="X8" s="147" t="s">
        <v>52</v>
      </c>
      <c r="Y8" s="149" t="s">
        <v>77</v>
      </c>
      <c r="Z8" s="147" t="s">
        <v>52</v>
      </c>
      <c r="AA8" s="149" t="s">
        <v>77</v>
      </c>
      <c r="AB8" s="148" t="s">
        <v>54</v>
      </c>
      <c r="AC8" s="150" t="s">
        <v>64</v>
      </c>
      <c r="AD8" s="147" t="s">
        <v>54</v>
      </c>
      <c r="AE8" s="150" t="s">
        <v>64</v>
      </c>
      <c r="AF8" s="147" t="s">
        <v>52</v>
      </c>
      <c r="AG8" s="149" t="s">
        <v>64</v>
      </c>
      <c r="AH8" s="147" t="s">
        <v>52</v>
      </c>
      <c r="AI8" s="149" t="s">
        <v>64</v>
      </c>
      <c r="AJ8" s="1"/>
    </row>
    <row r="9" spans="1:36" x14ac:dyDescent="0.25">
      <c r="A9" s="7"/>
      <c r="B9" s="12"/>
      <c r="E9" s="20"/>
      <c r="H9"/>
      <c r="I9"/>
      <c r="K9" s="19">
        <v>7</v>
      </c>
      <c r="L9" s="147"/>
      <c r="M9" s="148"/>
      <c r="N9" s="148"/>
      <c r="O9" s="149"/>
      <c r="P9" s="147" t="s">
        <v>54</v>
      </c>
      <c r="Q9" s="148" t="s">
        <v>82</v>
      </c>
      <c r="R9" s="147" t="s">
        <v>52</v>
      </c>
      <c r="S9" s="148" t="s">
        <v>82</v>
      </c>
      <c r="T9" s="147" t="s">
        <v>54</v>
      </c>
      <c r="U9" s="149" t="s">
        <v>82</v>
      </c>
      <c r="V9" s="147" t="s">
        <v>54</v>
      </c>
      <c r="W9" s="149" t="s">
        <v>82</v>
      </c>
      <c r="X9" s="147" t="s">
        <v>52</v>
      </c>
      <c r="Y9" s="149" t="s">
        <v>82</v>
      </c>
      <c r="Z9" s="147" t="s">
        <v>52</v>
      </c>
      <c r="AA9" s="149" t="s">
        <v>82</v>
      </c>
      <c r="AB9" s="148" t="s">
        <v>54</v>
      </c>
      <c r="AC9" s="150" t="s">
        <v>82</v>
      </c>
      <c r="AD9" s="147" t="s">
        <v>54</v>
      </c>
      <c r="AE9" s="150" t="s">
        <v>82</v>
      </c>
      <c r="AF9" s="147" t="s">
        <v>52</v>
      </c>
      <c r="AG9" s="149" t="s">
        <v>82</v>
      </c>
      <c r="AH9" s="147" t="s">
        <v>52</v>
      </c>
      <c r="AI9" s="149" t="s">
        <v>82</v>
      </c>
      <c r="AJ9" s="1"/>
    </row>
    <row r="10" spans="1:36" x14ac:dyDescent="0.25">
      <c r="A10" s="50" t="s">
        <v>88</v>
      </c>
      <c r="H10"/>
      <c r="I10"/>
      <c r="K10" s="19">
        <v>8</v>
      </c>
      <c r="L10" s="147"/>
      <c r="M10" s="151"/>
      <c r="N10" s="148"/>
      <c r="O10" s="152"/>
      <c r="P10" s="147" t="s">
        <v>54</v>
      </c>
      <c r="Q10" s="148" t="s">
        <v>77</v>
      </c>
      <c r="R10" s="147" t="s">
        <v>52</v>
      </c>
      <c r="S10" s="148" t="s">
        <v>77</v>
      </c>
      <c r="T10" s="147" t="s">
        <v>54</v>
      </c>
      <c r="U10" s="149" t="s">
        <v>85</v>
      </c>
      <c r="V10" s="147" t="s">
        <v>54</v>
      </c>
      <c r="W10" s="149" t="s">
        <v>85</v>
      </c>
      <c r="X10" s="147" t="s">
        <v>52</v>
      </c>
      <c r="Y10" s="149" t="s">
        <v>85</v>
      </c>
      <c r="Z10" s="147" t="s">
        <v>52</v>
      </c>
      <c r="AA10" s="149" t="s">
        <v>85</v>
      </c>
      <c r="AB10" s="148" t="s">
        <v>54</v>
      </c>
      <c r="AC10" s="150" t="s">
        <v>86</v>
      </c>
      <c r="AD10" s="147" t="s">
        <v>54</v>
      </c>
      <c r="AE10" s="150" t="s">
        <v>86</v>
      </c>
      <c r="AF10" s="147" t="s">
        <v>52</v>
      </c>
      <c r="AG10" s="149" t="s">
        <v>86</v>
      </c>
      <c r="AH10" s="147" t="s">
        <v>52</v>
      </c>
      <c r="AI10" s="149" t="s">
        <v>86</v>
      </c>
      <c r="AJ10" s="1"/>
    </row>
    <row r="11" spans="1:36" x14ac:dyDescent="0.25">
      <c r="A11" s="7" t="s">
        <v>91</v>
      </c>
      <c r="B11" s="12" t="s">
        <v>0</v>
      </c>
      <c r="C11" s="7" t="s">
        <v>58</v>
      </c>
      <c r="D11" s="7" t="s">
        <v>59</v>
      </c>
      <c r="E11" s="7" t="s">
        <v>60</v>
      </c>
      <c r="F11" s="7" t="s">
        <v>61</v>
      </c>
      <c r="G11" s="7" t="s">
        <v>62</v>
      </c>
      <c r="H11" s="7" t="s">
        <v>63</v>
      </c>
      <c r="I11"/>
      <c r="K11" s="19">
        <v>9</v>
      </c>
      <c r="L11" s="147"/>
      <c r="M11" s="148"/>
      <c r="N11" s="148"/>
      <c r="O11" s="153"/>
      <c r="P11" s="147" t="s">
        <v>54</v>
      </c>
      <c r="Q11" s="148" t="s">
        <v>184</v>
      </c>
      <c r="R11" s="147" t="s">
        <v>52</v>
      </c>
      <c r="S11" s="148" t="s">
        <v>184</v>
      </c>
      <c r="T11" s="154" t="s">
        <v>54</v>
      </c>
      <c r="U11" s="155" t="s">
        <v>86</v>
      </c>
      <c r="V11" s="154" t="s">
        <v>54</v>
      </c>
      <c r="W11" s="155" t="s">
        <v>86</v>
      </c>
      <c r="X11" s="154" t="s">
        <v>52</v>
      </c>
      <c r="Y11" s="155" t="s">
        <v>86</v>
      </c>
      <c r="Z11" s="154" t="s">
        <v>52</v>
      </c>
      <c r="AA11" s="155" t="s">
        <v>86</v>
      </c>
      <c r="AB11" s="156" t="s">
        <v>54</v>
      </c>
      <c r="AC11" s="157" t="s">
        <v>71</v>
      </c>
      <c r="AD11" s="154" t="s">
        <v>54</v>
      </c>
      <c r="AE11" s="157" t="s">
        <v>71</v>
      </c>
      <c r="AF11" s="154" t="s">
        <v>52</v>
      </c>
      <c r="AG11" s="155" t="s">
        <v>71</v>
      </c>
      <c r="AH11" s="154" t="s">
        <v>52</v>
      </c>
      <c r="AI11" s="155" t="s">
        <v>71</v>
      </c>
      <c r="AJ11" s="1"/>
    </row>
    <row r="12" spans="1:36" x14ac:dyDescent="0.25">
      <c r="A12" s="7" t="s">
        <v>33</v>
      </c>
      <c r="B12" s="185" t="s">
        <v>93</v>
      </c>
      <c r="C12" s="180" t="s">
        <v>94</v>
      </c>
      <c r="D12" s="181">
        <v>43466</v>
      </c>
      <c r="E12" s="183" t="s">
        <v>95</v>
      </c>
      <c r="F12" s="181">
        <v>44562</v>
      </c>
      <c r="G12" s="8" t="s">
        <v>96</v>
      </c>
      <c r="H12" s="186" t="s">
        <v>183</v>
      </c>
      <c r="I12"/>
      <c r="K12" s="19">
        <v>10</v>
      </c>
      <c r="L12" s="158"/>
      <c r="M12" s="148"/>
      <c r="N12" s="151"/>
      <c r="O12" s="151"/>
      <c r="P12" s="143"/>
      <c r="Q12" s="146"/>
      <c r="R12" s="143"/>
      <c r="S12" s="146"/>
      <c r="T12" s="158" t="s">
        <v>89</v>
      </c>
      <c r="U12" s="149" t="s">
        <v>76</v>
      </c>
      <c r="V12" s="158" t="s">
        <v>89</v>
      </c>
      <c r="W12" s="149" t="s">
        <v>76</v>
      </c>
      <c r="X12" s="158" t="s">
        <v>90</v>
      </c>
      <c r="Y12" s="149" t="s">
        <v>76</v>
      </c>
      <c r="Z12" s="158" t="s">
        <v>90</v>
      </c>
      <c r="AA12" s="149" t="s">
        <v>76</v>
      </c>
      <c r="AB12" s="143" t="s">
        <v>89</v>
      </c>
      <c r="AC12" s="144" t="s">
        <v>85</v>
      </c>
      <c r="AD12" s="159" t="s">
        <v>89</v>
      </c>
      <c r="AE12" s="144" t="s">
        <v>85</v>
      </c>
      <c r="AF12" s="159" t="s">
        <v>90</v>
      </c>
      <c r="AG12" s="145" t="s">
        <v>85</v>
      </c>
      <c r="AH12" s="159" t="s">
        <v>90</v>
      </c>
      <c r="AI12" s="145" t="s">
        <v>85</v>
      </c>
      <c r="AJ12" s="2"/>
    </row>
    <row r="13" spans="1:36" x14ac:dyDescent="0.25">
      <c r="A13" s="7" t="s">
        <v>99</v>
      </c>
      <c r="B13" s="185" t="s">
        <v>100</v>
      </c>
      <c r="C13" s="180" t="s">
        <v>94</v>
      </c>
      <c r="D13" s="181">
        <v>43466</v>
      </c>
      <c r="E13" s="183" t="s">
        <v>95</v>
      </c>
      <c r="F13" s="181">
        <v>44562</v>
      </c>
      <c r="G13" s="8" t="s">
        <v>96</v>
      </c>
      <c r="H13" s="186" t="s">
        <v>183</v>
      </c>
      <c r="I13"/>
      <c r="K13" s="19">
        <v>11</v>
      </c>
      <c r="L13" s="158"/>
      <c r="M13" s="151"/>
      <c r="N13" s="151"/>
      <c r="O13" s="160"/>
      <c r="P13" s="161"/>
      <c r="Q13" s="161"/>
      <c r="R13" s="151"/>
      <c r="S13" s="161"/>
      <c r="T13" s="158" t="s">
        <v>89</v>
      </c>
      <c r="U13" s="149" t="s">
        <v>71</v>
      </c>
      <c r="V13" s="158" t="s">
        <v>89</v>
      </c>
      <c r="W13" s="149" t="s">
        <v>92</v>
      </c>
      <c r="X13" s="158" t="s">
        <v>90</v>
      </c>
      <c r="Y13" s="149" t="s">
        <v>71</v>
      </c>
      <c r="Z13" s="158" t="s">
        <v>90</v>
      </c>
      <c r="AA13" s="149" t="s">
        <v>92</v>
      </c>
      <c r="AB13" s="151" t="s">
        <v>89</v>
      </c>
      <c r="AC13" s="150" t="s">
        <v>77</v>
      </c>
      <c r="AD13" s="158" t="s">
        <v>89</v>
      </c>
      <c r="AE13" s="150" t="s">
        <v>77</v>
      </c>
      <c r="AF13" s="158" t="s">
        <v>90</v>
      </c>
      <c r="AG13" s="149" t="s">
        <v>77</v>
      </c>
      <c r="AH13" s="158" t="s">
        <v>90</v>
      </c>
      <c r="AI13" s="149" t="s">
        <v>77</v>
      </c>
      <c r="AJ13" s="2"/>
    </row>
    <row r="14" spans="1:36" x14ac:dyDescent="0.25">
      <c r="A14" s="7"/>
      <c r="B14" s="12"/>
      <c r="E14" s="20"/>
      <c r="F14" s="18"/>
      <c r="G14" s="18"/>
      <c r="H14"/>
      <c r="I14"/>
      <c r="K14" s="19">
        <v>12</v>
      </c>
      <c r="L14" s="158"/>
      <c r="M14" s="160"/>
      <c r="N14" s="151"/>
      <c r="O14" s="151"/>
      <c r="P14" s="161"/>
      <c r="Q14" s="161"/>
      <c r="R14" s="151"/>
      <c r="S14" s="148"/>
      <c r="T14" s="158" t="s">
        <v>89</v>
      </c>
      <c r="U14" s="162" t="s">
        <v>97</v>
      </c>
      <c r="V14" s="158" t="s">
        <v>89</v>
      </c>
      <c r="W14" s="163" t="s">
        <v>97</v>
      </c>
      <c r="X14" s="158" t="s">
        <v>90</v>
      </c>
      <c r="Y14" s="163" t="s">
        <v>97</v>
      </c>
      <c r="Z14" s="158" t="s">
        <v>90</v>
      </c>
      <c r="AA14" s="162" t="s">
        <v>97</v>
      </c>
      <c r="AB14" s="151" t="s">
        <v>89</v>
      </c>
      <c r="AC14" s="150" t="s">
        <v>190</v>
      </c>
      <c r="AD14" s="158" t="s">
        <v>89</v>
      </c>
      <c r="AE14" s="150" t="s">
        <v>190</v>
      </c>
      <c r="AF14" s="158" t="s">
        <v>90</v>
      </c>
      <c r="AG14" s="149" t="s">
        <v>190</v>
      </c>
      <c r="AH14" s="158" t="s">
        <v>90</v>
      </c>
      <c r="AI14" s="149" t="s">
        <v>190</v>
      </c>
      <c r="AJ14" s="2"/>
    </row>
    <row r="15" spans="1:36" x14ac:dyDescent="0.25">
      <c r="H15"/>
      <c r="I15"/>
      <c r="K15" s="19">
        <v>13</v>
      </c>
      <c r="L15" s="158"/>
      <c r="M15" s="148"/>
      <c r="N15" s="151"/>
      <c r="O15" s="148"/>
      <c r="P15" s="161"/>
      <c r="Q15" s="161"/>
      <c r="R15" s="151"/>
      <c r="S15" s="148"/>
      <c r="T15" s="164" t="s">
        <v>89</v>
      </c>
      <c r="U15" s="165" t="s">
        <v>101</v>
      </c>
      <c r="V15" s="164" t="s">
        <v>89</v>
      </c>
      <c r="W15" s="165" t="s">
        <v>101</v>
      </c>
      <c r="X15" s="164" t="s">
        <v>90</v>
      </c>
      <c r="Y15" s="165" t="s">
        <v>101</v>
      </c>
      <c r="Z15" s="164" t="s">
        <v>90</v>
      </c>
      <c r="AA15" s="166" t="s">
        <v>101</v>
      </c>
      <c r="AB15" s="151" t="s">
        <v>89</v>
      </c>
      <c r="AC15" s="150" t="s">
        <v>71</v>
      </c>
      <c r="AD15" s="158" t="s">
        <v>89</v>
      </c>
      <c r="AE15" s="150" t="s">
        <v>71</v>
      </c>
      <c r="AF15" s="158" t="s">
        <v>90</v>
      </c>
      <c r="AG15" s="149" t="s">
        <v>71</v>
      </c>
      <c r="AH15" s="158" t="s">
        <v>90</v>
      </c>
      <c r="AI15" s="149" t="s">
        <v>71</v>
      </c>
      <c r="AJ15" s="2"/>
    </row>
    <row r="16" spans="1:36" x14ac:dyDescent="0.25">
      <c r="A16" s="50" t="s">
        <v>102</v>
      </c>
      <c r="H16"/>
      <c r="I16"/>
      <c r="K16" s="19">
        <v>14</v>
      </c>
      <c r="L16" s="158"/>
      <c r="M16" s="160"/>
      <c r="N16" s="151"/>
      <c r="O16" s="151"/>
      <c r="P16" s="151"/>
      <c r="Q16" s="160"/>
      <c r="R16" s="151"/>
      <c r="S16" s="161"/>
      <c r="T16" s="151"/>
      <c r="U16" s="148"/>
      <c r="V16" s="151"/>
      <c r="W16" s="148"/>
      <c r="X16" s="151"/>
      <c r="Y16" s="148"/>
      <c r="Z16" s="151"/>
      <c r="AA16" s="148"/>
      <c r="AB16" s="158" t="s">
        <v>90</v>
      </c>
      <c r="AC16" s="150" t="s">
        <v>76</v>
      </c>
      <c r="AD16" s="158" t="s">
        <v>90</v>
      </c>
      <c r="AE16" s="150" t="s">
        <v>76</v>
      </c>
      <c r="AF16" s="158" t="s">
        <v>89</v>
      </c>
      <c r="AG16" s="149" t="s">
        <v>76</v>
      </c>
      <c r="AH16" s="158" t="s">
        <v>89</v>
      </c>
      <c r="AI16" s="149" t="s">
        <v>76</v>
      </c>
      <c r="AJ16" s="2"/>
    </row>
    <row r="17" spans="1:36" x14ac:dyDescent="0.25">
      <c r="A17" s="13" t="s">
        <v>103</v>
      </c>
      <c r="B17" s="17" t="s">
        <v>104</v>
      </c>
      <c r="C17" s="7" t="s">
        <v>105</v>
      </c>
      <c r="H17"/>
      <c r="I17"/>
      <c r="K17" s="19">
        <v>15</v>
      </c>
      <c r="L17" s="158"/>
      <c r="M17" s="151"/>
      <c r="N17" s="151"/>
      <c r="O17" s="148"/>
      <c r="P17" s="151"/>
      <c r="Q17" s="151"/>
      <c r="R17" s="151"/>
      <c r="S17" s="161"/>
      <c r="T17" s="151"/>
      <c r="U17" s="148"/>
      <c r="V17" s="151"/>
      <c r="W17" s="148"/>
      <c r="X17" s="151"/>
      <c r="Y17" s="148"/>
      <c r="Z17" s="151"/>
      <c r="AA17" s="148"/>
      <c r="AB17" s="158" t="s">
        <v>90</v>
      </c>
      <c r="AC17" s="150" t="s">
        <v>71</v>
      </c>
      <c r="AD17" s="158" t="s">
        <v>90</v>
      </c>
      <c r="AE17" s="150" t="s">
        <v>92</v>
      </c>
      <c r="AF17" s="158" t="s">
        <v>89</v>
      </c>
      <c r="AG17" s="149" t="s">
        <v>71</v>
      </c>
      <c r="AH17" s="158" t="s">
        <v>89</v>
      </c>
      <c r="AI17" s="149" t="s">
        <v>92</v>
      </c>
      <c r="AJ17" s="2"/>
    </row>
    <row r="18" spans="1:36" x14ac:dyDescent="0.25">
      <c r="A18" s="7" t="s">
        <v>34</v>
      </c>
      <c r="B18" s="7" t="s">
        <v>106</v>
      </c>
      <c r="C18" s="7" t="s">
        <v>107</v>
      </c>
      <c r="H18"/>
      <c r="I18"/>
      <c r="K18" s="19">
        <v>16</v>
      </c>
      <c r="L18" s="158"/>
      <c r="M18" s="148"/>
      <c r="N18" s="151"/>
      <c r="O18" s="148"/>
      <c r="P18" s="151"/>
      <c r="Q18" s="148"/>
      <c r="R18" s="151"/>
      <c r="S18" s="148"/>
      <c r="T18" s="151"/>
      <c r="U18" s="148"/>
      <c r="V18" s="151"/>
      <c r="W18" s="161"/>
      <c r="X18" s="161"/>
      <c r="Y18" s="161"/>
      <c r="Z18" s="161"/>
      <c r="AA18" s="148"/>
      <c r="AB18" s="158" t="s">
        <v>90</v>
      </c>
      <c r="AC18" s="162" t="s">
        <v>97</v>
      </c>
      <c r="AD18" s="158" t="s">
        <v>90</v>
      </c>
      <c r="AE18" s="162" t="s">
        <v>97</v>
      </c>
      <c r="AF18" s="158" t="s">
        <v>89</v>
      </c>
      <c r="AG18" s="163" t="s">
        <v>97</v>
      </c>
      <c r="AH18" s="158" t="s">
        <v>89</v>
      </c>
      <c r="AI18" s="163" t="s">
        <v>97</v>
      </c>
      <c r="AJ18" s="2"/>
    </row>
    <row r="19" spans="1:36" x14ac:dyDescent="0.25">
      <c r="A19" s="7" t="s">
        <v>15</v>
      </c>
      <c r="B19" s="7" t="s">
        <v>107</v>
      </c>
      <c r="C19" s="7" t="s">
        <v>106</v>
      </c>
      <c r="H19"/>
      <c r="I19"/>
      <c r="K19" s="19">
        <v>17</v>
      </c>
      <c r="L19" s="164"/>
      <c r="M19" s="156"/>
      <c r="N19" s="167"/>
      <c r="O19" s="156"/>
      <c r="P19" s="167"/>
      <c r="Q19" s="156"/>
      <c r="R19" s="167"/>
      <c r="S19" s="156"/>
      <c r="T19" s="167"/>
      <c r="U19" s="156"/>
      <c r="V19" s="167"/>
      <c r="W19" s="168"/>
      <c r="X19" s="168"/>
      <c r="Y19" s="168"/>
      <c r="Z19" s="168"/>
      <c r="AA19" s="156"/>
      <c r="AB19" s="164" t="s">
        <v>90</v>
      </c>
      <c r="AC19" s="165" t="s">
        <v>101</v>
      </c>
      <c r="AD19" s="164" t="s">
        <v>90</v>
      </c>
      <c r="AE19" s="165" t="s">
        <v>101</v>
      </c>
      <c r="AF19" s="164" t="s">
        <v>89</v>
      </c>
      <c r="AG19" s="165" t="s">
        <v>101</v>
      </c>
      <c r="AH19" s="164" t="s">
        <v>89</v>
      </c>
      <c r="AI19" s="165" t="s">
        <v>101</v>
      </c>
      <c r="AJ19" s="2"/>
    </row>
    <row r="20" spans="1:36" x14ac:dyDescent="0.25">
      <c r="E20" s="18"/>
      <c r="H20"/>
      <c r="I20"/>
      <c r="L20" s="161"/>
      <c r="M20" s="169"/>
      <c r="N20" s="151"/>
      <c r="O20" s="148"/>
      <c r="P20" s="170"/>
      <c r="Q20" s="160"/>
      <c r="R20" s="151"/>
      <c r="S20" s="148"/>
      <c r="T20" s="151"/>
      <c r="U20" s="171" t="s">
        <v>108</v>
      </c>
      <c r="V20" s="151"/>
      <c r="W20" s="171" t="s">
        <v>108</v>
      </c>
      <c r="X20" s="161"/>
      <c r="Y20" s="171" t="s">
        <v>108</v>
      </c>
      <c r="Z20" s="151"/>
      <c r="AA20" s="171" t="s">
        <v>108</v>
      </c>
      <c r="AB20" s="151"/>
      <c r="AC20" s="171" t="s">
        <v>108</v>
      </c>
      <c r="AD20" s="151"/>
      <c r="AE20" s="171" t="s">
        <v>108</v>
      </c>
      <c r="AF20" s="161"/>
      <c r="AG20" s="171" t="s">
        <v>108</v>
      </c>
      <c r="AH20" s="151"/>
      <c r="AI20" s="171" t="s">
        <v>108</v>
      </c>
      <c r="AJ20" s="2"/>
    </row>
    <row r="21" spans="1:36" x14ac:dyDescent="0.25">
      <c r="A21" s="50" t="s">
        <v>109</v>
      </c>
      <c r="H21"/>
      <c r="I21"/>
      <c r="L21" s="161"/>
      <c r="M21" s="169"/>
      <c r="N21" s="151"/>
      <c r="O21" s="148"/>
      <c r="P21" s="151"/>
      <c r="Q21" s="151"/>
      <c r="R21" s="151"/>
      <c r="S21" s="148"/>
      <c r="T21" s="151"/>
      <c r="U21" s="172"/>
      <c r="V21" s="151"/>
      <c r="W21" s="161"/>
      <c r="X21" s="161"/>
      <c r="Y21" s="161"/>
      <c r="Z21" s="161"/>
      <c r="AA21" s="148"/>
      <c r="AB21" s="151"/>
      <c r="AC21" s="148"/>
      <c r="AD21" s="151"/>
      <c r="AE21" s="148"/>
      <c r="AF21" s="161"/>
      <c r="AG21" s="161"/>
      <c r="AH21" s="151"/>
      <c r="AI21" s="151"/>
      <c r="AJ21" s="2"/>
    </row>
    <row r="22" spans="1:36" x14ac:dyDescent="0.25">
      <c r="A22" s="13" t="s">
        <v>110</v>
      </c>
      <c r="B22" s="12" t="s">
        <v>0</v>
      </c>
      <c r="C22" s="7" t="s">
        <v>58</v>
      </c>
      <c r="D22" s="7" t="s">
        <v>59</v>
      </c>
      <c r="E22" s="7" t="s">
        <v>60</v>
      </c>
      <c r="F22" s="7" t="s">
        <v>61</v>
      </c>
      <c r="G22" s="7" t="s">
        <v>62</v>
      </c>
      <c r="H22"/>
      <c r="I22"/>
      <c r="L22" s="161"/>
      <c r="M22" s="169"/>
      <c r="N22" s="151"/>
      <c r="O22" s="148"/>
      <c r="P22" s="151"/>
      <c r="Q22" s="151"/>
      <c r="R22" s="151"/>
      <c r="S22" s="148"/>
      <c r="T22" s="173"/>
      <c r="U22" s="161"/>
      <c r="V22" s="151"/>
      <c r="W22" s="161"/>
      <c r="X22" s="151"/>
      <c r="Y22" s="161"/>
      <c r="Z22" s="151"/>
      <c r="AA22" s="161"/>
      <c r="AB22" s="151"/>
      <c r="AC22" s="148"/>
      <c r="AD22" s="151"/>
      <c r="AE22" s="148"/>
      <c r="AF22" s="161"/>
      <c r="AG22" s="161"/>
      <c r="AH22" s="151"/>
      <c r="AI22" s="151"/>
      <c r="AJ22" s="2"/>
    </row>
    <row r="23" spans="1:36" x14ac:dyDescent="0.25">
      <c r="A23" s="5" t="s">
        <v>112</v>
      </c>
      <c r="B23" s="184" t="s">
        <v>113</v>
      </c>
      <c r="C23" s="180" t="s">
        <v>114</v>
      </c>
      <c r="D23" s="181">
        <v>44562</v>
      </c>
      <c r="E23" s="180">
        <v>2</v>
      </c>
      <c r="F23" s="181">
        <v>44562</v>
      </c>
      <c r="G23" s="6" t="s">
        <v>81</v>
      </c>
      <c r="H23"/>
      <c r="I23"/>
      <c r="L23" s="161"/>
      <c r="M23" s="169"/>
      <c r="N23" s="151"/>
      <c r="O23" s="148"/>
      <c r="P23" s="151"/>
      <c r="Q23" s="161"/>
      <c r="R23" s="151"/>
      <c r="S23" s="148"/>
      <c r="T23" s="151"/>
      <c r="U23" s="148"/>
      <c r="V23" s="151"/>
      <c r="W23" s="161"/>
      <c r="X23" s="151"/>
      <c r="Y23" s="161"/>
      <c r="Z23" s="151"/>
      <c r="AA23" s="161"/>
      <c r="AB23" s="161"/>
      <c r="AC23" s="161"/>
      <c r="AD23" s="161"/>
      <c r="AE23" s="161"/>
      <c r="AF23" s="161"/>
      <c r="AG23" s="161"/>
      <c r="AH23" s="161"/>
      <c r="AI23" s="161"/>
      <c r="AJ23" s="2"/>
    </row>
    <row r="24" spans="1:36" ht="51" x14ac:dyDescent="0.25">
      <c r="A24" s="5" t="s">
        <v>116</v>
      </c>
      <c r="B24" s="184" t="s">
        <v>117</v>
      </c>
      <c r="C24" s="180" t="s">
        <v>114</v>
      </c>
      <c r="D24" s="181">
        <v>44562</v>
      </c>
      <c r="E24" s="180">
        <v>2</v>
      </c>
      <c r="F24" s="181">
        <v>44562</v>
      </c>
      <c r="G24" s="6" t="s">
        <v>81</v>
      </c>
      <c r="H24"/>
      <c r="I24"/>
      <c r="J24" s="44" t="s">
        <v>111</v>
      </c>
      <c r="K24" s="45"/>
      <c r="L24" s="126"/>
      <c r="M24" s="130" t="s">
        <v>40</v>
      </c>
      <c r="N24" s="128"/>
      <c r="O24" s="129" t="s">
        <v>41</v>
      </c>
      <c r="P24" s="126"/>
      <c r="Q24" s="130" t="s">
        <v>42</v>
      </c>
      <c r="R24" s="128"/>
      <c r="S24" s="129" t="s">
        <v>43</v>
      </c>
      <c r="T24" s="132"/>
      <c r="U24" s="133" t="s">
        <v>44</v>
      </c>
      <c r="V24" s="174"/>
      <c r="W24" s="133" t="s">
        <v>45</v>
      </c>
      <c r="X24" s="175"/>
      <c r="Y24" s="135" t="s">
        <v>46</v>
      </c>
      <c r="Z24" s="175"/>
      <c r="AA24" s="135" t="s">
        <v>47</v>
      </c>
      <c r="AB24" s="176"/>
      <c r="AC24" s="139" t="s">
        <v>48</v>
      </c>
      <c r="AD24" s="176"/>
      <c r="AE24" s="139" t="s">
        <v>49</v>
      </c>
      <c r="AF24" s="177"/>
      <c r="AG24" s="141" t="s">
        <v>50</v>
      </c>
      <c r="AH24" s="177"/>
      <c r="AI24" s="141" t="s">
        <v>51</v>
      </c>
      <c r="AJ24" s="2"/>
    </row>
    <row r="25" spans="1:36" x14ac:dyDescent="0.25">
      <c r="A25" s="5" t="s">
        <v>119</v>
      </c>
      <c r="B25" s="184" t="s">
        <v>120</v>
      </c>
      <c r="C25" s="180" t="s">
        <v>114</v>
      </c>
      <c r="D25" s="181">
        <v>44562</v>
      </c>
      <c r="E25" s="180">
        <v>3</v>
      </c>
      <c r="F25" s="181">
        <v>44562</v>
      </c>
      <c r="G25" s="6" t="s">
        <v>96</v>
      </c>
      <c r="H25"/>
      <c r="I25"/>
      <c r="K25" s="2">
        <v>2</v>
      </c>
      <c r="L25" s="142"/>
      <c r="M25" s="178" t="s">
        <v>115</v>
      </c>
      <c r="N25" s="142"/>
      <c r="O25" s="178" t="s">
        <v>115</v>
      </c>
      <c r="P25" s="142"/>
      <c r="Q25" s="144" t="s">
        <v>184</v>
      </c>
      <c r="R25" s="142"/>
      <c r="S25" s="144" t="s">
        <v>184</v>
      </c>
      <c r="T25" s="142"/>
      <c r="U25" s="178" t="s">
        <v>115</v>
      </c>
      <c r="V25" s="142"/>
      <c r="W25" s="178" t="s">
        <v>115</v>
      </c>
      <c r="X25" s="142"/>
      <c r="Y25" s="178" t="s">
        <v>115</v>
      </c>
      <c r="Z25" s="142"/>
      <c r="AA25" s="178" t="s">
        <v>115</v>
      </c>
      <c r="AB25" s="142"/>
      <c r="AC25" s="144" t="s">
        <v>190</v>
      </c>
      <c r="AD25" s="142"/>
      <c r="AE25" s="144" t="s">
        <v>190</v>
      </c>
      <c r="AF25" s="142"/>
      <c r="AG25" s="144" t="s">
        <v>190</v>
      </c>
      <c r="AH25" s="142"/>
      <c r="AI25" s="144" t="s">
        <v>190</v>
      </c>
      <c r="AJ25" s="2"/>
    </row>
    <row r="26" spans="1:36" x14ac:dyDescent="0.25">
      <c r="A26" s="5" t="s">
        <v>122</v>
      </c>
      <c r="B26" s="184" t="s">
        <v>123</v>
      </c>
      <c r="C26" s="180" t="s">
        <v>114</v>
      </c>
      <c r="D26" s="181">
        <v>44562</v>
      </c>
      <c r="E26" s="180">
        <v>3</v>
      </c>
      <c r="F26" s="181">
        <v>44562</v>
      </c>
      <c r="G26" s="6" t="s">
        <v>96</v>
      </c>
      <c r="H26"/>
      <c r="I26"/>
      <c r="K26" s="2">
        <v>3</v>
      </c>
      <c r="L26" s="147"/>
      <c r="M26" s="149"/>
      <c r="N26" s="147"/>
      <c r="O26" s="149"/>
      <c r="P26" s="147"/>
      <c r="Q26" s="149" t="s">
        <v>86</v>
      </c>
      <c r="R26" s="147"/>
      <c r="S26" s="149" t="s">
        <v>86</v>
      </c>
      <c r="T26" s="147"/>
      <c r="U26" s="149"/>
      <c r="V26" s="147"/>
      <c r="W26" s="149"/>
      <c r="X26" s="147"/>
      <c r="Y26" s="149"/>
      <c r="Z26" s="147"/>
      <c r="AA26" s="149"/>
      <c r="AB26" s="147"/>
      <c r="AC26" s="150" t="s">
        <v>118</v>
      </c>
      <c r="AD26" s="147"/>
      <c r="AE26" s="150" t="s">
        <v>118</v>
      </c>
      <c r="AF26" s="147"/>
      <c r="AG26" s="150" t="s">
        <v>118</v>
      </c>
      <c r="AH26" s="147"/>
      <c r="AI26" s="150" t="s">
        <v>118</v>
      </c>
      <c r="AJ26" s="2"/>
    </row>
    <row r="27" spans="1:36" x14ac:dyDescent="0.25">
      <c r="H27"/>
      <c r="I27"/>
      <c r="K27" s="2">
        <v>4</v>
      </c>
      <c r="L27" s="147"/>
      <c r="M27" s="149"/>
      <c r="N27" s="147"/>
      <c r="O27" s="149"/>
      <c r="P27" s="147"/>
      <c r="Q27" s="149" t="s">
        <v>85</v>
      </c>
      <c r="R27" s="147"/>
      <c r="S27" s="149" t="s">
        <v>85</v>
      </c>
      <c r="T27" s="147"/>
      <c r="U27" s="149"/>
      <c r="V27" s="147"/>
      <c r="W27" s="149"/>
      <c r="X27" s="147"/>
      <c r="Y27" s="149"/>
      <c r="Z27" s="147"/>
      <c r="AA27" s="149"/>
      <c r="AB27" s="147"/>
      <c r="AC27" s="150" t="s">
        <v>121</v>
      </c>
      <c r="AD27" s="147"/>
      <c r="AE27" s="150" t="s">
        <v>121</v>
      </c>
      <c r="AF27" s="147"/>
      <c r="AG27" s="150" t="s">
        <v>121</v>
      </c>
      <c r="AH27" s="147"/>
      <c r="AI27" s="150" t="s">
        <v>121</v>
      </c>
      <c r="AJ27" s="7"/>
    </row>
    <row r="28" spans="1:36" x14ac:dyDescent="0.25">
      <c r="A28"/>
      <c r="H28"/>
      <c r="I28"/>
      <c r="K28" s="2">
        <v>5</v>
      </c>
      <c r="L28" s="154"/>
      <c r="M28" s="155"/>
      <c r="N28" s="154"/>
      <c r="O28" s="155"/>
      <c r="P28" s="154"/>
      <c r="Q28" s="155"/>
      <c r="R28" s="154"/>
      <c r="S28" s="155"/>
      <c r="T28" s="154"/>
      <c r="U28" s="155"/>
      <c r="V28" s="154"/>
      <c r="W28" s="155"/>
      <c r="X28" s="154"/>
      <c r="Y28" s="155"/>
      <c r="Z28" s="154"/>
      <c r="AA28" s="155"/>
      <c r="AB28" s="154"/>
      <c r="AC28" s="157"/>
      <c r="AD28" s="154"/>
      <c r="AE28" s="157"/>
      <c r="AF28" s="154"/>
      <c r="AG28" s="157"/>
      <c r="AH28" s="154"/>
      <c r="AI28" s="157"/>
      <c r="AJ28" s="7"/>
    </row>
    <row r="29" spans="1:36" x14ac:dyDescent="0.25">
      <c r="A29" s="12" t="s">
        <v>195</v>
      </c>
      <c r="B29" s="20">
        <v>45559</v>
      </c>
      <c r="H29"/>
      <c r="I29"/>
      <c r="R29" s="2"/>
      <c r="S29" s="1"/>
      <c r="X29" s="2"/>
      <c r="Y29" s="1"/>
      <c r="Z29" s="2"/>
      <c r="AA29" s="1"/>
      <c r="AJ29" s="7"/>
    </row>
    <row r="30" spans="1:36" x14ac:dyDescent="0.25">
      <c r="A30" s="12" t="s">
        <v>196</v>
      </c>
      <c r="B30" s="20">
        <v>45559</v>
      </c>
      <c r="H30"/>
      <c r="I30"/>
      <c r="R30" s="2"/>
      <c r="S30" s="1"/>
      <c r="X30" s="2"/>
      <c r="Y30" s="1"/>
      <c r="Z30" s="2"/>
      <c r="AA30" s="1"/>
    </row>
    <row r="31" spans="1:36" x14ac:dyDescent="0.25">
      <c r="A31" s="12" t="s">
        <v>197</v>
      </c>
      <c r="B31" s="20">
        <v>45559</v>
      </c>
      <c r="H31"/>
      <c r="I31"/>
      <c r="X31" s="2"/>
      <c r="Y31" s="1"/>
      <c r="Z31" s="2"/>
      <c r="AA31" s="1"/>
    </row>
    <row r="32" spans="1:36" x14ac:dyDescent="0.25">
      <c r="A32" s="12" t="s">
        <v>198</v>
      </c>
      <c r="B32" s="20">
        <v>45559</v>
      </c>
      <c r="H32"/>
      <c r="I32"/>
      <c r="Q32" s="16"/>
      <c r="X32" s="2"/>
      <c r="Y32" s="1"/>
      <c r="Z32" s="2"/>
      <c r="AA32" s="1"/>
      <c r="AJ32" s="7"/>
    </row>
    <row r="33" spans="1:9" x14ac:dyDescent="0.25">
      <c r="A33" s="12" t="s">
        <v>199</v>
      </c>
      <c r="B33" s="20">
        <v>45559</v>
      </c>
      <c r="H33"/>
      <c r="I33"/>
    </row>
    <row r="34" spans="1:9" ht="15.75" customHeight="1" x14ac:dyDescent="0.25">
      <c r="A34" s="12" t="s">
        <v>200</v>
      </c>
      <c r="B34" s="20">
        <v>45575</v>
      </c>
      <c r="H34"/>
      <c r="I34"/>
    </row>
    <row r="35" spans="1:9" x14ac:dyDescent="0.25">
      <c r="A35" s="12" t="s">
        <v>201</v>
      </c>
      <c r="B35" s="20">
        <v>45597</v>
      </c>
      <c r="H35"/>
      <c r="I35"/>
    </row>
    <row r="36" spans="1:9" ht="15.75" customHeight="1" x14ac:dyDescent="0.25">
      <c r="A36" s="12" t="s">
        <v>202</v>
      </c>
      <c r="B36" s="20">
        <v>45575</v>
      </c>
      <c r="H36"/>
      <c r="I36"/>
    </row>
    <row r="37" spans="1:9" ht="15.75" customHeight="1" x14ac:dyDescent="0.25">
      <c r="A37" s="12" t="s">
        <v>203</v>
      </c>
      <c r="B37" s="20">
        <v>45597</v>
      </c>
      <c r="H37"/>
      <c r="I37"/>
    </row>
    <row r="38" spans="1:9" x14ac:dyDescent="0.25">
      <c r="A38" s="191" t="s">
        <v>208</v>
      </c>
      <c r="B38" s="20">
        <v>45597</v>
      </c>
      <c r="I38"/>
    </row>
    <row r="39" spans="1:9" x14ac:dyDescent="0.25">
      <c r="I39"/>
    </row>
    <row r="40" spans="1:9" x14ac:dyDescent="0.25">
      <c r="I40"/>
    </row>
    <row r="41" spans="1:9" x14ac:dyDescent="0.25">
      <c r="I41"/>
    </row>
    <row r="42" spans="1:9" x14ac:dyDescent="0.25">
      <c r="I42"/>
    </row>
    <row r="43" spans="1:9" x14ac:dyDescent="0.25">
      <c r="I43"/>
    </row>
  </sheetData>
  <pageMargins left="0.7" right="0.7" top="0.75" bottom="0.75" header="0.3" footer="0.3"/>
  <pageSetup paperSize="9" orientation="portrait"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3"/>
  <sheetViews>
    <sheetView zoomScaleNormal="100" workbookViewId="0">
      <selection activeCell="L4" sqref="L4"/>
    </sheetView>
  </sheetViews>
  <sheetFormatPr defaultRowHeight="15.75" x14ac:dyDescent="0.25"/>
  <cols>
    <col min="1" max="1" width="12.125" bestFit="1" customWidth="1"/>
    <col min="2" max="2" width="6" style="3" bestFit="1" customWidth="1"/>
    <col min="3" max="3" width="9.375" bestFit="1" customWidth="1"/>
    <col min="4" max="4" width="42.5" bestFit="1" customWidth="1"/>
    <col min="5" max="5" width="8.875" style="3" bestFit="1" customWidth="1"/>
    <col min="6" max="6" width="21.75" bestFit="1" customWidth="1"/>
    <col min="7" max="10" width="6" bestFit="1" customWidth="1"/>
    <col min="11" max="11" width="22.125" bestFit="1" customWidth="1"/>
    <col min="12" max="12" width="6" bestFit="1" customWidth="1"/>
    <col min="13" max="13" width="6.875" style="3" customWidth="1"/>
    <col min="14" max="14" width="6.875" style="3" bestFit="1" customWidth="1"/>
    <col min="15" max="15" width="7.25" style="3" bestFit="1" customWidth="1"/>
    <col min="16" max="16" width="6" style="3" bestFit="1" customWidth="1"/>
    <col min="17" max="17" width="6.875" style="3" bestFit="1" customWidth="1"/>
    <col min="18" max="18" width="7.25" style="3" bestFit="1" customWidth="1"/>
    <col min="19" max="19" width="6.875" bestFit="1" customWidth="1"/>
    <col min="20" max="20" width="8.5" bestFit="1" customWidth="1"/>
    <col min="21" max="21" width="7.875" bestFit="1" customWidth="1"/>
    <col min="22" max="23" width="7.375" bestFit="1" customWidth="1"/>
    <col min="24" max="25" width="6.875" bestFit="1" customWidth="1"/>
  </cols>
  <sheetData>
    <row r="1" spans="1:20" x14ac:dyDescent="0.25">
      <c r="A1" s="34">
        <f>COLUMN()</f>
        <v>1</v>
      </c>
      <c r="B1" s="34">
        <f>COLUMN()</f>
        <v>2</v>
      </c>
      <c r="C1" s="34">
        <f>COLUMN()</f>
        <v>3</v>
      </c>
      <c r="D1" s="34">
        <f>COLUMN()</f>
        <v>4</v>
      </c>
      <c r="E1" s="34">
        <f>COLUMN()</f>
        <v>5</v>
      </c>
      <c r="F1" s="34">
        <f>COLUMN()</f>
        <v>6</v>
      </c>
      <c r="G1" s="34">
        <f>COLUMN()</f>
        <v>7</v>
      </c>
      <c r="H1" s="34">
        <f>COLUMN()</f>
        <v>8</v>
      </c>
      <c r="I1" s="34">
        <f>COLUMN()</f>
        <v>9</v>
      </c>
      <c r="J1" s="34">
        <f>COLUMN()</f>
        <v>10</v>
      </c>
      <c r="K1" s="34">
        <f>COLUMN()</f>
        <v>11</v>
      </c>
      <c r="L1" s="34">
        <f>COLUMN()</f>
        <v>12</v>
      </c>
      <c r="M1" s="34">
        <f>COLUMN()</f>
        <v>13</v>
      </c>
      <c r="N1" s="34">
        <f>COLUMN()</f>
        <v>14</v>
      </c>
      <c r="O1" s="34">
        <f>COLUMN()</f>
        <v>15</v>
      </c>
      <c r="P1" s="34">
        <f>COLUMN()</f>
        <v>16</v>
      </c>
      <c r="Q1" s="34">
        <f>COLUMN()</f>
        <v>17</v>
      </c>
      <c r="R1" s="34">
        <f>COLUMN()</f>
        <v>18</v>
      </c>
      <c r="S1" s="34">
        <f>COLUMN()</f>
        <v>19</v>
      </c>
    </row>
    <row r="2" spans="1:20" ht="66" x14ac:dyDescent="0.25">
      <c r="A2" s="47" t="s">
        <v>0</v>
      </c>
      <c r="B2" s="47" t="s">
        <v>1</v>
      </c>
      <c r="C2" s="47" t="s">
        <v>2</v>
      </c>
      <c r="D2" s="47" t="s">
        <v>124</v>
      </c>
      <c r="E2" s="47" t="s">
        <v>6</v>
      </c>
      <c r="F2" s="47" t="s">
        <v>207</v>
      </c>
      <c r="G2" s="119" t="s">
        <v>125</v>
      </c>
      <c r="H2" s="119" t="s">
        <v>126</v>
      </c>
      <c r="I2" s="119" t="s">
        <v>127</v>
      </c>
      <c r="J2" s="119" t="s">
        <v>128</v>
      </c>
      <c r="K2" s="47" t="s">
        <v>129</v>
      </c>
      <c r="L2" s="119" t="s">
        <v>67</v>
      </c>
      <c r="M2" s="119" t="s">
        <v>73</v>
      </c>
      <c r="N2" s="119" t="s">
        <v>130</v>
      </c>
      <c r="O2" s="119" t="s">
        <v>113</v>
      </c>
      <c r="P2" s="119" t="s">
        <v>117</v>
      </c>
      <c r="Q2" s="119" t="s">
        <v>131</v>
      </c>
      <c r="R2" s="119" t="s">
        <v>120</v>
      </c>
      <c r="S2" s="119" t="s">
        <v>123</v>
      </c>
      <c r="T2" s="4"/>
    </row>
    <row r="3" spans="1:20" x14ac:dyDescent="0.25">
      <c r="A3" t="s">
        <v>101</v>
      </c>
      <c r="C3" s="3"/>
      <c r="D3" t="s">
        <v>132</v>
      </c>
      <c r="F3" s="120"/>
      <c r="G3" s="121" t="str">
        <f>IFERROR(IF(VLOOKUP(TableHandbook[[#This Row],[UDC]],TableAvailabilities[],2,FALSE)&gt;0,"Y",""),"")</f>
        <v/>
      </c>
      <c r="H3" s="121" t="str">
        <f>IFERROR(IF(VLOOKUP(TableHandbook[[#This Row],[UDC]],TableAvailabilities[],3,FALSE)&gt;0,"Y",""),"")</f>
        <v/>
      </c>
      <c r="I3" s="121" t="str">
        <f>IFERROR(IF(VLOOKUP(TableHandbook[[#This Row],[UDC]],TableAvailabilities[],4,FALSE)&gt;0,"Y",""),"")</f>
        <v/>
      </c>
      <c r="J3" s="121" t="str">
        <f>IFERROR(IF(VLOOKUP(TableHandbook[[#This Row],[UDC]],TableAvailabilities[],5,FALSE)&gt;0,"Y",""),"")</f>
        <v/>
      </c>
      <c r="L3" s="122" t="str">
        <f>IFERROR(VLOOKUP(TableHandbook[[#This Row],[UDC]],TableGCPROJM[],7,FALSE),"")</f>
        <v/>
      </c>
      <c r="M3" s="122" t="str">
        <f>IFERROR(VLOOKUP(TableHandbook[[#This Row],[UDC]],TableGDPROJM[],7,FALSE),"")</f>
        <v/>
      </c>
      <c r="N3" s="123" t="str">
        <f>IFERROR(VLOOKUP(TableHandbook[[#This Row],[UDC]],TableMCPROJM1.5[],7,FALSE),"")</f>
        <v/>
      </c>
      <c r="O3" s="124" t="str">
        <f>IFERROR(VLOOKUP(TableHandbook[[#This Row],[UDC]],TableSTRPPROFL1.5[],7,FALSE),"")</f>
        <v/>
      </c>
      <c r="P3" s="125" t="str">
        <f>IFERROR(VLOOKUP(TableHandbook[[#This Row],[UDC]],TableSTRPRESCH1.5[],7,FALSE),"")</f>
        <v/>
      </c>
      <c r="Q3" s="123" t="str">
        <f>IFERROR(VLOOKUP(TableHandbook[[#This Row],[UDC]],TableMCPROJM2[],7,FALSE),"")</f>
        <v/>
      </c>
      <c r="R3" s="124" t="str">
        <f>IFERROR(VLOOKUP(TableHandbook[[#This Row],[UDC]],TableSTRPPROF2[],7,FALSE),"")</f>
        <v/>
      </c>
      <c r="S3" s="125" t="str">
        <f>IFERROR(VLOOKUP(TableHandbook[[#This Row],[UDC]],TableSTRPRSCH2[],7,FALSE),"")</f>
        <v/>
      </c>
      <c r="T3" s="4"/>
    </row>
    <row r="4" spans="1:20" x14ac:dyDescent="0.25">
      <c r="A4" t="s">
        <v>115</v>
      </c>
      <c r="C4" s="3"/>
      <c r="D4" t="s">
        <v>133</v>
      </c>
      <c r="F4" s="120"/>
      <c r="G4" s="121" t="str">
        <f>IFERROR(IF(VLOOKUP(TableHandbook[[#This Row],[UDC]],TableAvailabilities[],2,FALSE)&gt;0,"Y",""),"")</f>
        <v/>
      </c>
      <c r="H4" s="121" t="str">
        <f>IFERROR(IF(VLOOKUP(TableHandbook[[#This Row],[UDC]],TableAvailabilities[],3,FALSE)&gt;0,"Y",""),"")</f>
        <v/>
      </c>
      <c r="I4" s="121" t="str">
        <f>IFERROR(IF(VLOOKUP(TableHandbook[[#This Row],[UDC]],TableAvailabilities[],4,FALSE)&gt;0,"Y",""),"")</f>
        <v/>
      </c>
      <c r="J4" s="121" t="str">
        <f>IFERROR(IF(VLOOKUP(TableHandbook[[#This Row],[UDC]],TableAvailabilities[],5,FALSE)&gt;0,"Y",""),"")</f>
        <v/>
      </c>
      <c r="L4" s="122" t="str">
        <f>IFERROR(VLOOKUP(TableHandbook[[#This Row],[UDC]],TableGCPROJM[],7,FALSE),"")</f>
        <v/>
      </c>
      <c r="M4" s="122" t="str">
        <f>IFERROR(VLOOKUP(TableHandbook[[#This Row],[UDC]],TableGDPROJM[],7,FALSE),"")</f>
        <v/>
      </c>
      <c r="N4" s="123" t="str">
        <f>IFERROR(VLOOKUP(TableHandbook[[#This Row],[UDC]],TableMCPROJM1.5[],7,FALSE),"")</f>
        <v/>
      </c>
      <c r="O4" s="124" t="str">
        <f>IFERROR(VLOOKUP(TableHandbook[[#This Row],[UDC]],TableSTRPPROFL1.5[],7,FALSE),"")</f>
        <v/>
      </c>
      <c r="P4" s="125" t="str">
        <f>IFERROR(VLOOKUP(TableHandbook[[#This Row],[UDC]],TableSTRPRESCH1.5[],7,FALSE),"")</f>
        <v/>
      </c>
      <c r="Q4" s="123" t="str">
        <f>IFERROR(VLOOKUP(TableHandbook[[#This Row],[UDC]],TableMCPROJM2[],7,FALSE),"")</f>
        <v/>
      </c>
      <c r="R4" s="124" t="str">
        <f>IFERROR(VLOOKUP(TableHandbook[[#This Row],[UDC]],TableSTRPPROF2[],7,FALSE),"")</f>
        <v/>
      </c>
      <c r="S4" s="125" t="str">
        <f>IFERROR(VLOOKUP(TableHandbook[[#This Row],[UDC]],TableSTRPRSCH2[],7,FALSE),"")</f>
        <v/>
      </c>
    </row>
    <row r="5" spans="1:20" x14ac:dyDescent="0.25">
      <c r="A5" t="s">
        <v>118</v>
      </c>
      <c r="B5" s="3">
        <v>1</v>
      </c>
      <c r="C5" s="3"/>
      <c r="D5" t="s">
        <v>134</v>
      </c>
      <c r="E5" s="3">
        <v>25</v>
      </c>
      <c r="F5" s="120" t="s">
        <v>135</v>
      </c>
      <c r="G5" s="121" t="str">
        <f>IFERROR(IF(VLOOKUP(TableHandbook[[#This Row],[UDC]],TableAvailabilities[],2,FALSE)&gt;0,"Y",""),"")</f>
        <v>Y</v>
      </c>
      <c r="H5" s="121" t="str">
        <f>IFERROR(IF(VLOOKUP(TableHandbook[[#This Row],[UDC]],TableAvailabilities[],3,FALSE)&gt;0,"Y",""),"")</f>
        <v/>
      </c>
      <c r="I5" s="121" t="str">
        <f>IFERROR(IF(VLOOKUP(TableHandbook[[#This Row],[UDC]],TableAvailabilities[],4,FALSE)&gt;0,"Y",""),"")</f>
        <v/>
      </c>
      <c r="J5" s="121" t="str">
        <f>IFERROR(IF(VLOOKUP(TableHandbook[[#This Row],[UDC]],TableAvailabilities[],5,FALSE)&gt;0,"Y",""),"")</f>
        <v/>
      </c>
      <c r="L5" s="122" t="str">
        <f>IFERROR(VLOOKUP(TableHandbook[[#This Row],[UDC]],TableGCPROJM[],7,FALSE),"")</f>
        <v/>
      </c>
      <c r="M5" s="122" t="str">
        <f>IFERROR(VLOOKUP(TableHandbook[[#This Row],[UDC]],TableGDPROJM[],7,FALSE),"")</f>
        <v/>
      </c>
      <c r="N5" s="123" t="str">
        <f>IFERROR(VLOOKUP(TableHandbook[[#This Row],[UDC]],TableMCPROJM1.5[],7,FALSE),"")</f>
        <v/>
      </c>
      <c r="O5" s="124" t="str">
        <f>IFERROR(VLOOKUP(TableHandbook[[#This Row],[UDC]],TableSTRPPROFL1.5[],7,FALSE),"")</f>
        <v/>
      </c>
      <c r="P5" s="125" t="str">
        <f>IFERROR(VLOOKUP(TableHandbook[[#This Row],[UDC]],TableSTRPRESCH1.5[],7,FALSE),"")</f>
        <v/>
      </c>
      <c r="Q5" s="123" t="str">
        <f>IFERROR(VLOOKUP(TableHandbook[[#This Row],[UDC]],TableMCPROJM2[],7,FALSE),"")</f>
        <v/>
      </c>
      <c r="R5" s="124" t="str">
        <f>IFERROR(VLOOKUP(TableHandbook[[#This Row],[UDC]],TableSTRPPROF2[],7,FALSE),"")</f>
        <v>AltCore</v>
      </c>
      <c r="S5" s="125" t="str">
        <f>IFERROR(VLOOKUP(TableHandbook[[#This Row],[UDC]],TableSTRPRSCH2[],7,FALSE),"")</f>
        <v>AltCore</v>
      </c>
    </row>
    <row r="6" spans="1:20" x14ac:dyDescent="0.25">
      <c r="A6" t="s">
        <v>184</v>
      </c>
      <c r="C6" s="3"/>
      <c r="D6" t="s">
        <v>136</v>
      </c>
      <c r="E6" s="3">
        <v>25</v>
      </c>
      <c r="F6" s="120" t="s">
        <v>137</v>
      </c>
      <c r="G6" s="121" t="str">
        <f>IFERROR(IF(VLOOKUP(TableHandbook[[#This Row],[UDC]],TableAvailabilities[],2,FALSE)&gt;0,"Y",""),"")</f>
        <v/>
      </c>
      <c r="H6" s="121" t="str">
        <f>IFERROR(IF(VLOOKUP(TableHandbook[[#This Row],[UDC]],TableAvailabilities[],3,FALSE)&gt;0,"Y",""),"")</f>
        <v/>
      </c>
      <c r="I6" s="121" t="str">
        <f>IFERROR(IF(VLOOKUP(TableHandbook[[#This Row],[UDC]],TableAvailabilities[],4,FALSE)&gt;0,"Y",""),"")</f>
        <v/>
      </c>
      <c r="J6" s="121" t="str">
        <f>IFERROR(IF(VLOOKUP(TableHandbook[[#This Row],[UDC]],TableAvailabilities[],5,FALSE)&gt;0,"Y",""),"")</f>
        <v/>
      </c>
      <c r="L6" s="122" t="str">
        <f>IFERROR(VLOOKUP(TableHandbook[[#This Row],[UDC]],TableGCPROJM[],7,FALSE),"")</f>
        <v/>
      </c>
      <c r="M6" s="122" t="str">
        <f>IFERROR(VLOOKUP(TableHandbook[[#This Row],[UDC]],TableGDPROJM[],7,FALSE),"")</f>
        <v>AltCore</v>
      </c>
      <c r="N6" s="123" t="str">
        <f>IFERROR(VLOOKUP(TableHandbook[[#This Row],[UDC]],TableMCPROJM1.5[],7,FALSE),"")</f>
        <v/>
      </c>
      <c r="O6" s="124" t="str">
        <f>IFERROR(VLOOKUP(TableHandbook[[#This Row],[UDC]],TableSTRPPROFL1.5[],7,FALSE),"")</f>
        <v/>
      </c>
      <c r="P6" s="125" t="str">
        <f>IFERROR(VLOOKUP(TableHandbook[[#This Row],[UDC]],TableSTRPRESCH1.5[],7,FALSE),"")</f>
        <v/>
      </c>
      <c r="Q6" s="123" t="str">
        <f>IFERROR(VLOOKUP(TableHandbook[[#This Row],[UDC]],TableMCPROJM2[],7,FALSE),"")</f>
        <v/>
      </c>
      <c r="R6" s="124" t="str">
        <f>IFERROR(VLOOKUP(TableHandbook[[#This Row],[UDC]],TableSTRPPROF2[],7,FALSE),"")</f>
        <v/>
      </c>
      <c r="S6" s="125" t="str">
        <f>IFERROR(VLOOKUP(TableHandbook[[#This Row],[UDC]],TableSTRPRSCH2[],7,FALSE),"")</f>
        <v/>
      </c>
    </row>
    <row r="7" spans="1:20" x14ac:dyDescent="0.25">
      <c r="A7" t="s">
        <v>190</v>
      </c>
      <c r="C7" s="3"/>
      <c r="D7" t="s">
        <v>138</v>
      </c>
      <c r="E7" s="3">
        <v>25</v>
      </c>
      <c r="F7" s="120" t="s">
        <v>137</v>
      </c>
      <c r="G7" s="121" t="str">
        <f>IFERROR(IF(VLOOKUP(TableHandbook[[#This Row],[UDC]],TableAvailabilities[],2,FALSE)&gt;0,"Y",""),"")</f>
        <v/>
      </c>
      <c r="H7" s="121" t="str">
        <f>IFERROR(IF(VLOOKUP(TableHandbook[[#This Row],[UDC]],TableAvailabilities[],3,FALSE)&gt;0,"Y",""),"")</f>
        <v/>
      </c>
      <c r="I7" s="121" t="str">
        <f>IFERROR(IF(VLOOKUP(TableHandbook[[#This Row],[UDC]],TableAvailabilities[],4,FALSE)&gt;0,"Y",""),"")</f>
        <v/>
      </c>
      <c r="J7" s="121" t="str">
        <f>IFERROR(IF(VLOOKUP(TableHandbook[[#This Row],[UDC]],TableAvailabilities[],5,FALSE)&gt;0,"Y",""),"")</f>
        <v/>
      </c>
      <c r="L7" s="122" t="str">
        <f>IFERROR(VLOOKUP(TableHandbook[[#This Row],[UDC]],TableGCPROJM[],7,FALSE),"")</f>
        <v/>
      </c>
      <c r="M7" s="122" t="str">
        <f>IFERROR(VLOOKUP(TableHandbook[[#This Row],[UDC]],TableGDPROJM[],7,FALSE),"")</f>
        <v/>
      </c>
      <c r="N7" s="123" t="str">
        <f>IFERROR(VLOOKUP(TableHandbook[[#This Row],[UDC]],TableMCPROJM1.5[],7,FALSE),"")</f>
        <v/>
      </c>
      <c r="O7" s="124" t="str">
        <f>IFERROR(VLOOKUP(TableHandbook[[#This Row],[UDC]],TableSTRPPROFL1.5[],7,FALSE),"")</f>
        <v/>
      </c>
      <c r="P7" s="125" t="str">
        <f>IFERROR(VLOOKUP(TableHandbook[[#This Row],[UDC]],TableSTRPRESCH1.5[],7,FALSE),"")</f>
        <v/>
      </c>
      <c r="Q7" s="123" t="str">
        <f>IFERROR(VLOOKUP(TableHandbook[[#This Row],[UDC]],TableMCPROJM2[],7,FALSE),"")</f>
        <v/>
      </c>
      <c r="R7" s="124" t="str">
        <f>IFERROR(VLOOKUP(TableHandbook[[#This Row],[UDC]],TableSTRPPROF2[],7,FALSE),"")</f>
        <v>AltCore</v>
      </c>
      <c r="S7" s="125" t="str">
        <f>IFERROR(VLOOKUP(TableHandbook[[#This Row],[UDC]],TableSTRPRSCH2[],7,FALSE),"")</f>
        <v>AltCore</v>
      </c>
    </row>
    <row r="8" spans="1:20" x14ac:dyDescent="0.25">
      <c r="A8" t="s">
        <v>71</v>
      </c>
      <c r="C8" s="3"/>
      <c r="D8" t="s">
        <v>139</v>
      </c>
      <c r="E8" s="3">
        <v>25</v>
      </c>
      <c r="F8" s="120" t="s">
        <v>140</v>
      </c>
      <c r="G8" s="121" t="str">
        <f>IFERROR(IF(VLOOKUP(TableHandbook[[#This Row],[UDC]],TableAvailabilities[],2,FALSE)&gt;0,"Y",""),"")</f>
        <v/>
      </c>
      <c r="H8" s="121" t="str">
        <f>IFERROR(IF(VLOOKUP(TableHandbook[[#This Row],[UDC]],TableAvailabilities[],3,FALSE)&gt;0,"Y",""),"")</f>
        <v/>
      </c>
      <c r="I8" s="121" t="str">
        <f>IFERROR(IF(VLOOKUP(TableHandbook[[#This Row],[UDC]],TableAvailabilities[],4,FALSE)&gt;0,"Y",""),"")</f>
        <v/>
      </c>
      <c r="J8" s="121" t="str">
        <f>IFERROR(IF(VLOOKUP(TableHandbook[[#This Row],[UDC]],TableAvailabilities[],5,FALSE)&gt;0,"Y",""),"")</f>
        <v/>
      </c>
      <c r="L8" s="122" t="str">
        <f>IFERROR(VLOOKUP(TableHandbook[[#This Row],[UDC]],TableGCPROJM[],7,FALSE),"")</f>
        <v/>
      </c>
      <c r="M8" s="122" t="str">
        <f>IFERROR(VLOOKUP(TableHandbook[[#This Row],[UDC]],TableGDPROJM[],7,FALSE),"")</f>
        <v/>
      </c>
      <c r="N8" s="123" t="str">
        <f>IFERROR(VLOOKUP(TableHandbook[[#This Row],[UDC]],TableMCPROJM1.5[],7,FALSE),"")</f>
        <v/>
      </c>
      <c r="O8" s="124" t="str">
        <f>IFERROR(VLOOKUP(TableHandbook[[#This Row],[UDC]],TableSTRPPROFL1.5[],7,FALSE),"")</f>
        <v>Elective</v>
      </c>
      <c r="P8" s="125" t="str">
        <f>IFERROR(VLOOKUP(TableHandbook[[#This Row],[UDC]],TableSTRPRESCH1.5[],7,FALSE),"")</f>
        <v/>
      </c>
      <c r="Q8" s="123" t="str">
        <f>IFERROR(VLOOKUP(TableHandbook[[#This Row],[UDC]],TableMCPROJM2[],7,FALSE),"")</f>
        <v/>
      </c>
      <c r="R8" s="124" t="str">
        <f>IFERROR(VLOOKUP(TableHandbook[[#This Row],[UDC]],TableSTRPPROF2[],7,FALSE),"")</f>
        <v>Elective</v>
      </c>
      <c r="S8" s="125" t="str">
        <f>IFERROR(VLOOKUP(TableHandbook[[#This Row],[UDC]],TableSTRPRSCH2[],7,FALSE),"")</f>
        <v>Elective</v>
      </c>
    </row>
    <row r="9" spans="1:20" x14ac:dyDescent="0.25">
      <c r="A9" t="s">
        <v>121</v>
      </c>
      <c r="B9" s="3">
        <v>1</v>
      </c>
      <c r="C9" s="3"/>
      <c r="D9" t="s">
        <v>141</v>
      </c>
      <c r="E9" s="3">
        <v>25</v>
      </c>
      <c r="F9" s="120" t="s">
        <v>135</v>
      </c>
      <c r="G9" s="121" t="str">
        <f>IFERROR(IF(VLOOKUP(TableHandbook[[#This Row],[UDC]],TableAvailabilities[],2,FALSE)&gt;0,"Y",""),"")</f>
        <v>Y</v>
      </c>
      <c r="H9" s="121" t="str">
        <f>IFERROR(IF(VLOOKUP(TableHandbook[[#This Row],[UDC]],TableAvailabilities[],3,FALSE)&gt;0,"Y",""),"")</f>
        <v>Y</v>
      </c>
      <c r="I9" s="121" t="str">
        <f>IFERROR(IF(VLOOKUP(TableHandbook[[#This Row],[UDC]],TableAvailabilities[],4,FALSE)&gt;0,"Y",""),"")</f>
        <v>Y</v>
      </c>
      <c r="J9" s="121" t="str">
        <f>IFERROR(IF(VLOOKUP(TableHandbook[[#This Row],[UDC]],TableAvailabilities[],5,FALSE)&gt;0,"Y",""),"")</f>
        <v>Y</v>
      </c>
      <c r="L9" s="122" t="str">
        <f>IFERROR(VLOOKUP(TableHandbook[[#This Row],[UDC]],TableGCPROJM[],7,FALSE),"")</f>
        <v/>
      </c>
      <c r="M9" s="122" t="str">
        <f>IFERROR(VLOOKUP(TableHandbook[[#This Row],[UDC]],TableGDPROJM[],7,FALSE),"")</f>
        <v/>
      </c>
      <c r="N9" s="123" t="str">
        <f>IFERROR(VLOOKUP(TableHandbook[[#This Row],[UDC]],TableMCPROJM1.5[],7,FALSE),"")</f>
        <v/>
      </c>
      <c r="O9" s="124" t="str">
        <f>IFERROR(VLOOKUP(TableHandbook[[#This Row],[UDC]],TableSTRPPROFL1.5[],7,FALSE),"")</f>
        <v/>
      </c>
      <c r="P9" s="125" t="str">
        <f>IFERROR(VLOOKUP(TableHandbook[[#This Row],[UDC]],TableSTRPRESCH1.5[],7,FALSE),"")</f>
        <v/>
      </c>
      <c r="Q9" s="123" t="str">
        <f>IFERROR(VLOOKUP(TableHandbook[[#This Row],[UDC]],TableMCPROJM2[],7,FALSE),"")</f>
        <v/>
      </c>
      <c r="R9" s="124" t="str">
        <f>IFERROR(VLOOKUP(TableHandbook[[#This Row],[UDC]],TableSTRPPROF2[],7,FALSE),"")</f>
        <v>AltCore</v>
      </c>
      <c r="S9" s="125" t="str">
        <f>IFERROR(VLOOKUP(TableHandbook[[#This Row],[UDC]],TableSTRPRSCH2[],7,FALSE),"")</f>
        <v>AltCore</v>
      </c>
    </row>
    <row r="10" spans="1:20" x14ac:dyDescent="0.25">
      <c r="A10" t="s">
        <v>53</v>
      </c>
      <c r="B10" s="3">
        <v>1</v>
      </c>
      <c r="C10" s="3"/>
      <c r="D10" t="s">
        <v>142</v>
      </c>
      <c r="E10" s="3">
        <v>25</v>
      </c>
      <c r="F10" s="120" t="s">
        <v>135</v>
      </c>
      <c r="G10" s="121" t="str">
        <f>IFERROR(IF(VLOOKUP(TableHandbook[[#This Row],[UDC]],TableAvailabilities[],2,FALSE)&gt;0,"Y",""),"")</f>
        <v>Y</v>
      </c>
      <c r="H10" s="121" t="str">
        <f>IFERROR(IF(VLOOKUP(TableHandbook[[#This Row],[UDC]],TableAvailabilities[],3,FALSE)&gt;0,"Y",""),"")</f>
        <v>Y</v>
      </c>
      <c r="I10" s="121" t="str">
        <f>IFERROR(IF(VLOOKUP(TableHandbook[[#This Row],[UDC]],TableAvailabilities[],4,FALSE)&gt;0,"Y",""),"")</f>
        <v>Y</v>
      </c>
      <c r="J10" s="121" t="str">
        <f>IFERROR(IF(VLOOKUP(TableHandbook[[#This Row],[UDC]],TableAvailabilities[],5,FALSE)&gt;0,"Y",""),"")</f>
        <v>Y</v>
      </c>
      <c r="L10" s="122" t="str">
        <f>IFERROR(VLOOKUP(TableHandbook[[#This Row],[UDC]],TableGCPROJM[],7,FALSE),"")</f>
        <v>Core</v>
      </c>
      <c r="M10" s="122" t="str">
        <f>IFERROR(VLOOKUP(TableHandbook[[#This Row],[UDC]],TableGDPROJM[],7,FALSE),"")</f>
        <v>Core</v>
      </c>
      <c r="N10" s="123" t="str">
        <f>IFERROR(VLOOKUP(TableHandbook[[#This Row],[UDC]],TableMCPROJM1.5[],7,FALSE),"")</f>
        <v/>
      </c>
      <c r="O10" s="124" t="str">
        <f>IFERROR(VLOOKUP(TableHandbook[[#This Row],[UDC]],TableSTRPPROFL1.5[],7,FALSE),"")</f>
        <v>Core</v>
      </c>
      <c r="P10" s="125" t="str">
        <f>IFERROR(VLOOKUP(TableHandbook[[#This Row],[UDC]],TableSTRPRESCH1.5[],7,FALSE),"")</f>
        <v>Core</v>
      </c>
      <c r="Q10" s="123" t="str">
        <f>IFERROR(VLOOKUP(TableHandbook[[#This Row],[UDC]],TableMCPROJM2[],7,FALSE),"")</f>
        <v/>
      </c>
      <c r="R10" s="124" t="str">
        <f>IFERROR(VLOOKUP(TableHandbook[[#This Row],[UDC]],TableSTRPPROF2[],7,FALSE),"")</f>
        <v>Core</v>
      </c>
      <c r="S10" s="125" t="str">
        <f>IFERROR(VLOOKUP(TableHandbook[[#This Row],[UDC]],TableSTRPRSCH2[],7,FALSE),"")</f>
        <v>Core</v>
      </c>
    </row>
    <row r="11" spans="1:20" x14ac:dyDescent="0.25">
      <c r="A11" t="s">
        <v>56</v>
      </c>
      <c r="B11" s="3">
        <v>1</v>
      </c>
      <c r="C11" s="3"/>
      <c r="D11" t="s">
        <v>143</v>
      </c>
      <c r="E11" s="3">
        <v>25</v>
      </c>
      <c r="F11" s="120" t="s">
        <v>135</v>
      </c>
      <c r="G11" s="121" t="str">
        <f>IFERROR(IF(VLOOKUP(TableHandbook[[#This Row],[UDC]],TableAvailabilities[],2,FALSE)&gt;0,"Y",""),"")</f>
        <v>Y</v>
      </c>
      <c r="H11" s="121" t="str">
        <f>IFERROR(IF(VLOOKUP(TableHandbook[[#This Row],[UDC]],TableAvailabilities[],3,FALSE)&gt;0,"Y",""),"")</f>
        <v>Y</v>
      </c>
      <c r="I11" s="121" t="str">
        <f>IFERROR(IF(VLOOKUP(TableHandbook[[#This Row],[UDC]],TableAvailabilities[],4,FALSE)&gt;0,"Y",""),"")</f>
        <v>Y</v>
      </c>
      <c r="J11" s="121" t="str">
        <f>IFERROR(IF(VLOOKUP(TableHandbook[[#This Row],[UDC]],TableAvailabilities[],5,FALSE)&gt;0,"Y",""),"")</f>
        <v>Y</v>
      </c>
      <c r="L11" s="122" t="str">
        <f>IFERROR(VLOOKUP(TableHandbook[[#This Row],[UDC]],TableGCPROJM[],7,FALSE),"")</f>
        <v>Core</v>
      </c>
      <c r="M11" s="122" t="str">
        <f>IFERROR(VLOOKUP(TableHandbook[[#This Row],[UDC]],TableGDPROJM[],7,FALSE),"")</f>
        <v>Core</v>
      </c>
      <c r="N11" s="123" t="str">
        <f>IFERROR(VLOOKUP(TableHandbook[[#This Row],[UDC]],TableMCPROJM1.5[],7,FALSE),"")</f>
        <v/>
      </c>
      <c r="O11" s="124" t="str">
        <f>IFERROR(VLOOKUP(TableHandbook[[#This Row],[UDC]],TableSTRPPROFL1.5[],7,FALSE),"")</f>
        <v>Core</v>
      </c>
      <c r="P11" s="125" t="str">
        <f>IFERROR(VLOOKUP(TableHandbook[[#This Row],[UDC]],TableSTRPRESCH1.5[],7,FALSE),"")</f>
        <v>Core</v>
      </c>
      <c r="Q11" s="123" t="str">
        <f>IFERROR(VLOOKUP(TableHandbook[[#This Row],[UDC]],TableMCPROJM2[],7,FALSE),"")</f>
        <v/>
      </c>
      <c r="R11" s="124" t="str">
        <f>IFERROR(VLOOKUP(TableHandbook[[#This Row],[UDC]],TableSTRPPROF2[],7,FALSE),"")</f>
        <v>Core</v>
      </c>
      <c r="S11" s="125" t="str">
        <f>IFERROR(VLOOKUP(TableHandbook[[#This Row],[UDC]],TableSTRPRSCH2[],7,FALSE),"")</f>
        <v>Core</v>
      </c>
    </row>
    <row r="12" spans="1:20" x14ac:dyDescent="0.25">
      <c r="A12" t="s">
        <v>64</v>
      </c>
      <c r="B12" s="3">
        <v>2</v>
      </c>
      <c r="C12" s="3"/>
      <c r="D12" t="s">
        <v>144</v>
      </c>
      <c r="E12" s="3">
        <v>25</v>
      </c>
      <c r="F12" s="120" t="s">
        <v>135</v>
      </c>
      <c r="G12" s="121" t="str">
        <f>IFERROR(IF(VLOOKUP(TableHandbook[[#This Row],[UDC]],TableAvailabilities[],2,FALSE)&gt;0,"Y",""),"")</f>
        <v>Y</v>
      </c>
      <c r="H12" s="121" t="str">
        <f>IFERROR(IF(VLOOKUP(TableHandbook[[#This Row],[UDC]],TableAvailabilities[],3,FALSE)&gt;0,"Y",""),"")</f>
        <v>Y</v>
      </c>
      <c r="I12" s="121" t="str">
        <f>IFERROR(IF(VLOOKUP(TableHandbook[[#This Row],[UDC]],TableAvailabilities[],4,FALSE)&gt;0,"Y",""),"")</f>
        <v>Y</v>
      </c>
      <c r="J12" s="121" t="str">
        <f>IFERROR(IF(VLOOKUP(TableHandbook[[#This Row],[UDC]],TableAvailabilities[],5,FALSE)&gt;0,"Y",""),"")</f>
        <v>Y</v>
      </c>
      <c r="L12" s="122" t="str">
        <f>IFERROR(VLOOKUP(TableHandbook[[#This Row],[UDC]],TableGCPROJM[],7,FALSE),"")</f>
        <v>Core</v>
      </c>
      <c r="M12" s="122" t="str">
        <f>IFERROR(VLOOKUP(TableHandbook[[#This Row],[UDC]],TableGDPROJM[],7,FALSE),"")</f>
        <v>Core</v>
      </c>
      <c r="N12" s="123" t="str">
        <f>IFERROR(VLOOKUP(TableHandbook[[#This Row],[UDC]],TableMCPROJM1.5[],7,FALSE),"")</f>
        <v/>
      </c>
      <c r="O12" s="124" t="str">
        <f>IFERROR(VLOOKUP(TableHandbook[[#This Row],[UDC]],TableSTRPPROFL1.5[],7,FALSE),"")</f>
        <v>Core</v>
      </c>
      <c r="P12" s="125" t="str">
        <f>IFERROR(VLOOKUP(TableHandbook[[#This Row],[UDC]],TableSTRPRESCH1.5[],7,FALSE),"")</f>
        <v>Core</v>
      </c>
      <c r="Q12" s="123" t="str">
        <f>IFERROR(VLOOKUP(TableHandbook[[#This Row],[UDC]],TableMCPROJM2[],7,FALSE),"")</f>
        <v/>
      </c>
      <c r="R12" s="124" t="str">
        <f>IFERROR(VLOOKUP(TableHandbook[[#This Row],[UDC]],TableSTRPPROF2[],7,FALSE),"")</f>
        <v>Core</v>
      </c>
      <c r="S12" s="125" t="str">
        <f>IFERROR(VLOOKUP(TableHandbook[[#This Row],[UDC]],TableSTRPRSCH2[],7,FALSE),"")</f>
        <v>Core</v>
      </c>
    </row>
    <row r="13" spans="1:20" x14ac:dyDescent="0.25">
      <c r="A13" t="s">
        <v>76</v>
      </c>
      <c r="B13" s="3">
        <v>1</v>
      </c>
      <c r="C13" s="3"/>
      <c r="D13" t="s">
        <v>145</v>
      </c>
      <c r="E13" s="3">
        <v>25</v>
      </c>
      <c r="F13" s="190" t="s">
        <v>204</v>
      </c>
      <c r="G13" s="121" t="str">
        <f>IFERROR(IF(VLOOKUP(TableHandbook[[#This Row],[UDC]],TableAvailabilities[],2,FALSE)&gt;0,"Y",""),"")</f>
        <v>Y</v>
      </c>
      <c r="H13" s="121" t="str">
        <f>IFERROR(IF(VLOOKUP(TableHandbook[[#This Row],[UDC]],TableAvailabilities[],3,FALSE)&gt;0,"Y",""),"")</f>
        <v>Y</v>
      </c>
      <c r="I13" s="121" t="str">
        <f>IFERROR(IF(VLOOKUP(TableHandbook[[#This Row],[UDC]],TableAvailabilities[],4,FALSE)&gt;0,"Y",""),"")</f>
        <v>Y</v>
      </c>
      <c r="J13" s="121" t="str">
        <f>IFERROR(IF(VLOOKUP(TableHandbook[[#This Row],[UDC]],TableAvailabilities[],5,FALSE)&gt;0,"Y",""),"")</f>
        <v>Y</v>
      </c>
      <c r="K13" t="s">
        <v>205</v>
      </c>
      <c r="L13" s="122" t="str">
        <f>IFERROR(VLOOKUP(TableHandbook[[#This Row],[UDC]],TableGCPROJM[],7,FALSE),"")</f>
        <v/>
      </c>
      <c r="M13" s="122" t="str">
        <f>IFERROR(VLOOKUP(TableHandbook[[#This Row],[UDC]],TableGDPROJM[],7,FALSE),"")</f>
        <v>Core</v>
      </c>
      <c r="N13" s="123" t="str">
        <f>IFERROR(VLOOKUP(TableHandbook[[#This Row],[UDC]],TableMCPROJM1.5[],7,FALSE),"")</f>
        <v/>
      </c>
      <c r="O13" s="124" t="str">
        <f>IFERROR(VLOOKUP(TableHandbook[[#This Row],[UDC]],TableSTRPPROFL1.5[],7,FALSE),"")</f>
        <v>Core</v>
      </c>
      <c r="P13" s="125" t="str">
        <f>IFERROR(VLOOKUP(TableHandbook[[#This Row],[UDC]],TableSTRPRESCH1.5[],7,FALSE),"")</f>
        <v>Core</v>
      </c>
      <c r="Q13" s="123" t="str">
        <f>IFERROR(VLOOKUP(TableHandbook[[#This Row],[UDC]],TableMCPROJM2[],7,FALSE),"")</f>
        <v/>
      </c>
      <c r="R13" s="124" t="str">
        <f>IFERROR(VLOOKUP(TableHandbook[[#This Row],[UDC]],TableSTRPPROF2[],7,FALSE),"")</f>
        <v>Core</v>
      </c>
      <c r="S13" s="125" t="str">
        <f>IFERROR(VLOOKUP(TableHandbook[[#This Row],[UDC]],TableSTRPRSCH2[],7,FALSE),"")</f>
        <v>Core</v>
      </c>
    </row>
    <row r="14" spans="1:20" x14ac:dyDescent="0.25">
      <c r="A14" t="s">
        <v>82</v>
      </c>
      <c r="B14" s="3">
        <v>1</v>
      </c>
      <c r="C14" s="3"/>
      <c r="D14" t="s">
        <v>146</v>
      </c>
      <c r="E14" s="3">
        <v>25</v>
      </c>
      <c r="F14" s="120" t="s">
        <v>135</v>
      </c>
      <c r="G14" s="121" t="str">
        <f>IFERROR(IF(VLOOKUP(TableHandbook[[#This Row],[UDC]],TableAvailabilities[],2,FALSE)&gt;0,"Y",""),"")</f>
        <v>Y</v>
      </c>
      <c r="H14" s="121" t="str">
        <f>IFERROR(IF(VLOOKUP(TableHandbook[[#This Row],[UDC]],TableAvailabilities[],3,FALSE)&gt;0,"Y",""),"")</f>
        <v>Y</v>
      </c>
      <c r="I14" s="121" t="str">
        <f>IFERROR(IF(VLOOKUP(TableHandbook[[#This Row],[UDC]],TableAvailabilities[],4,FALSE)&gt;0,"Y",""),"")</f>
        <v>Y</v>
      </c>
      <c r="J14" s="121" t="str">
        <f>IFERROR(IF(VLOOKUP(TableHandbook[[#This Row],[UDC]],TableAvailabilities[],5,FALSE)&gt;0,"Y",""),"")</f>
        <v>Y</v>
      </c>
      <c r="L14" s="122" t="str">
        <f>IFERROR(VLOOKUP(TableHandbook[[#This Row],[UDC]],TableGCPROJM[],7,FALSE),"")</f>
        <v/>
      </c>
      <c r="M14" s="122" t="str">
        <f>IFERROR(VLOOKUP(TableHandbook[[#This Row],[UDC]],TableGDPROJM[],7,FALSE),"")</f>
        <v>Core</v>
      </c>
      <c r="N14" s="123" t="str">
        <f>IFERROR(VLOOKUP(TableHandbook[[#This Row],[UDC]],TableMCPROJM1.5[],7,FALSE),"")</f>
        <v/>
      </c>
      <c r="O14" s="124" t="str">
        <f>IFERROR(VLOOKUP(TableHandbook[[#This Row],[UDC]],TableSTRPPROFL1.5[],7,FALSE),"")</f>
        <v>Core</v>
      </c>
      <c r="P14" s="125" t="str">
        <f>IFERROR(VLOOKUP(TableHandbook[[#This Row],[UDC]],TableSTRPRESCH1.5[],7,FALSE),"")</f>
        <v>Core</v>
      </c>
      <c r="Q14" s="123" t="str">
        <f>IFERROR(VLOOKUP(TableHandbook[[#This Row],[UDC]],TableMCPROJM2[],7,FALSE),"")</f>
        <v/>
      </c>
      <c r="R14" s="124" t="str">
        <f>IFERROR(VLOOKUP(TableHandbook[[#This Row],[UDC]],TableSTRPPROF2[],7,FALSE),"")</f>
        <v>Core</v>
      </c>
      <c r="S14" s="125" t="str">
        <f>IFERROR(VLOOKUP(TableHandbook[[#This Row],[UDC]],TableSTRPRSCH2[],7,FALSE),"")</f>
        <v>Core</v>
      </c>
    </row>
    <row r="15" spans="1:20" x14ac:dyDescent="0.25">
      <c r="A15" t="s">
        <v>77</v>
      </c>
      <c r="B15" s="3">
        <v>1</v>
      </c>
      <c r="C15" s="3"/>
      <c r="D15" t="s">
        <v>147</v>
      </c>
      <c r="E15" s="3">
        <v>25</v>
      </c>
      <c r="F15" s="190" t="s">
        <v>204</v>
      </c>
      <c r="G15" s="121" t="str">
        <f>IFERROR(IF(VLOOKUP(TableHandbook[[#This Row],[UDC]],TableAvailabilities[],2,FALSE)&gt;0,"Y",""),"")</f>
        <v>Y</v>
      </c>
      <c r="H15" s="121" t="str">
        <f>IFERROR(IF(VLOOKUP(TableHandbook[[#This Row],[UDC]],TableAvailabilities[],3,FALSE)&gt;0,"Y",""),"")</f>
        <v>Y</v>
      </c>
      <c r="I15" s="121" t="str">
        <f>IFERROR(IF(VLOOKUP(TableHandbook[[#This Row],[UDC]],TableAvailabilities[],4,FALSE)&gt;0,"Y",""),"")</f>
        <v>Y</v>
      </c>
      <c r="J15" s="121" t="str">
        <f>IFERROR(IF(VLOOKUP(TableHandbook[[#This Row],[UDC]],TableAvailabilities[],5,FALSE)&gt;0,"Y",""),"")</f>
        <v>Y</v>
      </c>
      <c r="K15" t="s">
        <v>205</v>
      </c>
      <c r="L15" s="122" t="str">
        <f>IFERROR(VLOOKUP(TableHandbook[[#This Row],[UDC]],TableGCPROJM[],7,FALSE),"")</f>
        <v/>
      </c>
      <c r="M15" s="122" t="str">
        <f>IFERROR(VLOOKUP(TableHandbook[[#This Row],[UDC]],TableGDPROJM[],7,FALSE),"")</f>
        <v>Core</v>
      </c>
      <c r="N15" s="123" t="str">
        <f>IFERROR(VLOOKUP(TableHandbook[[#This Row],[UDC]],TableMCPROJM1.5[],7,FALSE),"")</f>
        <v/>
      </c>
      <c r="O15" s="124" t="str">
        <f>IFERROR(VLOOKUP(TableHandbook[[#This Row],[UDC]],TableSTRPPROFL1.5[],7,FALSE),"")</f>
        <v>Core</v>
      </c>
      <c r="P15" s="125" t="str">
        <f>IFERROR(VLOOKUP(TableHandbook[[#This Row],[UDC]],TableSTRPRESCH1.5[],7,FALSE),"")</f>
        <v>Core</v>
      </c>
      <c r="Q15" s="123" t="str">
        <f>IFERROR(VLOOKUP(TableHandbook[[#This Row],[UDC]],TableMCPROJM2[],7,FALSE),"")</f>
        <v/>
      </c>
      <c r="R15" s="124" t="str">
        <f>IFERROR(VLOOKUP(TableHandbook[[#This Row],[UDC]],TableSTRPPROF2[],7,FALSE),"")</f>
        <v>Core</v>
      </c>
      <c r="S15" s="125" t="str">
        <f>IFERROR(VLOOKUP(TableHandbook[[#This Row],[UDC]],TableSTRPRSCH2[],7,FALSE),"")</f>
        <v>Core</v>
      </c>
    </row>
    <row r="16" spans="1:20" x14ac:dyDescent="0.25">
      <c r="A16" t="s">
        <v>97</v>
      </c>
      <c r="B16" s="3">
        <v>2</v>
      </c>
      <c r="C16" s="3"/>
      <c r="D16" t="s">
        <v>148</v>
      </c>
      <c r="E16" s="3">
        <v>50</v>
      </c>
      <c r="F16" s="190" t="s">
        <v>206</v>
      </c>
      <c r="G16" s="121" t="str">
        <f>IFERROR(IF(VLOOKUP(TableHandbook[[#This Row],[UDC]],TableAvailabilities[],2,FALSE)&gt;0,"Y",""),"")</f>
        <v>Y</v>
      </c>
      <c r="H16" s="121" t="str">
        <f>IFERROR(IF(VLOOKUP(TableHandbook[[#This Row],[UDC]],TableAvailabilities[],3,FALSE)&gt;0,"Y",""),"")</f>
        <v>Y</v>
      </c>
      <c r="I16" s="121" t="str">
        <f>IFERROR(IF(VLOOKUP(TableHandbook[[#This Row],[UDC]],TableAvailabilities[],4,FALSE)&gt;0,"Y",""),"")</f>
        <v>Y</v>
      </c>
      <c r="J16" s="121" t="str">
        <f>IFERROR(IF(VLOOKUP(TableHandbook[[#This Row],[UDC]],TableAvailabilities[],5,FALSE)&gt;0,"Y",""),"")</f>
        <v>Y</v>
      </c>
      <c r="K16" t="s">
        <v>205</v>
      </c>
      <c r="L16" s="122" t="str">
        <f>IFERROR(VLOOKUP(TableHandbook[[#This Row],[UDC]],TableGCPROJM[],7,FALSE),"")</f>
        <v/>
      </c>
      <c r="M16" s="122" t="str">
        <f>IFERROR(VLOOKUP(TableHandbook[[#This Row],[UDC]],TableGDPROJM[],7,FALSE),"")</f>
        <v/>
      </c>
      <c r="N16" s="123" t="str">
        <f>IFERROR(VLOOKUP(TableHandbook[[#This Row],[UDC]],TableMCPROJM1.5[],7,FALSE),"")</f>
        <v/>
      </c>
      <c r="O16" s="124" t="str">
        <f>IFERROR(VLOOKUP(TableHandbook[[#This Row],[UDC]],TableSTRPPROFL1.5[],7,FALSE),"")</f>
        <v>Core</v>
      </c>
      <c r="P16" s="125" t="str">
        <f>IFERROR(VLOOKUP(TableHandbook[[#This Row],[UDC]],TableSTRPRESCH1.5[],7,FALSE),"")</f>
        <v>Core</v>
      </c>
      <c r="Q16" s="123" t="str">
        <f>IFERROR(VLOOKUP(TableHandbook[[#This Row],[UDC]],TableMCPROJM2[],7,FALSE),"")</f>
        <v/>
      </c>
      <c r="R16" s="124" t="str">
        <f>IFERROR(VLOOKUP(TableHandbook[[#This Row],[UDC]],TableSTRPPROF2[],7,FALSE),"")</f>
        <v>Core</v>
      </c>
      <c r="S16" s="125" t="str">
        <f>IFERROR(VLOOKUP(TableHandbook[[#This Row],[UDC]],TableSTRPRSCH2[],7,FALSE),"")</f>
        <v>Core</v>
      </c>
    </row>
    <row r="17" spans="1:19" x14ac:dyDescent="0.25">
      <c r="A17" t="s">
        <v>65</v>
      </c>
      <c r="B17" s="3">
        <v>1</v>
      </c>
      <c r="C17" s="3"/>
      <c r="D17" t="s">
        <v>149</v>
      </c>
      <c r="E17" s="3">
        <v>25</v>
      </c>
      <c r="F17" s="120" t="s">
        <v>135</v>
      </c>
      <c r="G17" s="121" t="str">
        <f>IFERROR(IF(VLOOKUP(TableHandbook[[#This Row],[UDC]],TableAvailabilities[],2,FALSE)&gt;0,"Y",""),"")</f>
        <v>Y</v>
      </c>
      <c r="H17" s="121" t="str">
        <f>IFERROR(IF(VLOOKUP(TableHandbook[[#This Row],[UDC]],TableAvailabilities[],3,FALSE)&gt;0,"Y",""),"")</f>
        <v>Y</v>
      </c>
      <c r="I17" s="121" t="str">
        <f>IFERROR(IF(VLOOKUP(TableHandbook[[#This Row],[UDC]],TableAvailabilities[],4,FALSE)&gt;0,"Y",""),"")</f>
        <v>Y</v>
      </c>
      <c r="J17" s="121" t="str">
        <f>IFERROR(IF(VLOOKUP(TableHandbook[[#This Row],[UDC]],TableAvailabilities[],5,FALSE)&gt;0,"Y",""),"")</f>
        <v>Y</v>
      </c>
      <c r="L17" s="122" t="str">
        <f>IFERROR(VLOOKUP(TableHandbook[[#This Row],[UDC]],TableGCPROJM[],7,FALSE),"")</f>
        <v>Core</v>
      </c>
      <c r="M17" s="122" t="str">
        <f>IFERROR(VLOOKUP(TableHandbook[[#This Row],[UDC]],TableGDPROJM[],7,FALSE),"")</f>
        <v>Core</v>
      </c>
      <c r="N17" s="123" t="str">
        <f>IFERROR(VLOOKUP(TableHandbook[[#This Row],[UDC]],TableMCPROJM1.5[],7,FALSE),"")</f>
        <v/>
      </c>
      <c r="O17" s="124" t="str">
        <f>IFERROR(VLOOKUP(TableHandbook[[#This Row],[UDC]],TableSTRPPROFL1.5[],7,FALSE),"")</f>
        <v>Core</v>
      </c>
      <c r="P17" s="125" t="str">
        <f>IFERROR(VLOOKUP(TableHandbook[[#This Row],[UDC]],TableSTRPRESCH1.5[],7,FALSE),"")</f>
        <v>Core</v>
      </c>
      <c r="Q17" s="123" t="str">
        <f>IFERROR(VLOOKUP(TableHandbook[[#This Row],[UDC]],TableMCPROJM2[],7,FALSE),"")</f>
        <v/>
      </c>
      <c r="R17" s="124" t="str">
        <f>IFERROR(VLOOKUP(TableHandbook[[#This Row],[UDC]],TableSTRPPROF2[],7,FALSE),"")</f>
        <v>Core</v>
      </c>
      <c r="S17" s="125" t="str">
        <f>IFERROR(VLOOKUP(TableHandbook[[#This Row],[UDC]],TableSTRPRSCH2[],7,FALSE),"")</f>
        <v>Core</v>
      </c>
    </row>
    <row r="18" spans="1:19" x14ac:dyDescent="0.25">
      <c r="A18" t="s">
        <v>92</v>
      </c>
      <c r="B18" s="3">
        <v>2</v>
      </c>
      <c r="C18" s="3"/>
      <c r="D18" t="s">
        <v>150</v>
      </c>
      <c r="E18" s="3">
        <v>25</v>
      </c>
      <c r="F18" s="190" t="s">
        <v>151</v>
      </c>
      <c r="G18" s="121" t="str">
        <f>IFERROR(IF(VLOOKUP(TableHandbook[[#This Row],[UDC]],TableAvailabilities[],2,FALSE)&gt;0,"Y",""),"")</f>
        <v>Y</v>
      </c>
      <c r="H18" s="121" t="str">
        <f>IFERROR(IF(VLOOKUP(TableHandbook[[#This Row],[UDC]],TableAvailabilities[],3,FALSE)&gt;0,"Y",""),"")</f>
        <v>Y</v>
      </c>
      <c r="I18" s="121" t="str">
        <f>IFERROR(IF(VLOOKUP(TableHandbook[[#This Row],[UDC]],TableAvailabilities[],4,FALSE)&gt;0,"Y",""),"")</f>
        <v>Y</v>
      </c>
      <c r="J18" s="121" t="str">
        <f>IFERROR(IF(VLOOKUP(TableHandbook[[#This Row],[UDC]],TableAvailabilities[],5,FALSE)&gt;0,"Y",""),"")</f>
        <v>Y</v>
      </c>
      <c r="L18" s="122" t="str">
        <f>IFERROR(VLOOKUP(TableHandbook[[#This Row],[UDC]],TableGCPROJM[],7,FALSE),"")</f>
        <v/>
      </c>
      <c r="M18" s="122" t="str">
        <f>IFERROR(VLOOKUP(TableHandbook[[#This Row],[UDC]],TableGDPROJM[],7,FALSE),"")</f>
        <v/>
      </c>
      <c r="N18" s="123" t="str">
        <f>IFERROR(VLOOKUP(TableHandbook[[#This Row],[UDC]],TableMCPROJM1.5[],7,FALSE),"")</f>
        <v/>
      </c>
      <c r="O18" s="124" t="str">
        <f>IFERROR(VLOOKUP(TableHandbook[[#This Row],[UDC]],TableSTRPPROFL1.5[],7,FALSE),"")</f>
        <v/>
      </c>
      <c r="P18" s="125" t="str">
        <f>IFERROR(VLOOKUP(TableHandbook[[#This Row],[UDC]],TableSTRPRESCH1.5[],7,FALSE),"")</f>
        <v>Core</v>
      </c>
      <c r="Q18" s="123" t="str">
        <f>IFERROR(VLOOKUP(TableHandbook[[#This Row],[UDC]],TableMCPROJM2[],7,FALSE),"")</f>
        <v/>
      </c>
      <c r="R18" s="124" t="str">
        <f>IFERROR(VLOOKUP(TableHandbook[[#This Row],[UDC]],TableSTRPPROF2[],7,FALSE),"")</f>
        <v/>
      </c>
      <c r="S18" s="125" t="str">
        <f>IFERROR(VLOOKUP(TableHandbook[[#This Row],[UDC]],TableSTRPRSCH2[],7,FALSE),"")</f>
        <v>Core</v>
      </c>
    </row>
    <row r="19" spans="1:19" x14ac:dyDescent="0.25">
      <c r="A19" t="s">
        <v>86</v>
      </c>
      <c r="B19" s="3">
        <v>1</v>
      </c>
      <c r="C19" s="3"/>
      <c r="D19" t="s">
        <v>152</v>
      </c>
      <c r="E19" s="3">
        <v>25</v>
      </c>
      <c r="F19" s="120" t="s">
        <v>135</v>
      </c>
      <c r="G19" s="121" t="str">
        <f>IFERROR(IF(VLOOKUP(TableHandbook[[#This Row],[UDC]],TableAvailabilities[],2,FALSE)&gt;0,"Y",""),"")</f>
        <v>Y</v>
      </c>
      <c r="H19" s="121" t="str">
        <f>IFERROR(IF(VLOOKUP(TableHandbook[[#This Row],[UDC]],TableAvailabilities[],3,FALSE)&gt;0,"Y",""),"")</f>
        <v>Y</v>
      </c>
      <c r="I19" s="121" t="str">
        <f>IFERROR(IF(VLOOKUP(TableHandbook[[#This Row],[UDC]],TableAvailabilities[],4,FALSE)&gt;0,"Y",""),"")</f>
        <v>Y</v>
      </c>
      <c r="J19" s="121" t="str">
        <f>IFERROR(IF(VLOOKUP(TableHandbook[[#This Row],[UDC]],TableAvailabilities[],5,FALSE)&gt;0,"Y",""),"")</f>
        <v>Y</v>
      </c>
      <c r="L19" s="122" t="str">
        <f>IFERROR(VLOOKUP(TableHandbook[[#This Row],[UDC]],TableGCPROJM[],7,FALSE),"")</f>
        <v/>
      </c>
      <c r="M19" s="122" t="str">
        <f>IFERROR(VLOOKUP(TableHandbook[[#This Row],[UDC]],TableGDPROJM[],7,FALSE),"")</f>
        <v>AltCore</v>
      </c>
      <c r="N19" s="123" t="str">
        <f>IFERROR(VLOOKUP(TableHandbook[[#This Row],[UDC]],TableMCPROJM1.5[],7,FALSE),"")</f>
        <v/>
      </c>
      <c r="O19" s="124" t="str">
        <f>IFERROR(VLOOKUP(TableHandbook[[#This Row],[UDC]],TableSTRPPROFL1.5[],7,FALSE),"")</f>
        <v>Core</v>
      </c>
      <c r="P19" s="125" t="str">
        <f>IFERROR(VLOOKUP(TableHandbook[[#This Row],[UDC]],TableSTRPRESCH1.5[],7,FALSE),"")</f>
        <v>Core</v>
      </c>
      <c r="Q19" s="123" t="str">
        <f>IFERROR(VLOOKUP(TableHandbook[[#This Row],[UDC]],TableMCPROJM2[],7,FALSE),"")</f>
        <v/>
      </c>
      <c r="R19" s="124" t="str">
        <f>IFERROR(VLOOKUP(TableHandbook[[#This Row],[UDC]],TableSTRPPROF2[],7,FALSE),"")</f>
        <v>Core</v>
      </c>
      <c r="S19" s="125" t="str">
        <f>IFERROR(VLOOKUP(TableHandbook[[#This Row],[UDC]],TableSTRPRSCH2[],7,FALSE),"")</f>
        <v>Core</v>
      </c>
    </row>
    <row r="20" spans="1:19" x14ac:dyDescent="0.25">
      <c r="A20" t="s">
        <v>120</v>
      </c>
      <c r="B20" s="3">
        <v>2</v>
      </c>
      <c r="C20" s="3"/>
      <c r="D20" t="s">
        <v>119</v>
      </c>
      <c r="E20" s="3">
        <v>400</v>
      </c>
      <c r="F20" s="120"/>
      <c r="G20" s="121" t="str">
        <f>IFERROR(IF(VLOOKUP(TableHandbook[[#This Row],[UDC]],TableAvailabilities[],2,FALSE)&gt;0,"Y",""),"")</f>
        <v/>
      </c>
      <c r="H20" s="121" t="str">
        <f>IFERROR(IF(VLOOKUP(TableHandbook[[#This Row],[UDC]],TableAvailabilities[],3,FALSE)&gt;0,"Y",""),"")</f>
        <v/>
      </c>
      <c r="I20" s="121" t="str">
        <f>IFERROR(IF(VLOOKUP(TableHandbook[[#This Row],[UDC]],TableAvailabilities[],4,FALSE)&gt;0,"Y",""),"")</f>
        <v/>
      </c>
      <c r="J20" s="121" t="str">
        <f>IFERROR(IF(VLOOKUP(TableHandbook[[#This Row],[UDC]],TableAvailabilities[],5,FALSE)&gt;0,"Y",""),"")</f>
        <v/>
      </c>
      <c r="L20" s="122" t="str">
        <f>IFERROR(VLOOKUP(TableHandbook[[#This Row],[UDC]],TableGCPROJM[],7,FALSE),"")</f>
        <v/>
      </c>
      <c r="M20" s="122" t="str">
        <f>IFERROR(VLOOKUP(TableHandbook[[#This Row],[UDC]],TableGDPROJM[],7,FALSE),"")</f>
        <v/>
      </c>
      <c r="N20" s="123" t="str">
        <f>IFERROR(VLOOKUP(TableHandbook[[#This Row],[UDC]],TableMCPROJM1.5[],7,FALSE),"")</f>
        <v/>
      </c>
      <c r="O20" s="124" t="str">
        <f>IFERROR(VLOOKUP(TableHandbook[[#This Row],[UDC]],TableSTRPPROFL1.5[],7,FALSE),"")</f>
        <v/>
      </c>
      <c r="P20" s="125" t="str">
        <f>IFERROR(VLOOKUP(TableHandbook[[#This Row],[UDC]],TableSTRPRESCH1.5[],7,FALSE),"")</f>
        <v/>
      </c>
      <c r="Q20" s="123" t="str">
        <f>IFERROR(VLOOKUP(TableHandbook[[#This Row],[UDC]],TableMCPROJM2[],7,FALSE),"")</f>
        <v>AltCore</v>
      </c>
      <c r="R20" s="124" t="str">
        <f>IFERROR(VLOOKUP(TableHandbook[[#This Row],[UDC]],TableSTRPPROF2[],7,FALSE),"")</f>
        <v/>
      </c>
      <c r="S20" s="125" t="str">
        <f>IFERROR(VLOOKUP(TableHandbook[[#This Row],[UDC]],TableSTRPRSCH2[],7,FALSE),"")</f>
        <v/>
      </c>
    </row>
    <row r="21" spans="1:19" x14ac:dyDescent="0.25">
      <c r="A21" t="s">
        <v>113</v>
      </c>
      <c r="B21" s="3">
        <v>2</v>
      </c>
      <c r="C21" s="3"/>
      <c r="D21" t="s">
        <v>112</v>
      </c>
      <c r="E21" s="3">
        <v>300</v>
      </c>
      <c r="F21" s="120"/>
      <c r="G21" s="121" t="str">
        <f>IFERROR(IF(VLOOKUP(TableHandbook[[#This Row],[UDC]],TableAvailabilities[],2,FALSE)&gt;0,"Y",""),"")</f>
        <v/>
      </c>
      <c r="H21" s="121" t="str">
        <f>IFERROR(IF(VLOOKUP(TableHandbook[[#This Row],[UDC]],TableAvailabilities[],3,FALSE)&gt;0,"Y",""),"")</f>
        <v/>
      </c>
      <c r="I21" s="121" t="str">
        <f>IFERROR(IF(VLOOKUP(TableHandbook[[#This Row],[UDC]],TableAvailabilities[],4,FALSE)&gt;0,"Y",""),"")</f>
        <v/>
      </c>
      <c r="J21" s="121" t="str">
        <f>IFERROR(IF(VLOOKUP(TableHandbook[[#This Row],[UDC]],TableAvailabilities[],5,FALSE)&gt;0,"Y",""),"")</f>
        <v/>
      </c>
      <c r="L21" s="122" t="str">
        <f>IFERROR(VLOOKUP(TableHandbook[[#This Row],[UDC]],TableGCPROJM[],7,FALSE),"")</f>
        <v/>
      </c>
      <c r="M21" s="122" t="str">
        <f>IFERROR(VLOOKUP(TableHandbook[[#This Row],[UDC]],TableGDPROJM[],7,FALSE),"")</f>
        <v/>
      </c>
      <c r="N21" s="123" t="str">
        <f>IFERROR(VLOOKUP(TableHandbook[[#This Row],[UDC]],TableMCPROJM1.5[],7,FALSE),"")</f>
        <v>Option</v>
      </c>
      <c r="O21" s="124" t="str">
        <f>IFERROR(VLOOKUP(TableHandbook[[#This Row],[UDC]],TableSTRPPROFL1.5[],7,FALSE),"")</f>
        <v/>
      </c>
      <c r="P21" s="125" t="str">
        <f>IFERROR(VLOOKUP(TableHandbook[[#This Row],[UDC]],TableSTRPRESCH1.5[],7,FALSE),"")</f>
        <v/>
      </c>
      <c r="Q21" s="123" t="str">
        <f>IFERROR(VLOOKUP(TableHandbook[[#This Row],[UDC]],TableMCPROJM2[],7,FALSE),"")</f>
        <v/>
      </c>
      <c r="R21" s="124" t="str">
        <f>IFERROR(VLOOKUP(TableHandbook[[#This Row],[UDC]],TableSTRPPROF2[],7,FALSE),"")</f>
        <v/>
      </c>
      <c r="S21" s="125" t="str">
        <f>IFERROR(VLOOKUP(TableHandbook[[#This Row],[UDC]],TableSTRPRSCH2[],7,FALSE),"")</f>
        <v/>
      </c>
    </row>
    <row r="22" spans="1:19" x14ac:dyDescent="0.25">
      <c r="A22" t="s">
        <v>117</v>
      </c>
      <c r="B22" s="3">
        <v>2</v>
      </c>
      <c r="C22" s="3"/>
      <c r="D22" t="s">
        <v>116</v>
      </c>
      <c r="E22" s="3">
        <v>300</v>
      </c>
      <c r="F22" s="120"/>
      <c r="G22" s="121" t="str">
        <f>IFERROR(IF(VLOOKUP(TableHandbook[[#This Row],[UDC]],TableAvailabilities[],2,FALSE)&gt;0,"Y",""),"")</f>
        <v/>
      </c>
      <c r="H22" s="121" t="str">
        <f>IFERROR(IF(VLOOKUP(TableHandbook[[#This Row],[UDC]],TableAvailabilities[],3,FALSE)&gt;0,"Y",""),"")</f>
        <v/>
      </c>
      <c r="I22" s="121" t="str">
        <f>IFERROR(IF(VLOOKUP(TableHandbook[[#This Row],[UDC]],TableAvailabilities[],4,FALSE)&gt;0,"Y",""),"")</f>
        <v/>
      </c>
      <c r="J22" s="121" t="str">
        <f>IFERROR(IF(VLOOKUP(TableHandbook[[#This Row],[UDC]],TableAvailabilities[],5,FALSE)&gt;0,"Y",""),"")</f>
        <v/>
      </c>
      <c r="L22" s="122" t="str">
        <f>IFERROR(VLOOKUP(TableHandbook[[#This Row],[UDC]],TableGCPROJM[],7,FALSE),"")</f>
        <v/>
      </c>
      <c r="M22" s="122" t="str">
        <f>IFERROR(VLOOKUP(TableHandbook[[#This Row],[UDC]],TableGDPROJM[],7,FALSE),"")</f>
        <v/>
      </c>
      <c r="N22" s="123" t="str">
        <f>IFERROR(VLOOKUP(TableHandbook[[#This Row],[UDC]],TableMCPROJM1.5[],7,FALSE),"")</f>
        <v>Option</v>
      </c>
      <c r="O22" s="124" t="str">
        <f>IFERROR(VLOOKUP(TableHandbook[[#This Row],[UDC]],TableSTRPPROFL1.5[],7,FALSE),"")</f>
        <v/>
      </c>
      <c r="P22" s="125" t="str">
        <f>IFERROR(VLOOKUP(TableHandbook[[#This Row],[UDC]],TableSTRPRESCH1.5[],7,FALSE),"")</f>
        <v/>
      </c>
      <c r="Q22" s="123" t="str">
        <f>IFERROR(VLOOKUP(TableHandbook[[#This Row],[UDC]],TableMCPROJM2[],7,FALSE),"")</f>
        <v/>
      </c>
      <c r="R22" s="124" t="str">
        <f>IFERROR(VLOOKUP(TableHandbook[[#This Row],[UDC]],TableSTRPPROF2[],7,FALSE),"")</f>
        <v/>
      </c>
      <c r="S22" s="125" t="str">
        <f>IFERROR(VLOOKUP(TableHandbook[[#This Row],[UDC]],TableSTRPRSCH2[],7,FALSE),"")</f>
        <v/>
      </c>
    </row>
    <row r="23" spans="1:19" x14ac:dyDescent="0.25">
      <c r="A23" t="s">
        <v>123</v>
      </c>
      <c r="B23" s="3">
        <v>2</v>
      </c>
      <c r="C23" s="3"/>
      <c r="D23" t="s">
        <v>122</v>
      </c>
      <c r="E23" s="3">
        <v>400</v>
      </c>
      <c r="F23" s="120"/>
      <c r="G23" s="121" t="str">
        <f>IFERROR(IF(VLOOKUP(TableHandbook[[#This Row],[UDC]],TableAvailabilities[],2,FALSE)&gt;0,"Y",""),"")</f>
        <v/>
      </c>
      <c r="H23" s="121" t="str">
        <f>IFERROR(IF(VLOOKUP(TableHandbook[[#This Row],[UDC]],TableAvailabilities[],3,FALSE)&gt;0,"Y",""),"")</f>
        <v/>
      </c>
      <c r="I23" s="121" t="str">
        <f>IFERROR(IF(VLOOKUP(TableHandbook[[#This Row],[UDC]],TableAvailabilities[],4,FALSE)&gt;0,"Y",""),"")</f>
        <v/>
      </c>
      <c r="J23" s="121" t="str">
        <f>IFERROR(IF(VLOOKUP(TableHandbook[[#This Row],[UDC]],TableAvailabilities[],5,FALSE)&gt;0,"Y",""),"")</f>
        <v/>
      </c>
      <c r="L23" s="122" t="str">
        <f>IFERROR(VLOOKUP(TableHandbook[[#This Row],[UDC]],TableGCPROJM[],7,FALSE),"")</f>
        <v/>
      </c>
      <c r="M23" s="122" t="str">
        <f>IFERROR(VLOOKUP(TableHandbook[[#This Row],[UDC]],TableGDPROJM[],7,FALSE),"")</f>
        <v/>
      </c>
      <c r="N23" s="123" t="str">
        <f>IFERROR(VLOOKUP(TableHandbook[[#This Row],[UDC]],TableMCPROJM1.5[],7,FALSE),"")</f>
        <v/>
      </c>
      <c r="O23" s="124" t="str">
        <f>IFERROR(VLOOKUP(TableHandbook[[#This Row],[UDC]],TableSTRPPROFL1.5[],7,FALSE),"")</f>
        <v/>
      </c>
      <c r="P23" s="125" t="str">
        <f>IFERROR(VLOOKUP(TableHandbook[[#This Row],[UDC]],TableSTRPRESCH1.5[],7,FALSE),"")</f>
        <v/>
      </c>
      <c r="Q23" s="123" t="str">
        <f>IFERROR(VLOOKUP(TableHandbook[[#This Row],[UDC]],TableMCPROJM2[],7,FALSE),"")</f>
        <v>AltCore</v>
      </c>
      <c r="R23" s="124" t="str">
        <f>IFERROR(VLOOKUP(TableHandbook[[#This Row],[UDC]],TableSTRPPROF2[],7,FALSE),"")</f>
        <v/>
      </c>
      <c r="S23" s="125" t="str">
        <f>IFERROR(VLOOKUP(TableHandbook[[#This Row],[UDC]],TableSTRPRSCH2[],7,FALSE),"")</f>
        <v/>
      </c>
    </row>
    <row r="24" spans="1:19" x14ac:dyDescent="0.25">
      <c r="A24" t="s">
        <v>85</v>
      </c>
      <c r="B24" s="3">
        <v>1</v>
      </c>
      <c r="C24" s="3"/>
      <c r="D24" t="s">
        <v>153</v>
      </c>
      <c r="E24" s="3">
        <v>25</v>
      </c>
      <c r="F24" s="120" t="s">
        <v>135</v>
      </c>
      <c r="G24" s="121" t="str">
        <f>IFERROR(IF(VLOOKUP(TableHandbook[[#This Row],[UDC]],TableAvailabilities[],2,FALSE)&gt;0,"Y",""),"")</f>
        <v>Y</v>
      </c>
      <c r="H24" s="121" t="str">
        <f>IFERROR(IF(VLOOKUP(TableHandbook[[#This Row],[UDC]],TableAvailabilities[],3,FALSE)&gt;0,"Y",""),"")</f>
        <v>Y</v>
      </c>
      <c r="I24" s="121" t="str">
        <f>IFERROR(IF(VLOOKUP(TableHandbook[[#This Row],[UDC]],TableAvailabilities[],4,FALSE)&gt;0,"Y",""),"")</f>
        <v>Y</v>
      </c>
      <c r="J24" s="121" t="str">
        <f>IFERROR(IF(VLOOKUP(TableHandbook[[#This Row],[UDC]],TableAvailabilities[],5,FALSE)&gt;0,"Y",""),"")</f>
        <v>Y</v>
      </c>
      <c r="L24" s="122" t="str">
        <f>IFERROR(VLOOKUP(TableHandbook[[#This Row],[UDC]],TableGCPROJM[],7,FALSE),"")</f>
        <v/>
      </c>
      <c r="M24" s="122" t="str">
        <f>IFERROR(VLOOKUP(TableHandbook[[#This Row],[UDC]],TableGDPROJM[],7,FALSE),"")</f>
        <v>AltCore</v>
      </c>
      <c r="N24" s="123" t="str">
        <f>IFERROR(VLOOKUP(TableHandbook[[#This Row],[UDC]],TableMCPROJM1.5[],7,FALSE),"")</f>
        <v/>
      </c>
      <c r="O24" s="124" t="str">
        <f>IFERROR(VLOOKUP(TableHandbook[[#This Row],[UDC]],TableSTRPPROFL1.5[],7,FALSE),"")</f>
        <v>Core</v>
      </c>
      <c r="P24" s="125" t="str">
        <f>IFERROR(VLOOKUP(TableHandbook[[#This Row],[UDC]],TableSTRPRESCH1.5[],7,FALSE),"")</f>
        <v>Core</v>
      </c>
      <c r="Q24" s="123" t="str">
        <f>IFERROR(VLOOKUP(TableHandbook[[#This Row],[UDC]],TableMCPROJM2[],7,FALSE),"")</f>
        <v/>
      </c>
      <c r="R24" s="124" t="str">
        <f>IFERROR(VLOOKUP(TableHandbook[[#This Row],[UDC]],TableSTRPPROF2[],7,FALSE),"")</f>
        <v>Core</v>
      </c>
      <c r="S24" s="125" t="str">
        <f>IFERROR(VLOOKUP(TableHandbook[[#This Row],[UDC]],TableSTRPRSCH2[],7,FALSE),"")</f>
        <v>Core</v>
      </c>
    </row>
    <row r="28" spans="1:19" x14ac:dyDescent="0.25">
      <c r="B28"/>
    </row>
    <row r="29" spans="1:19" x14ac:dyDescent="0.25">
      <c r="B29"/>
    </row>
    <row r="30" spans="1:19" x14ac:dyDescent="0.25">
      <c r="B30"/>
    </row>
    <row r="31" spans="1:19" x14ac:dyDescent="0.25">
      <c r="B31"/>
    </row>
    <row r="32" spans="1:19" x14ac:dyDescent="0.25">
      <c r="B32"/>
    </row>
    <row r="33" spans="2:2" x14ac:dyDescent="0.25">
      <c r="B33"/>
    </row>
    <row r="34" spans="2:2" x14ac:dyDescent="0.25">
      <c r="B34"/>
    </row>
    <row r="35" spans="2:2" x14ac:dyDescent="0.25">
      <c r="B35"/>
    </row>
    <row r="36" spans="2:2" x14ac:dyDescent="0.25">
      <c r="B36"/>
    </row>
    <row r="37" spans="2:2" x14ac:dyDescent="0.25">
      <c r="B37"/>
    </row>
    <row r="38" spans="2:2" x14ac:dyDescent="0.25">
      <c r="B38"/>
    </row>
    <row r="39" spans="2:2" x14ac:dyDescent="0.25">
      <c r="B39"/>
    </row>
    <row r="40" spans="2:2" x14ac:dyDescent="0.25">
      <c r="B40"/>
    </row>
    <row r="41" spans="2:2" x14ac:dyDescent="0.25">
      <c r="B41"/>
    </row>
    <row r="42" spans="2:2" x14ac:dyDescent="0.25">
      <c r="B42"/>
    </row>
    <row r="43" spans="2:2" x14ac:dyDescent="0.25">
      <c r="B43"/>
    </row>
    <row r="44" spans="2:2" x14ac:dyDescent="0.25">
      <c r="B44"/>
    </row>
    <row r="45" spans="2:2" x14ac:dyDescent="0.25">
      <c r="B45"/>
    </row>
    <row r="46" spans="2:2" x14ac:dyDescent="0.25">
      <c r="B46"/>
    </row>
    <row r="47" spans="2:2" x14ac:dyDescent="0.25">
      <c r="B47"/>
    </row>
    <row r="48" spans="2: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sheetData>
  <sortState xmlns:xlrd2="http://schemas.microsoft.com/office/spreadsheetml/2017/richdata2" ref="A24:D37">
    <sortCondition ref="A24"/>
  </sortState>
  <conditionalFormatting sqref="A3:A24">
    <cfRule type="duplicateValues" dxfId="25" priority="79"/>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8"/>
  <sheetViews>
    <sheetView zoomScale="70" zoomScaleNormal="70" workbookViewId="0">
      <selection activeCell="L4" sqref="L4"/>
    </sheetView>
  </sheetViews>
  <sheetFormatPr defaultRowHeight="15.75" x14ac:dyDescent="0.25"/>
  <cols>
    <col min="1" max="1" width="11" bestFit="1" customWidth="1"/>
    <col min="2" max="2" width="13.375" style="3" bestFit="1" customWidth="1"/>
    <col min="3" max="3" width="12.5" bestFit="1" customWidth="1"/>
    <col min="4" max="4" width="43.125" bestFit="1" customWidth="1"/>
    <col min="5" max="5" width="9.75" style="3"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43.125" bestFit="1" customWidth="1"/>
    <col min="13" max="13" width="14.75" bestFit="1" customWidth="1"/>
    <col min="14" max="14" width="12.5" bestFit="1" customWidth="1"/>
    <col min="15" max="15" width="11.25" bestFit="1" customWidth="1"/>
    <col min="16" max="16" width="10.125" bestFit="1" customWidth="1"/>
    <col min="17" max="17" width="12.875" customWidth="1"/>
    <col min="18" max="18" width="7.125" bestFit="1" customWidth="1"/>
    <col min="19" max="19" width="12" bestFit="1" customWidth="1"/>
    <col min="20" max="20" width="14.5" bestFit="1" customWidth="1"/>
    <col min="21" max="21" width="21.125" bestFit="1" customWidth="1"/>
    <col min="22" max="22" width="6.25" bestFit="1" customWidth="1"/>
    <col min="23" max="23" width="43.125" bestFit="1" customWidth="1"/>
    <col min="24" max="24" width="14.375" bestFit="1" customWidth="1"/>
    <col min="25" max="25" width="10.75" bestFit="1" customWidth="1"/>
    <col min="26" max="26" width="11.25" bestFit="1" customWidth="1"/>
  </cols>
  <sheetData>
    <row r="1" spans="1:18" x14ac:dyDescent="0.25">
      <c r="B1"/>
      <c r="E1"/>
      <c r="F1" s="48"/>
      <c r="G1" s="49" t="s">
        <v>154</v>
      </c>
      <c r="H1" s="187">
        <v>42005</v>
      </c>
      <c r="I1" s="48"/>
      <c r="J1" s="188" t="s">
        <v>67</v>
      </c>
      <c r="K1" s="189" t="s">
        <v>68</v>
      </c>
      <c r="L1" s="48" t="s">
        <v>66</v>
      </c>
      <c r="M1" s="48"/>
      <c r="N1" s="61" t="s">
        <v>155</v>
      </c>
      <c r="O1" s="55">
        <v>45559</v>
      </c>
      <c r="P1" s="179">
        <v>45292</v>
      </c>
    </row>
    <row r="2" spans="1:18" x14ac:dyDescent="0.25">
      <c r="A2" t="s">
        <v>0</v>
      </c>
      <c r="B2" s="47" t="s">
        <v>156</v>
      </c>
      <c r="C2" t="s">
        <v>157</v>
      </c>
      <c r="D2" t="s">
        <v>3</v>
      </c>
      <c r="E2" s="46" t="s">
        <v>158</v>
      </c>
      <c r="F2" t="s">
        <v>159</v>
      </c>
      <c r="G2" t="s">
        <v>160</v>
      </c>
      <c r="H2" t="s">
        <v>161</v>
      </c>
      <c r="I2" t="s">
        <v>19</v>
      </c>
      <c r="J2" t="s">
        <v>162</v>
      </c>
      <c r="K2" t="s">
        <v>1</v>
      </c>
      <c r="L2" t="s">
        <v>163</v>
      </c>
      <c r="M2" t="s">
        <v>62</v>
      </c>
      <c r="N2" t="s">
        <v>164</v>
      </c>
      <c r="O2" t="s">
        <v>165</v>
      </c>
      <c r="Q2" t="s">
        <v>166</v>
      </c>
      <c r="R2" t="s">
        <v>1</v>
      </c>
    </row>
    <row r="3" spans="1:18" x14ac:dyDescent="0.25">
      <c r="A3" t="str">
        <f>TableGCPROJM[[#This Row],[Study Package Code]]</f>
        <v>PRJM6000</v>
      </c>
      <c r="B3" s="3">
        <f>TableGCPROJM[[#This Row],[Ver]]</f>
        <v>1</v>
      </c>
      <c r="D3" t="str">
        <f>TableGCPROJM[[#This Row],[Structure Line]]</f>
        <v>Project Management Overview</v>
      </c>
      <c r="E3" s="46">
        <f>TableGCPROJM[[#This Row],[Credit Points]]</f>
        <v>25</v>
      </c>
      <c r="F3">
        <v>1</v>
      </c>
      <c r="G3" t="s">
        <v>167</v>
      </c>
      <c r="H3">
        <v>1</v>
      </c>
      <c r="I3" t="s">
        <v>168</v>
      </c>
      <c r="J3" t="s">
        <v>53</v>
      </c>
      <c r="K3">
        <v>1</v>
      </c>
      <c r="L3" t="s">
        <v>142</v>
      </c>
      <c r="M3">
        <v>25</v>
      </c>
      <c r="N3" s="40">
        <v>42005</v>
      </c>
      <c r="O3" s="40"/>
      <c r="Q3" t="s">
        <v>53</v>
      </c>
      <c r="R3">
        <v>1</v>
      </c>
    </row>
    <row r="4" spans="1:18" x14ac:dyDescent="0.25">
      <c r="A4" t="str">
        <f>TableGCPROJM[[#This Row],[Study Package Code]]</f>
        <v>PRJM6010</v>
      </c>
      <c r="B4" s="3">
        <f>TableGCPROJM[[#This Row],[Ver]]</f>
        <v>1</v>
      </c>
      <c r="D4" t="str">
        <f>TableGCPROJM[[#This Row],[Structure Line]]</f>
        <v>Project and People</v>
      </c>
      <c r="E4" s="46">
        <f>TableGCPROJM[[#This Row],[Credit Points]]</f>
        <v>25</v>
      </c>
      <c r="F4">
        <v>2</v>
      </c>
      <c r="G4" t="s">
        <v>167</v>
      </c>
      <c r="H4">
        <v>1</v>
      </c>
      <c r="I4" t="s">
        <v>168</v>
      </c>
      <c r="J4" t="s">
        <v>65</v>
      </c>
      <c r="K4">
        <v>1</v>
      </c>
      <c r="L4" t="s">
        <v>149</v>
      </c>
      <c r="M4">
        <v>25</v>
      </c>
      <c r="N4" s="40">
        <v>42005</v>
      </c>
      <c r="O4" s="40"/>
      <c r="Q4" t="s">
        <v>65</v>
      </c>
      <c r="R4">
        <v>1</v>
      </c>
    </row>
    <row r="5" spans="1:18" x14ac:dyDescent="0.25">
      <c r="A5" t="str">
        <f>TableGCPROJM[[#This Row],[Study Package Code]]</f>
        <v>PRJM6001</v>
      </c>
      <c r="B5" s="3">
        <f>TableGCPROJM[[#This Row],[Ver]]</f>
        <v>1</v>
      </c>
      <c r="D5" t="str">
        <f>TableGCPROJM[[#This Row],[Structure Line]]</f>
        <v>Project Cost Management</v>
      </c>
      <c r="E5" s="46">
        <f>TableGCPROJM[[#This Row],[Credit Points]]</f>
        <v>25</v>
      </c>
      <c r="F5">
        <v>3</v>
      </c>
      <c r="G5" t="s">
        <v>167</v>
      </c>
      <c r="H5">
        <v>1</v>
      </c>
      <c r="I5" t="s">
        <v>168</v>
      </c>
      <c r="J5" t="s">
        <v>56</v>
      </c>
      <c r="K5">
        <v>1</v>
      </c>
      <c r="L5" t="s">
        <v>143</v>
      </c>
      <c r="M5">
        <v>25</v>
      </c>
      <c r="N5" s="40">
        <v>42005</v>
      </c>
      <c r="O5" s="40"/>
      <c r="Q5" t="s">
        <v>56</v>
      </c>
      <c r="R5">
        <v>1</v>
      </c>
    </row>
    <row r="6" spans="1:18" x14ac:dyDescent="0.25">
      <c r="A6" t="str">
        <f>TableGCPROJM[[#This Row],[Study Package Code]]</f>
        <v>PRJM6002</v>
      </c>
      <c r="B6" s="3">
        <f>TableGCPROJM[[#This Row],[Ver]]</f>
        <v>2</v>
      </c>
      <c r="D6" t="str">
        <f>TableGCPROJM[[#This Row],[Structure Line]]</f>
        <v>Project Planning and Schedule Management</v>
      </c>
      <c r="E6" s="46">
        <f>TableGCPROJM[[#This Row],[Credit Points]]</f>
        <v>25</v>
      </c>
      <c r="F6">
        <v>4</v>
      </c>
      <c r="G6" t="s">
        <v>167</v>
      </c>
      <c r="H6">
        <v>1</v>
      </c>
      <c r="I6" t="s">
        <v>168</v>
      </c>
      <c r="J6" t="s">
        <v>64</v>
      </c>
      <c r="K6">
        <v>2</v>
      </c>
      <c r="L6" t="s">
        <v>144</v>
      </c>
      <c r="M6">
        <v>25</v>
      </c>
      <c r="N6" s="40">
        <v>45292</v>
      </c>
      <c r="O6" s="40"/>
      <c r="Q6" t="s">
        <v>64</v>
      </c>
      <c r="R6">
        <v>2</v>
      </c>
    </row>
    <row r="9" spans="1:18" x14ac:dyDescent="0.25">
      <c r="B9"/>
      <c r="E9"/>
      <c r="F9" s="48"/>
      <c r="G9" s="49" t="s">
        <v>154</v>
      </c>
      <c r="H9" s="187">
        <v>42186</v>
      </c>
      <c r="I9" s="48"/>
      <c r="J9" s="188" t="s">
        <v>73</v>
      </c>
      <c r="K9" s="189" t="s">
        <v>74</v>
      </c>
      <c r="L9" s="48" t="s">
        <v>72</v>
      </c>
      <c r="M9" s="48"/>
      <c r="N9" s="61" t="s">
        <v>155</v>
      </c>
      <c r="O9" s="55">
        <v>45559</v>
      </c>
    </row>
    <row r="10" spans="1:18" x14ac:dyDescent="0.25">
      <c r="A10" t="s">
        <v>0</v>
      </c>
      <c r="B10" s="3" t="s">
        <v>156</v>
      </c>
      <c r="C10" t="s">
        <v>157</v>
      </c>
      <c r="D10" t="s">
        <v>3</v>
      </c>
      <c r="E10" s="46" t="s">
        <v>158</v>
      </c>
      <c r="F10" t="s">
        <v>159</v>
      </c>
      <c r="G10" t="s">
        <v>160</v>
      </c>
      <c r="H10" t="s">
        <v>161</v>
      </c>
      <c r="I10" t="s">
        <v>19</v>
      </c>
      <c r="J10" t="s">
        <v>162</v>
      </c>
      <c r="K10" t="s">
        <v>1</v>
      </c>
      <c r="L10" t="s">
        <v>163</v>
      </c>
      <c r="M10" t="s">
        <v>62</v>
      </c>
      <c r="N10" t="s">
        <v>164</v>
      </c>
      <c r="O10" t="s">
        <v>165</v>
      </c>
      <c r="Q10" t="s">
        <v>166</v>
      </c>
      <c r="R10" t="s">
        <v>1</v>
      </c>
    </row>
    <row r="11" spans="1:18" x14ac:dyDescent="0.25">
      <c r="A11" t="str">
        <f>TableGDPROJM[[#This Row],[Study Package Code]]</f>
        <v>PRJM6010</v>
      </c>
      <c r="B11" s="3">
        <f>TableGDPROJM[[#This Row],[Ver]]</f>
        <v>1</v>
      </c>
      <c r="D11" t="str">
        <f>TableGDPROJM[[#This Row],[Structure Line]]</f>
        <v>Project and People</v>
      </c>
      <c r="E11" s="46">
        <f>TableGDPROJM[[#This Row],[Credit Points]]</f>
        <v>25</v>
      </c>
      <c r="F11">
        <v>1</v>
      </c>
      <c r="G11" t="s">
        <v>167</v>
      </c>
      <c r="H11">
        <v>1</v>
      </c>
      <c r="I11" t="s">
        <v>168</v>
      </c>
      <c r="J11" t="s">
        <v>65</v>
      </c>
      <c r="K11">
        <v>1</v>
      </c>
      <c r="L11" t="s">
        <v>149</v>
      </c>
      <c r="M11">
        <v>25</v>
      </c>
      <c r="N11" s="40">
        <v>42005</v>
      </c>
      <c r="O11" s="40"/>
      <c r="Q11" t="s">
        <v>65</v>
      </c>
      <c r="R11">
        <v>1</v>
      </c>
    </row>
    <row r="12" spans="1:18" x14ac:dyDescent="0.25">
      <c r="A12" t="str">
        <f>TableGDPROJM[[#This Row],[Study Package Code]]</f>
        <v>PRJM6004</v>
      </c>
      <c r="B12" s="3">
        <f>TableGDPROJM[[#This Row],[Ver]]</f>
        <v>1</v>
      </c>
      <c r="D12" t="str">
        <f>TableGDPROJM[[#This Row],[Structure Line]]</f>
        <v>Project Procurement Management</v>
      </c>
      <c r="E12" s="46">
        <f>TableGDPROJM[[#This Row],[Credit Points]]</f>
        <v>25</v>
      </c>
      <c r="F12">
        <v>2</v>
      </c>
      <c r="G12" t="s">
        <v>167</v>
      </c>
      <c r="H12">
        <v>1</v>
      </c>
      <c r="I12" t="s">
        <v>169</v>
      </c>
      <c r="J12" t="s">
        <v>82</v>
      </c>
      <c r="K12">
        <v>1</v>
      </c>
      <c r="L12" t="s">
        <v>146</v>
      </c>
      <c r="M12">
        <v>25</v>
      </c>
      <c r="N12" s="40">
        <v>42005</v>
      </c>
      <c r="O12" s="40"/>
      <c r="Q12" t="s">
        <v>82</v>
      </c>
      <c r="R12">
        <v>1</v>
      </c>
    </row>
    <row r="13" spans="1:18" x14ac:dyDescent="0.25">
      <c r="A13" t="str">
        <f>TableGDPROJM[[#This Row],[Study Package Code]]</f>
        <v>PRJM6000</v>
      </c>
      <c r="B13" s="3">
        <f>TableGDPROJM[[#This Row],[Ver]]</f>
        <v>1</v>
      </c>
      <c r="D13" t="str">
        <f>TableGDPROJM[[#This Row],[Structure Line]]</f>
        <v>Project Management Overview</v>
      </c>
      <c r="E13" s="46">
        <f>TableGDPROJM[[#This Row],[Credit Points]]</f>
        <v>25</v>
      </c>
      <c r="F13">
        <v>3</v>
      </c>
      <c r="G13" t="s">
        <v>167</v>
      </c>
      <c r="H13">
        <v>1</v>
      </c>
      <c r="I13" t="s">
        <v>168</v>
      </c>
      <c r="J13" t="s">
        <v>53</v>
      </c>
      <c r="K13">
        <v>1</v>
      </c>
      <c r="L13" t="s">
        <v>142</v>
      </c>
      <c r="M13">
        <v>25</v>
      </c>
      <c r="N13" s="40">
        <v>42005</v>
      </c>
      <c r="O13" s="40"/>
      <c r="Q13" t="s">
        <v>53</v>
      </c>
      <c r="R13">
        <v>1</v>
      </c>
    </row>
    <row r="14" spans="1:18" x14ac:dyDescent="0.25">
      <c r="A14" t="str">
        <f>TableGDPROJM[[#This Row],[Study Package Code]]</f>
        <v>PRJM6001</v>
      </c>
      <c r="B14" s="3">
        <f>TableGDPROJM[[#This Row],[Ver]]</f>
        <v>1</v>
      </c>
      <c r="D14" t="str">
        <f>TableGDPROJM[[#This Row],[Structure Line]]</f>
        <v>Project Cost Management</v>
      </c>
      <c r="E14" s="46">
        <f>TableGDPROJM[[#This Row],[Credit Points]]</f>
        <v>25</v>
      </c>
      <c r="F14">
        <v>4</v>
      </c>
      <c r="G14" t="s">
        <v>167</v>
      </c>
      <c r="H14">
        <v>1</v>
      </c>
      <c r="I14" t="s">
        <v>168</v>
      </c>
      <c r="J14" t="s">
        <v>56</v>
      </c>
      <c r="K14">
        <v>1</v>
      </c>
      <c r="L14" t="s">
        <v>143</v>
      </c>
      <c r="M14">
        <v>25</v>
      </c>
      <c r="N14" s="40">
        <v>42005</v>
      </c>
      <c r="O14" s="40"/>
      <c r="Q14" t="s">
        <v>56</v>
      </c>
      <c r="R14">
        <v>1</v>
      </c>
    </row>
    <row r="15" spans="1:18" x14ac:dyDescent="0.25">
      <c r="A15" t="str">
        <f>TableGDPROJM[[#This Row],[Study Package Code]]</f>
        <v>PRJM6003</v>
      </c>
      <c r="B15" s="3">
        <f>TableGDPROJM[[#This Row],[Ver]]</f>
        <v>1</v>
      </c>
      <c r="D15" t="str">
        <f>TableGDPROJM[[#This Row],[Structure Line]]</f>
        <v>Project Risk Management</v>
      </c>
      <c r="E15" s="46">
        <f>TableGDPROJM[[#This Row],[Credit Points]]</f>
        <v>25</v>
      </c>
      <c r="F15">
        <v>5</v>
      </c>
      <c r="G15" t="s">
        <v>167</v>
      </c>
      <c r="H15">
        <v>1</v>
      </c>
      <c r="I15" t="s">
        <v>169</v>
      </c>
      <c r="J15" t="s">
        <v>76</v>
      </c>
      <c r="K15">
        <v>1</v>
      </c>
      <c r="L15" t="s">
        <v>145</v>
      </c>
      <c r="M15">
        <v>25</v>
      </c>
      <c r="N15" s="40">
        <v>42005</v>
      </c>
      <c r="O15" s="40"/>
      <c r="Q15" t="s">
        <v>76</v>
      </c>
      <c r="R15">
        <v>1</v>
      </c>
    </row>
    <row r="16" spans="1:18" x14ac:dyDescent="0.25">
      <c r="A16" t="str">
        <f>TableGDPROJM[[#This Row],[Study Package Code]]</f>
        <v>PRJM6002</v>
      </c>
      <c r="B16" s="3">
        <f>TableGDPROJM[[#This Row],[Ver]]</f>
        <v>2</v>
      </c>
      <c r="D16" t="str">
        <f>TableGDPROJM[[#This Row],[Structure Line]]</f>
        <v>Project Planning and Schedule Management</v>
      </c>
      <c r="E16" s="46">
        <f>TableGDPROJM[[#This Row],[Credit Points]]</f>
        <v>25</v>
      </c>
      <c r="F16">
        <v>6</v>
      </c>
      <c r="G16" t="s">
        <v>167</v>
      </c>
      <c r="H16">
        <v>1</v>
      </c>
      <c r="I16" t="s">
        <v>168</v>
      </c>
      <c r="J16" t="s">
        <v>64</v>
      </c>
      <c r="K16">
        <v>2</v>
      </c>
      <c r="L16" t="s">
        <v>144</v>
      </c>
      <c r="M16">
        <v>25</v>
      </c>
      <c r="N16" s="40">
        <v>45292</v>
      </c>
      <c r="O16" s="40"/>
      <c r="Q16" t="s">
        <v>64</v>
      </c>
      <c r="R16">
        <v>2</v>
      </c>
    </row>
    <row r="17" spans="1:18" x14ac:dyDescent="0.25">
      <c r="A17" t="str">
        <f>TableGDPROJM[[#This Row],[Study Package Code]]</f>
        <v>PRJM6005</v>
      </c>
      <c r="B17" s="3">
        <f>TableGDPROJM[[#This Row],[Ver]]</f>
        <v>1</v>
      </c>
      <c r="D17" t="str">
        <f>TableGDPROJM[[#This Row],[Structure Line]]</f>
        <v>Program and Portfolio Management</v>
      </c>
      <c r="E17" s="46">
        <f>TableGDPROJM[[#This Row],[Credit Points]]</f>
        <v>25</v>
      </c>
      <c r="F17">
        <v>7</v>
      </c>
      <c r="G17" t="s">
        <v>167</v>
      </c>
      <c r="H17">
        <v>1</v>
      </c>
      <c r="I17" t="s">
        <v>169</v>
      </c>
      <c r="J17" t="s">
        <v>77</v>
      </c>
      <c r="K17">
        <v>1</v>
      </c>
      <c r="L17" t="s">
        <v>147</v>
      </c>
      <c r="M17">
        <v>25</v>
      </c>
      <c r="N17" s="40">
        <v>42005</v>
      </c>
      <c r="O17" s="40"/>
      <c r="Q17" t="s">
        <v>77</v>
      </c>
      <c r="R17">
        <v>1</v>
      </c>
    </row>
    <row r="18" spans="1:18" x14ac:dyDescent="0.25">
      <c r="A18" t="str">
        <f>TableGDPROJM[[#This Row],[Study Package Code]]</f>
        <v>AC-PROJM</v>
      </c>
      <c r="B18" s="3">
        <f>TableGDPROJM[[#This Row],[Ver]]</f>
        <v>0</v>
      </c>
      <c r="D18" t="str">
        <f>TableGDPROJM[[#This Row],[Structure Line]]</f>
        <v>Choose PRJM6025 or URDE6006</v>
      </c>
      <c r="E18" s="46">
        <f>TableGDPROJM[[#This Row],[Credit Points]]</f>
        <v>25</v>
      </c>
      <c r="F18">
        <v>8</v>
      </c>
      <c r="G18" t="s">
        <v>170</v>
      </c>
      <c r="H18">
        <v>1</v>
      </c>
      <c r="I18" t="s">
        <v>169</v>
      </c>
      <c r="J18" t="s">
        <v>184</v>
      </c>
      <c r="L18" t="s">
        <v>171</v>
      </c>
      <c r="M18">
        <v>25</v>
      </c>
      <c r="N18" s="40">
        <v>44562</v>
      </c>
      <c r="O18" s="40"/>
      <c r="Q18" t="s">
        <v>87</v>
      </c>
    </row>
    <row r="19" spans="1:18" x14ac:dyDescent="0.25">
      <c r="A19" t="str">
        <f>TableGDPROJM[[#This Row],[Study Package Code]]</f>
        <v>PRJM6025</v>
      </c>
      <c r="B19" s="3">
        <f>TableGDPROJM[[#This Row],[Ver]]</f>
        <v>1</v>
      </c>
      <c r="D19" t="str">
        <f>TableGDPROJM[[#This Row],[Structure Line]]</f>
        <v>Agile Management</v>
      </c>
      <c r="E19" s="46">
        <f>TableGDPROJM[[#This Row],[Credit Points]]</f>
        <v>25</v>
      </c>
      <c r="F19">
        <v>8</v>
      </c>
      <c r="G19" t="s">
        <v>170</v>
      </c>
      <c r="H19">
        <v>1</v>
      </c>
      <c r="I19" t="s">
        <v>169</v>
      </c>
      <c r="J19" t="s">
        <v>86</v>
      </c>
      <c r="K19">
        <v>1</v>
      </c>
      <c r="L19" t="s">
        <v>152</v>
      </c>
      <c r="M19">
        <v>25</v>
      </c>
      <c r="N19" s="40">
        <v>44562</v>
      </c>
      <c r="O19" s="40"/>
      <c r="Q19" t="s">
        <v>86</v>
      </c>
      <c r="R19">
        <v>1</v>
      </c>
    </row>
    <row r="20" spans="1:18" x14ac:dyDescent="0.25">
      <c r="A20" t="str">
        <f>TableGDPROJM[[#This Row],[Study Package Code]]</f>
        <v>URDE6006</v>
      </c>
      <c r="B20" s="3">
        <f>TableGDPROJM[[#This Row],[Ver]]</f>
        <v>1</v>
      </c>
      <c r="D20" t="str">
        <f>TableGDPROJM[[#This Row],[Structure Line]]</f>
        <v>Design and Built Environment Research Methods</v>
      </c>
      <c r="E20" s="46">
        <f>TableGDPROJM[[#This Row],[Credit Points]]</f>
        <v>25</v>
      </c>
      <c r="F20">
        <v>8</v>
      </c>
      <c r="G20" t="s">
        <v>170</v>
      </c>
      <c r="H20">
        <v>1</v>
      </c>
      <c r="I20" t="s">
        <v>169</v>
      </c>
      <c r="J20" t="s">
        <v>85</v>
      </c>
      <c r="K20">
        <v>1</v>
      </c>
      <c r="L20" t="s">
        <v>153</v>
      </c>
      <c r="M20">
        <v>25</v>
      </c>
      <c r="N20" s="40">
        <v>44562</v>
      </c>
      <c r="O20" s="40"/>
      <c r="Q20" t="s">
        <v>85</v>
      </c>
      <c r="R20">
        <v>1</v>
      </c>
    </row>
    <row r="23" spans="1:18" x14ac:dyDescent="0.25">
      <c r="B23"/>
      <c r="E23"/>
      <c r="F23" s="48"/>
      <c r="G23" s="49" t="s">
        <v>154</v>
      </c>
      <c r="H23" s="187">
        <v>42186</v>
      </c>
      <c r="I23" s="48"/>
      <c r="J23" s="188" t="s">
        <v>130</v>
      </c>
      <c r="K23" s="189" t="s">
        <v>74</v>
      </c>
      <c r="L23" s="48" t="s">
        <v>172</v>
      </c>
      <c r="M23" s="48"/>
      <c r="N23" s="61" t="s">
        <v>155</v>
      </c>
      <c r="O23" s="55">
        <v>45559</v>
      </c>
    </row>
    <row r="24" spans="1:18" x14ac:dyDescent="0.25">
      <c r="A24" t="s">
        <v>0</v>
      </c>
      <c r="B24" s="3" t="s">
        <v>156</v>
      </c>
      <c r="C24" t="s">
        <v>157</v>
      </c>
      <c r="D24" t="s">
        <v>3</v>
      </c>
      <c r="E24" s="46" t="s">
        <v>158</v>
      </c>
      <c r="F24" t="s">
        <v>159</v>
      </c>
      <c r="G24" t="s">
        <v>160</v>
      </c>
      <c r="H24" t="s">
        <v>161</v>
      </c>
      <c r="I24" t="s">
        <v>19</v>
      </c>
      <c r="J24" t="s">
        <v>162</v>
      </c>
      <c r="K24" t="s">
        <v>1</v>
      </c>
      <c r="L24" t="s">
        <v>163</v>
      </c>
      <c r="M24" t="s">
        <v>62</v>
      </c>
      <c r="N24" t="s">
        <v>164</v>
      </c>
      <c r="O24" t="s">
        <v>165</v>
      </c>
      <c r="Q24" t="s">
        <v>166</v>
      </c>
      <c r="R24" t="s">
        <v>1</v>
      </c>
    </row>
    <row r="25" spans="1:18" x14ac:dyDescent="0.25">
      <c r="A25" t="str">
        <f>TableMCPROJM1.5[[#This Row],[Study Package Code]]</f>
        <v>Stream</v>
      </c>
      <c r="B25" s="3">
        <f>TableMCPROJM1.5[[#This Row],[Ver]]</f>
        <v>0</v>
      </c>
      <c r="D25" t="str">
        <f>TableMCPROJM1.5[[#This Row],[Structure Line]]</f>
        <v>Choose a Stream</v>
      </c>
      <c r="E25" s="46">
        <f>TableMCPROJM1.5[[#This Row],[Credit Points]]</f>
        <v>300</v>
      </c>
      <c r="F25">
        <v>1</v>
      </c>
      <c r="G25" t="s">
        <v>185</v>
      </c>
      <c r="H25">
        <v>1</v>
      </c>
      <c r="I25" t="s">
        <v>173</v>
      </c>
      <c r="J25" t="s">
        <v>174</v>
      </c>
      <c r="K25">
        <v>0</v>
      </c>
      <c r="L25" t="s">
        <v>175</v>
      </c>
      <c r="M25">
        <v>300</v>
      </c>
      <c r="N25" s="40"/>
      <c r="O25" s="40"/>
      <c r="Q25" t="s">
        <v>174</v>
      </c>
      <c r="R25">
        <v>0</v>
      </c>
    </row>
    <row r="26" spans="1:18" x14ac:dyDescent="0.25">
      <c r="A26" t="str">
        <f>TableMCPROJM1.5[[#This Row],[Study Package Code]]</f>
        <v>STRP-PROFL</v>
      </c>
      <c r="B26" s="3">
        <f>TableMCPROJM1.5[[#This Row],[Ver]]</f>
        <v>2</v>
      </c>
      <c r="D26" t="str">
        <f>TableMCPROJM1.5[[#This Row],[Structure Line]]</f>
        <v>Professional Stream (MSc Proj Mngmt)</v>
      </c>
      <c r="E26" s="46">
        <f>TableMCPROJM1.5[[#This Row],[Credit Points]]</f>
        <v>300</v>
      </c>
      <c r="F26">
        <v>1</v>
      </c>
      <c r="G26" t="s">
        <v>185</v>
      </c>
      <c r="H26">
        <v>1</v>
      </c>
      <c r="I26" t="s">
        <v>173</v>
      </c>
      <c r="J26" t="s">
        <v>113</v>
      </c>
      <c r="K26">
        <v>2</v>
      </c>
      <c r="L26" t="s">
        <v>112</v>
      </c>
      <c r="M26">
        <v>300</v>
      </c>
      <c r="N26" s="40">
        <v>44562</v>
      </c>
      <c r="O26" s="40"/>
      <c r="Q26" t="s">
        <v>113</v>
      </c>
      <c r="R26">
        <v>2</v>
      </c>
    </row>
    <row r="27" spans="1:18" x14ac:dyDescent="0.25">
      <c r="A27" t="str">
        <f>TableMCPROJM1.5[[#This Row],[Study Package Code]]</f>
        <v>STRP-RESCH</v>
      </c>
      <c r="B27" s="3">
        <f>TableMCPROJM1.5[[#This Row],[Ver]]</f>
        <v>2</v>
      </c>
      <c r="D27" t="str">
        <f>TableMCPROJM1.5[[#This Row],[Structure Line]]</f>
        <v>Research Stream (MSc Proj Mngmt)</v>
      </c>
      <c r="E27" s="46">
        <f>TableMCPROJM1.5[[#This Row],[Credit Points]]</f>
        <v>300</v>
      </c>
      <c r="F27">
        <v>1</v>
      </c>
      <c r="G27" t="s">
        <v>185</v>
      </c>
      <c r="H27">
        <v>1</v>
      </c>
      <c r="I27" t="s">
        <v>173</v>
      </c>
      <c r="J27" t="s">
        <v>117</v>
      </c>
      <c r="K27">
        <v>2</v>
      </c>
      <c r="L27" t="s">
        <v>116</v>
      </c>
      <c r="M27">
        <v>300</v>
      </c>
      <c r="N27" s="40">
        <v>44562</v>
      </c>
      <c r="O27" s="40"/>
      <c r="Q27" t="s">
        <v>117</v>
      </c>
      <c r="R27">
        <v>2</v>
      </c>
    </row>
    <row r="28" spans="1:18" x14ac:dyDescent="0.25">
      <c r="B28"/>
      <c r="E28"/>
      <c r="F28" s="48"/>
      <c r="G28" s="49" t="s">
        <v>154</v>
      </c>
      <c r="H28" s="187">
        <v>44562</v>
      </c>
      <c r="I28" s="48"/>
      <c r="J28" s="188" t="s">
        <v>113</v>
      </c>
      <c r="K28" s="189" t="s">
        <v>114</v>
      </c>
      <c r="L28" s="48" t="s">
        <v>112</v>
      </c>
      <c r="M28" s="48"/>
      <c r="N28" s="61" t="s">
        <v>155</v>
      </c>
      <c r="O28" s="55">
        <v>45559</v>
      </c>
    </row>
    <row r="29" spans="1:18" x14ac:dyDescent="0.25">
      <c r="A29" t="s">
        <v>0</v>
      </c>
      <c r="B29" s="3" t="s">
        <v>156</v>
      </c>
      <c r="C29" t="s">
        <v>157</v>
      </c>
      <c r="D29" t="s">
        <v>3</v>
      </c>
      <c r="E29" s="46" t="s">
        <v>158</v>
      </c>
      <c r="F29" t="s">
        <v>159</v>
      </c>
      <c r="G29" t="s">
        <v>160</v>
      </c>
      <c r="H29" t="s">
        <v>161</v>
      </c>
      <c r="I29" t="s">
        <v>19</v>
      </c>
      <c r="J29" t="s">
        <v>162</v>
      </c>
      <c r="K29" t="s">
        <v>1</v>
      </c>
      <c r="L29" t="s">
        <v>163</v>
      </c>
      <c r="M29" t="s">
        <v>62</v>
      </c>
      <c r="N29" t="s">
        <v>164</v>
      </c>
      <c r="O29" t="s">
        <v>165</v>
      </c>
      <c r="Q29" t="s">
        <v>166</v>
      </c>
      <c r="R29" t="s">
        <v>1</v>
      </c>
    </row>
    <row r="30" spans="1:18" x14ac:dyDescent="0.25">
      <c r="A30" t="str">
        <f>TableSTRPPROFL1.5[[#This Row],[Study Package Code]]</f>
        <v>PRJM6025</v>
      </c>
      <c r="B30" s="3">
        <f>TableSTRPPROFL1.5[[#This Row],[Ver]]</f>
        <v>1</v>
      </c>
      <c r="D30" t="str">
        <f>TableSTRPPROFL1.5[[#This Row],[Structure Line]]</f>
        <v>Agile Management</v>
      </c>
      <c r="E30" s="46">
        <f>TableSTRPPROFL1.5[[#This Row],[Credit Points]]</f>
        <v>25</v>
      </c>
      <c r="F30">
        <v>1</v>
      </c>
      <c r="G30" t="s">
        <v>167</v>
      </c>
      <c r="H30">
        <v>1</v>
      </c>
      <c r="I30" t="s">
        <v>173</v>
      </c>
      <c r="J30" t="s">
        <v>86</v>
      </c>
      <c r="K30">
        <v>1</v>
      </c>
      <c r="L30" t="s">
        <v>152</v>
      </c>
      <c r="M30">
        <v>25</v>
      </c>
      <c r="N30" s="40">
        <v>44562</v>
      </c>
      <c r="O30" s="40"/>
      <c r="Q30" t="s">
        <v>86</v>
      </c>
      <c r="R30">
        <v>1</v>
      </c>
    </row>
    <row r="31" spans="1:18" x14ac:dyDescent="0.25">
      <c r="A31" t="str">
        <f>TableSTRPPROFL1.5[[#This Row],[Study Package Code]]</f>
        <v>PRJM6005</v>
      </c>
      <c r="B31" s="3">
        <f>TableSTRPPROFL1.5[[#This Row],[Ver]]</f>
        <v>1</v>
      </c>
      <c r="D31" t="str">
        <f>TableSTRPPROFL1.5[[#This Row],[Structure Line]]</f>
        <v>Program and Portfolio Management</v>
      </c>
      <c r="E31" s="46">
        <f>TableSTRPPROFL1.5[[#This Row],[Credit Points]]</f>
        <v>25</v>
      </c>
      <c r="F31">
        <v>2</v>
      </c>
      <c r="G31" t="s">
        <v>167</v>
      </c>
      <c r="H31">
        <v>1</v>
      </c>
      <c r="I31" t="s">
        <v>173</v>
      </c>
      <c r="J31" t="s">
        <v>77</v>
      </c>
      <c r="K31">
        <v>1</v>
      </c>
      <c r="L31" t="s">
        <v>147</v>
      </c>
      <c r="M31">
        <v>25</v>
      </c>
      <c r="N31" s="40">
        <v>42005</v>
      </c>
      <c r="O31" s="40"/>
      <c r="Q31" t="s">
        <v>77</v>
      </c>
      <c r="R31">
        <v>1</v>
      </c>
    </row>
    <row r="32" spans="1:18" x14ac:dyDescent="0.25">
      <c r="A32" t="str">
        <f>TableSTRPPROFL1.5[[#This Row],[Study Package Code]]</f>
        <v>PRJM6010</v>
      </c>
      <c r="B32" s="3">
        <f>TableSTRPPROFL1.5[[#This Row],[Ver]]</f>
        <v>1</v>
      </c>
      <c r="D32" t="str">
        <f>TableSTRPPROFL1.5[[#This Row],[Structure Line]]</f>
        <v>Project and People</v>
      </c>
      <c r="E32" s="46">
        <f>TableSTRPPROFL1.5[[#This Row],[Credit Points]]</f>
        <v>25</v>
      </c>
      <c r="F32">
        <v>3</v>
      </c>
      <c r="G32" t="s">
        <v>167</v>
      </c>
      <c r="H32">
        <v>1</v>
      </c>
      <c r="I32" t="s">
        <v>173</v>
      </c>
      <c r="J32" t="s">
        <v>65</v>
      </c>
      <c r="K32">
        <v>1</v>
      </c>
      <c r="L32" t="s">
        <v>149</v>
      </c>
      <c r="M32">
        <v>25</v>
      </c>
      <c r="N32" s="40">
        <v>42005</v>
      </c>
      <c r="O32" s="40"/>
      <c r="Q32" t="s">
        <v>65</v>
      </c>
      <c r="R32">
        <v>1</v>
      </c>
    </row>
    <row r="33" spans="1:18" x14ac:dyDescent="0.25">
      <c r="A33" t="str">
        <f>TableSTRPPROFL1.5[[#This Row],[Study Package Code]]</f>
        <v>PRJM6001</v>
      </c>
      <c r="B33" s="3">
        <f>TableSTRPPROFL1.5[[#This Row],[Ver]]</f>
        <v>1</v>
      </c>
      <c r="D33" t="str">
        <f>TableSTRPPROFL1.5[[#This Row],[Structure Line]]</f>
        <v>Project Cost Management</v>
      </c>
      <c r="E33" s="46">
        <f>TableSTRPPROFL1.5[[#This Row],[Credit Points]]</f>
        <v>25</v>
      </c>
      <c r="F33">
        <v>4</v>
      </c>
      <c r="G33" t="s">
        <v>167</v>
      </c>
      <c r="H33">
        <v>1</v>
      </c>
      <c r="I33" t="s">
        <v>173</v>
      </c>
      <c r="J33" t="s">
        <v>56</v>
      </c>
      <c r="K33">
        <v>1</v>
      </c>
      <c r="L33" t="s">
        <v>143</v>
      </c>
      <c r="M33">
        <v>25</v>
      </c>
      <c r="N33" s="40">
        <v>42005</v>
      </c>
      <c r="O33" s="40"/>
      <c r="Q33" t="s">
        <v>56</v>
      </c>
      <c r="R33">
        <v>1</v>
      </c>
    </row>
    <row r="34" spans="1:18" x14ac:dyDescent="0.25">
      <c r="A34" t="str">
        <f>TableSTRPPROFL1.5[[#This Row],[Study Package Code]]</f>
        <v>PRJM6000</v>
      </c>
      <c r="B34" s="3">
        <f>TableSTRPPROFL1.5[[#This Row],[Ver]]</f>
        <v>1</v>
      </c>
      <c r="D34" t="str">
        <f>TableSTRPPROFL1.5[[#This Row],[Structure Line]]</f>
        <v>Project Management Overview</v>
      </c>
      <c r="E34" s="46">
        <f>TableSTRPPROFL1.5[[#This Row],[Credit Points]]</f>
        <v>25</v>
      </c>
      <c r="F34">
        <v>5</v>
      </c>
      <c r="G34" t="s">
        <v>167</v>
      </c>
      <c r="H34">
        <v>1</v>
      </c>
      <c r="I34" t="s">
        <v>173</v>
      </c>
      <c r="J34" t="s">
        <v>53</v>
      </c>
      <c r="K34">
        <v>1</v>
      </c>
      <c r="L34" t="s">
        <v>142</v>
      </c>
      <c r="M34">
        <v>25</v>
      </c>
      <c r="N34" s="40">
        <v>42005</v>
      </c>
      <c r="O34" s="40"/>
      <c r="Q34" t="s">
        <v>53</v>
      </c>
      <c r="R34">
        <v>1</v>
      </c>
    </row>
    <row r="35" spans="1:18" x14ac:dyDescent="0.25">
      <c r="A35" t="str">
        <f>TableSTRPPROFL1.5[[#This Row],[Study Package Code]]</f>
        <v>PRJM6004</v>
      </c>
      <c r="B35" s="3">
        <f>TableSTRPPROFL1.5[[#This Row],[Ver]]</f>
        <v>1</v>
      </c>
      <c r="D35" t="str">
        <f>TableSTRPPROFL1.5[[#This Row],[Structure Line]]</f>
        <v>Project Procurement Management</v>
      </c>
      <c r="E35" s="46">
        <f>TableSTRPPROFL1.5[[#This Row],[Credit Points]]</f>
        <v>25</v>
      </c>
      <c r="F35">
        <v>6</v>
      </c>
      <c r="G35" t="s">
        <v>167</v>
      </c>
      <c r="H35">
        <v>1</v>
      </c>
      <c r="I35" t="s">
        <v>173</v>
      </c>
      <c r="J35" t="s">
        <v>82</v>
      </c>
      <c r="K35">
        <v>1</v>
      </c>
      <c r="L35" t="s">
        <v>146</v>
      </c>
      <c r="M35">
        <v>25</v>
      </c>
      <c r="N35" s="40">
        <v>42005</v>
      </c>
      <c r="O35" s="40"/>
      <c r="Q35" t="s">
        <v>82</v>
      </c>
      <c r="R35">
        <v>1</v>
      </c>
    </row>
    <row r="36" spans="1:18" x14ac:dyDescent="0.25">
      <c r="A36" t="str">
        <f>TableSTRPPROFL1.5[[#This Row],[Study Package Code]]</f>
        <v>PRJM6003</v>
      </c>
      <c r="B36" s="3">
        <f>TableSTRPPROFL1.5[[#This Row],[Ver]]</f>
        <v>1</v>
      </c>
      <c r="D36" t="str">
        <f>TableSTRPPROFL1.5[[#This Row],[Structure Line]]</f>
        <v>Project Risk Management</v>
      </c>
      <c r="E36" s="46">
        <f>TableSTRPPROFL1.5[[#This Row],[Credit Points]]</f>
        <v>25</v>
      </c>
      <c r="F36">
        <v>7</v>
      </c>
      <c r="G36" t="s">
        <v>167</v>
      </c>
      <c r="H36">
        <v>1</v>
      </c>
      <c r="I36" t="s">
        <v>173</v>
      </c>
      <c r="J36" t="s">
        <v>76</v>
      </c>
      <c r="K36">
        <v>1</v>
      </c>
      <c r="L36" t="s">
        <v>145</v>
      </c>
      <c r="M36">
        <v>25</v>
      </c>
      <c r="N36" s="40">
        <v>42005</v>
      </c>
      <c r="O36" s="40"/>
      <c r="Q36" t="s">
        <v>76</v>
      </c>
      <c r="R36">
        <v>1</v>
      </c>
    </row>
    <row r="37" spans="1:18" x14ac:dyDescent="0.25">
      <c r="A37" t="str">
        <f>TableSTRPPROFL1.5[[#This Row],[Study Package Code]]</f>
        <v>PRJM6002</v>
      </c>
      <c r="B37" s="3">
        <f>TableSTRPPROFL1.5[[#This Row],[Ver]]</f>
        <v>2</v>
      </c>
      <c r="D37" t="str">
        <f>TableSTRPPROFL1.5[[#This Row],[Structure Line]]</f>
        <v>Project Planning and Schedule Management</v>
      </c>
      <c r="E37" s="46">
        <f>TableSTRPPROFL1.5[[#This Row],[Credit Points]]</f>
        <v>25</v>
      </c>
      <c r="F37">
        <v>8</v>
      </c>
      <c r="G37" t="s">
        <v>167</v>
      </c>
      <c r="H37">
        <v>1</v>
      </c>
      <c r="I37" t="s">
        <v>173</v>
      </c>
      <c r="J37" t="s">
        <v>64</v>
      </c>
      <c r="K37">
        <v>2</v>
      </c>
      <c r="L37" t="s">
        <v>144</v>
      </c>
      <c r="M37">
        <v>25</v>
      </c>
      <c r="N37" s="40">
        <v>45292</v>
      </c>
      <c r="O37" s="40"/>
      <c r="Q37" t="s">
        <v>64</v>
      </c>
      <c r="R37">
        <v>2</v>
      </c>
    </row>
    <row r="38" spans="1:18" x14ac:dyDescent="0.25">
      <c r="A38" t="str">
        <f>TableSTRPPROFL1.5[[#This Row],[Study Package Code]]</f>
        <v>URDE6006</v>
      </c>
      <c r="B38" s="3">
        <f>TableSTRPPROFL1.5[[#This Row],[Ver]]</f>
        <v>1</v>
      </c>
      <c r="D38" t="str">
        <f>TableSTRPPROFL1.5[[#This Row],[Structure Line]]</f>
        <v>Design and Built Environment Research Methods</v>
      </c>
      <c r="E38" s="46">
        <f>TableSTRPPROFL1.5[[#This Row],[Credit Points]]</f>
        <v>25</v>
      </c>
      <c r="F38">
        <v>9</v>
      </c>
      <c r="G38" t="s">
        <v>167</v>
      </c>
      <c r="H38">
        <v>2</v>
      </c>
      <c r="I38" t="s">
        <v>173</v>
      </c>
      <c r="J38" t="s">
        <v>85</v>
      </c>
      <c r="K38">
        <v>1</v>
      </c>
      <c r="L38" t="s">
        <v>153</v>
      </c>
      <c r="M38">
        <v>25</v>
      </c>
      <c r="N38" s="40">
        <v>44562</v>
      </c>
      <c r="O38" s="40"/>
      <c r="Q38" t="s">
        <v>85</v>
      </c>
      <c r="R38">
        <v>1</v>
      </c>
    </row>
    <row r="39" spans="1:18" x14ac:dyDescent="0.25">
      <c r="A39" t="str">
        <f>TableSTRPPROFL1.5[[#This Row],[Study Package Code]]</f>
        <v>PRJM6009</v>
      </c>
      <c r="B39" s="3">
        <f>TableSTRPPROFL1.5[[#This Row],[Ver]]</f>
        <v>2</v>
      </c>
      <c r="D39" t="str">
        <f>TableSTRPPROFL1.5[[#This Row],[Structure Line]]</f>
        <v>Project Management Integrated Project</v>
      </c>
      <c r="E39" s="46">
        <f>TableSTRPPROFL1.5[[#This Row],[Credit Points]]</f>
        <v>50</v>
      </c>
      <c r="F39">
        <v>10</v>
      </c>
      <c r="G39" t="s">
        <v>167</v>
      </c>
      <c r="H39">
        <v>2</v>
      </c>
      <c r="I39" t="s">
        <v>173</v>
      </c>
      <c r="J39" t="s">
        <v>97</v>
      </c>
      <c r="K39">
        <v>2</v>
      </c>
      <c r="L39" t="s">
        <v>148</v>
      </c>
      <c r="M39">
        <v>50</v>
      </c>
      <c r="N39" s="40">
        <v>42736</v>
      </c>
      <c r="O39" s="40"/>
      <c r="Q39" t="s">
        <v>97</v>
      </c>
      <c r="R39">
        <v>2</v>
      </c>
    </row>
    <row r="40" spans="1:18" x14ac:dyDescent="0.25">
      <c r="A40" t="str">
        <f>TableSTRPPROFL1.5[[#This Row],[Study Package Code]]</f>
        <v>Elective</v>
      </c>
      <c r="B40" s="3">
        <f>TableSTRPPROFL1.5[[#This Row],[Ver]]</f>
        <v>0</v>
      </c>
      <c r="D40" t="str">
        <f>TableSTRPPROFL1.5[[#This Row],[Structure Line]]</f>
        <v>Choose Electives</v>
      </c>
      <c r="E40" s="46">
        <f>TableSTRPPROFL1.5[[#This Row],[Credit Points]]</f>
        <v>25</v>
      </c>
      <c r="F40">
        <v>11</v>
      </c>
      <c r="G40" t="s">
        <v>71</v>
      </c>
      <c r="H40">
        <v>2</v>
      </c>
      <c r="I40" t="s">
        <v>168</v>
      </c>
      <c r="J40" t="s">
        <v>71</v>
      </c>
      <c r="K40">
        <v>0</v>
      </c>
      <c r="L40" t="s">
        <v>176</v>
      </c>
      <c r="M40">
        <v>25</v>
      </c>
      <c r="N40" s="40"/>
      <c r="O40" s="40"/>
      <c r="Q40" t="s">
        <v>71</v>
      </c>
      <c r="R40">
        <v>0</v>
      </c>
    </row>
    <row r="41" spans="1:18" x14ac:dyDescent="0.25">
      <c r="B41"/>
      <c r="E41"/>
      <c r="F41" s="48"/>
      <c r="G41" s="49" t="s">
        <v>154</v>
      </c>
      <c r="H41" s="187">
        <v>44562</v>
      </c>
      <c r="I41" s="48"/>
      <c r="J41" s="188" t="s">
        <v>117</v>
      </c>
      <c r="K41" s="189" t="s">
        <v>114</v>
      </c>
      <c r="L41" s="48" t="s">
        <v>116</v>
      </c>
      <c r="M41" s="48"/>
      <c r="N41" s="61" t="s">
        <v>155</v>
      </c>
      <c r="O41" s="55">
        <v>45559</v>
      </c>
    </row>
    <row r="42" spans="1:18" x14ac:dyDescent="0.25">
      <c r="A42" t="s">
        <v>0</v>
      </c>
      <c r="B42" s="3" t="s">
        <v>156</v>
      </c>
      <c r="C42" t="s">
        <v>157</v>
      </c>
      <c r="D42" t="s">
        <v>3</v>
      </c>
      <c r="E42" s="46" t="s">
        <v>158</v>
      </c>
      <c r="F42" t="s">
        <v>159</v>
      </c>
      <c r="G42" t="s">
        <v>160</v>
      </c>
      <c r="H42" t="s">
        <v>161</v>
      </c>
      <c r="I42" t="s">
        <v>19</v>
      </c>
      <c r="J42" t="s">
        <v>162</v>
      </c>
      <c r="K42" t="s">
        <v>1</v>
      </c>
      <c r="L42" t="s">
        <v>163</v>
      </c>
      <c r="M42" t="s">
        <v>62</v>
      </c>
      <c r="N42" t="s">
        <v>164</v>
      </c>
      <c r="O42" t="s">
        <v>165</v>
      </c>
      <c r="Q42" t="s">
        <v>166</v>
      </c>
      <c r="R42" t="s">
        <v>1</v>
      </c>
    </row>
    <row r="43" spans="1:18" x14ac:dyDescent="0.25">
      <c r="A43" t="str">
        <f>TableSTRPRESCH1.5[[#This Row],[Study Package Code]]</f>
        <v>PRJM6000</v>
      </c>
      <c r="B43" s="3">
        <f>TableSTRPRESCH1.5[[#This Row],[Ver]]</f>
        <v>1</v>
      </c>
      <c r="D43" t="str">
        <f>TableSTRPRESCH1.5[[#This Row],[Structure Line]]</f>
        <v>Project Management Overview</v>
      </c>
      <c r="E43" s="46">
        <f>TableSTRPRESCH1.5[[#This Row],[Credit Points]]</f>
        <v>25</v>
      </c>
      <c r="F43">
        <v>1</v>
      </c>
      <c r="G43" t="s">
        <v>167</v>
      </c>
      <c r="H43">
        <v>1</v>
      </c>
      <c r="I43" t="s">
        <v>168</v>
      </c>
      <c r="J43" t="s">
        <v>53</v>
      </c>
      <c r="K43">
        <v>1</v>
      </c>
      <c r="L43" t="s">
        <v>142</v>
      </c>
      <c r="M43">
        <v>25</v>
      </c>
      <c r="N43" s="40">
        <v>42005</v>
      </c>
      <c r="O43" s="40"/>
      <c r="Q43" t="s">
        <v>53</v>
      </c>
      <c r="R43">
        <v>1</v>
      </c>
    </row>
    <row r="44" spans="1:18" x14ac:dyDescent="0.25">
      <c r="A44" t="str">
        <f>TableSTRPRESCH1.5[[#This Row],[Study Package Code]]</f>
        <v>PRJM6010</v>
      </c>
      <c r="B44" s="3">
        <f>TableSTRPRESCH1.5[[#This Row],[Ver]]</f>
        <v>1</v>
      </c>
      <c r="D44" t="str">
        <f>TableSTRPRESCH1.5[[#This Row],[Structure Line]]</f>
        <v>Project and People</v>
      </c>
      <c r="E44" s="46">
        <f>TableSTRPRESCH1.5[[#This Row],[Credit Points]]</f>
        <v>25</v>
      </c>
      <c r="F44">
        <v>2</v>
      </c>
      <c r="G44" t="s">
        <v>167</v>
      </c>
      <c r="H44">
        <v>1</v>
      </c>
      <c r="I44" t="s">
        <v>168</v>
      </c>
      <c r="J44" t="s">
        <v>65</v>
      </c>
      <c r="K44">
        <v>1</v>
      </c>
      <c r="L44" t="s">
        <v>149</v>
      </c>
      <c r="M44">
        <v>25</v>
      </c>
      <c r="N44" s="40">
        <v>42005</v>
      </c>
      <c r="O44" s="40"/>
      <c r="Q44" t="s">
        <v>65</v>
      </c>
      <c r="R44">
        <v>1</v>
      </c>
    </row>
    <row r="45" spans="1:18" x14ac:dyDescent="0.25">
      <c r="A45" t="str">
        <f>TableSTRPRESCH1.5[[#This Row],[Study Package Code]]</f>
        <v>PRJM6002</v>
      </c>
      <c r="B45" s="3">
        <f>TableSTRPRESCH1.5[[#This Row],[Ver]]</f>
        <v>2</v>
      </c>
      <c r="D45" t="str">
        <f>TableSTRPRESCH1.5[[#This Row],[Structure Line]]</f>
        <v>Project Planning and Schedule Management</v>
      </c>
      <c r="E45" s="46">
        <f>TableSTRPRESCH1.5[[#This Row],[Credit Points]]</f>
        <v>25</v>
      </c>
      <c r="F45">
        <v>3</v>
      </c>
      <c r="G45" t="s">
        <v>167</v>
      </c>
      <c r="H45">
        <v>1</v>
      </c>
      <c r="I45" t="s">
        <v>168</v>
      </c>
      <c r="J45" t="s">
        <v>64</v>
      </c>
      <c r="K45">
        <v>2</v>
      </c>
      <c r="L45" t="s">
        <v>144</v>
      </c>
      <c r="M45">
        <v>25</v>
      </c>
      <c r="N45" s="40">
        <v>45292</v>
      </c>
      <c r="O45" s="40"/>
      <c r="Q45" t="s">
        <v>64</v>
      </c>
      <c r="R45">
        <v>2</v>
      </c>
    </row>
    <row r="46" spans="1:18" x14ac:dyDescent="0.25">
      <c r="A46" t="str">
        <f>TableSTRPRESCH1.5[[#This Row],[Study Package Code]]</f>
        <v>PRJM6001</v>
      </c>
      <c r="B46" s="3">
        <f>TableSTRPRESCH1.5[[#This Row],[Ver]]</f>
        <v>1</v>
      </c>
      <c r="D46" t="str">
        <f>TableSTRPRESCH1.5[[#This Row],[Structure Line]]</f>
        <v>Project Cost Management</v>
      </c>
      <c r="E46" s="46">
        <f>TableSTRPRESCH1.5[[#This Row],[Credit Points]]</f>
        <v>25</v>
      </c>
      <c r="F46">
        <v>4</v>
      </c>
      <c r="G46" t="s">
        <v>167</v>
      </c>
      <c r="H46">
        <v>1</v>
      </c>
      <c r="I46" t="s">
        <v>168</v>
      </c>
      <c r="J46" t="s">
        <v>56</v>
      </c>
      <c r="K46">
        <v>1</v>
      </c>
      <c r="L46" t="s">
        <v>143</v>
      </c>
      <c r="M46">
        <v>25</v>
      </c>
      <c r="N46" s="40">
        <v>42005</v>
      </c>
      <c r="O46" s="40"/>
      <c r="Q46" t="s">
        <v>56</v>
      </c>
      <c r="R46">
        <v>1</v>
      </c>
    </row>
    <row r="47" spans="1:18" x14ac:dyDescent="0.25">
      <c r="A47" t="str">
        <f>TableSTRPRESCH1.5[[#This Row],[Study Package Code]]</f>
        <v>PRJM6005</v>
      </c>
      <c r="B47" s="3">
        <f>TableSTRPRESCH1.5[[#This Row],[Ver]]</f>
        <v>1</v>
      </c>
      <c r="D47" t="str">
        <f>TableSTRPRESCH1.5[[#This Row],[Structure Line]]</f>
        <v>Program and Portfolio Management</v>
      </c>
      <c r="E47" s="46">
        <f>TableSTRPRESCH1.5[[#This Row],[Credit Points]]</f>
        <v>25</v>
      </c>
      <c r="F47">
        <v>5</v>
      </c>
      <c r="G47" t="s">
        <v>167</v>
      </c>
      <c r="H47">
        <v>1</v>
      </c>
      <c r="I47" t="s">
        <v>169</v>
      </c>
      <c r="J47" t="s">
        <v>77</v>
      </c>
      <c r="K47">
        <v>1</v>
      </c>
      <c r="L47" t="s">
        <v>147</v>
      </c>
      <c r="M47">
        <v>25</v>
      </c>
      <c r="N47" s="40">
        <v>42005</v>
      </c>
      <c r="O47" s="40"/>
      <c r="Q47" t="s">
        <v>77</v>
      </c>
      <c r="R47">
        <v>1</v>
      </c>
    </row>
    <row r="48" spans="1:18" x14ac:dyDescent="0.25">
      <c r="A48" t="str">
        <f>TableSTRPRESCH1.5[[#This Row],[Study Package Code]]</f>
        <v>PRJM6004</v>
      </c>
      <c r="B48" s="3">
        <f>TableSTRPRESCH1.5[[#This Row],[Ver]]</f>
        <v>1</v>
      </c>
      <c r="D48" t="str">
        <f>TableSTRPRESCH1.5[[#This Row],[Structure Line]]</f>
        <v>Project Procurement Management</v>
      </c>
      <c r="E48" s="46">
        <f>TableSTRPRESCH1.5[[#This Row],[Credit Points]]</f>
        <v>25</v>
      </c>
      <c r="F48">
        <v>6</v>
      </c>
      <c r="G48" t="s">
        <v>167</v>
      </c>
      <c r="H48">
        <v>1</v>
      </c>
      <c r="I48" t="s">
        <v>169</v>
      </c>
      <c r="J48" t="s">
        <v>82</v>
      </c>
      <c r="K48">
        <v>1</v>
      </c>
      <c r="L48" t="s">
        <v>146</v>
      </c>
      <c r="M48">
        <v>25</v>
      </c>
      <c r="N48" s="40">
        <v>42005</v>
      </c>
      <c r="O48" s="40"/>
      <c r="Q48" t="s">
        <v>82</v>
      </c>
      <c r="R48">
        <v>1</v>
      </c>
    </row>
    <row r="49" spans="1:18" x14ac:dyDescent="0.25">
      <c r="A49" t="str">
        <f>TableSTRPRESCH1.5[[#This Row],[Study Package Code]]</f>
        <v>PRJM6003</v>
      </c>
      <c r="B49" s="3">
        <f>TableSTRPRESCH1.5[[#This Row],[Ver]]</f>
        <v>1</v>
      </c>
      <c r="D49" t="str">
        <f>TableSTRPRESCH1.5[[#This Row],[Structure Line]]</f>
        <v>Project Risk Management</v>
      </c>
      <c r="E49" s="46">
        <f>TableSTRPRESCH1.5[[#This Row],[Credit Points]]</f>
        <v>25</v>
      </c>
      <c r="F49">
        <v>7</v>
      </c>
      <c r="G49" t="s">
        <v>167</v>
      </c>
      <c r="H49">
        <v>1</v>
      </c>
      <c r="I49" t="s">
        <v>169</v>
      </c>
      <c r="J49" t="s">
        <v>76</v>
      </c>
      <c r="K49">
        <v>1</v>
      </c>
      <c r="L49" t="s">
        <v>145</v>
      </c>
      <c r="M49">
        <v>25</v>
      </c>
      <c r="N49" s="40">
        <v>42005</v>
      </c>
      <c r="O49" s="40"/>
      <c r="Q49" t="s">
        <v>76</v>
      </c>
      <c r="R49">
        <v>1</v>
      </c>
    </row>
    <row r="50" spans="1:18" x14ac:dyDescent="0.25">
      <c r="A50" t="str">
        <f>TableSTRPRESCH1.5[[#This Row],[Study Package Code]]</f>
        <v>PRJM6025</v>
      </c>
      <c r="B50" s="3">
        <f>TableSTRPRESCH1.5[[#This Row],[Ver]]</f>
        <v>1</v>
      </c>
      <c r="D50" t="str">
        <f>TableSTRPRESCH1.5[[#This Row],[Structure Line]]</f>
        <v>Agile Management</v>
      </c>
      <c r="E50" s="46">
        <f>TableSTRPRESCH1.5[[#This Row],[Credit Points]]</f>
        <v>25</v>
      </c>
      <c r="F50">
        <v>8</v>
      </c>
      <c r="G50" t="s">
        <v>167</v>
      </c>
      <c r="H50">
        <v>1</v>
      </c>
      <c r="I50" t="s">
        <v>169</v>
      </c>
      <c r="J50" t="s">
        <v>86</v>
      </c>
      <c r="K50">
        <v>1</v>
      </c>
      <c r="L50" t="s">
        <v>152</v>
      </c>
      <c r="M50">
        <v>25</v>
      </c>
      <c r="N50" s="40">
        <v>44562</v>
      </c>
      <c r="O50" s="40"/>
      <c r="Q50" t="s">
        <v>86</v>
      </c>
      <c r="R50">
        <v>1</v>
      </c>
    </row>
    <row r="51" spans="1:18" x14ac:dyDescent="0.25">
      <c r="A51" t="str">
        <f>TableSTRPRESCH1.5[[#This Row],[Study Package Code]]</f>
        <v>URDE6006</v>
      </c>
      <c r="B51" s="3">
        <f>TableSTRPRESCH1.5[[#This Row],[Ver]]</f>
        <v>1</v>
      </c>
      <c r="D51" t="str">
        <f>TableSTRPRESCH1.5[[#This Row],[Structure Line]]</f>
        <v>Design and Built Environment Research Methods</v>
      </c>
      <c r="E51" s="46">
        <f>TableSTRPRESCH1.5[[#This Row],[Credit Points]]</f>
        <v>25</v>
      </c>
      <c r="F51">
        <v>9</v>
      </c>
      <c r="G51" t="s">
        <v>167</v>
      </c>
      <c r="H51">
        <v>2</v>
      </c>
      <c r="I51" t="s">
        <v>168</v>
      </c>
      <c r="J51" t="s">
        <v>85</v>
      </c>
      <c r="K51">
        <v>1</v>
      </c>
      <c r="L51" t="s">
        <v>153</v>
      </c>
      <c r="M51">
        <v>25</v>
      </c>
      <c r="N51" s="40">
        <v>44562</v>
      </c>
      <c r="O51" s="40"/>
      <c r="Q51" t="s">
        <v>85</v>
      </c>
      <c r="R51">
        <v>1</v>
      </c>
    </row>
    <row r="52" spans="1:18" x14ac:dyDescent="0.25">
      <c r="A52" t="str">
        <f>TableSTRPRESCH1.5[[#This Row],[Study Package Code]]</f>
        <v>PRJM6009</v>
      </c>
      <c r="B52" s="3">
        <f>TableSTRPRESCH1.5[[#This Row],[Ver]]</f>
        <v>2</v>
      </c>
      <c r="D52" t="str">
        <f>TableSTRPRESCH1.5[[#This Row],[Structure Line]]</f>
        <v>Project Management Integrated Project</v>
      </c>
      <c r="E52" s="46">
        <f>TableSTRPRESCH1.5[[#This Row],[Credit Points]]</f>
        <v>50</v>
      </c>
      <c r="F52">
        <v>10</v>
      </c>
      <c r="G52" t="s">
        <v>167</v>
      </c>
      <c r="H52">
        <v>2</v>
      </c>
      <c r="I52" t="s">
        <v>168</v>
      </c>
      <c r="J52" t="s">
        <v>97</v>
      </c>
      <c r="K52">
        <v>2</v>
      </c>
      <c r="L52" t="s">
        <v>148</v>
      </c>
      <c r="M52">
        <v>50</v>
      </c>
      <c r="N52" s="40">
        <v>42736</v>
      </c>
      <c r="O52" s="40"/>
      <c r="Q52" t="s">
        <v>97</v>
      </c>
      <c r="R52">
        <v>2</v>
      </c>
    </row>
    <row r="53" spans="1:18" x14ac:dyDescent="0.25">
      <c r="A53" t="str">
        <f>TableSTRPRESCH1.5[[#This Row],[Study Package Code]]</f>
        <v>PRJM6012</v>
      </c>
      <c r="B53" s="3">
        <f>TableSTRPRESCH1.5[[#This Row],[Ver]]</f>
        <v>2</v>
      </c>
      <c r="D53" t="str">
        <f>TableSTRPRESCH1.5[[#This Row],[Structure Line]]</f>
        <v>Project Management Dissertation</v>
      </c>
      <c r="E53" s="46">
        <f>TableSTRPRESCH1.5[[#This Row],[Credit Points]]</f>
        <v>25</v>
      </c>
      <c r="F53">
        <v>11</v>
      </c>
      <c r="G53" t="s">
        <v>167</v>
      </c>
      <c r="H53">
        <v>2</v>
      </c>
      <c r="I53" t="s">
        <v>168</v>
      </c>
      <c r="J53" t="s">
        <v>92</v>
      </c>
      <c r="K53">
        <v>2</v>
      </c>
      <c r="L53" t="s">
        <v>150</v>
      </c>
      <c r="M53">
        <v>25</v>
      </c>
      <c r="N53" s="40">
        <v>44562</v>
      </c>
      <c r="O53" s="40"/>
      <c r="Q53" t="s">
        <v>92</v>
      </c>
      <c r="R53">
        <v>2</v>
      </c>
    </row>
    <row r="56" spans="1:18" x14ac:dyDescent="0.25">
      <c r="B56"/>
      <c r="E56"/>
      <c r="F56" s="48"/>
      <c r="G56" s="49" t="s">
        <v>154</v>
      </c>
      <c r="H56" s="187">
        <v>43466</v>
      </c>
      <c r="I56" s="48"/>
      <c r="J56" s="188" t="s">
        <v>131</v>
      </c>
      <c r="K56" s="189" t="s">
        <v>68</v>
      </c>
      <c r="L56" s="48" t="s">
        <v>177</v>
      </c>
      <c r="M56" s="48"/>
      <c r="N56" s="61" t="s">
        <v>155</v>
      </c>
      <c r="O56" s="55">
        <v>45559</v>
      </c>
    </row>
    <row r="57" spans="1:18" x14ac:dyDescent="0.25">
      <c r="A57" t="s">
        <v>0</v>
      </c>
      <c r="B57" s="3" t="s">
        <v>156</v>
      </c>
      <c r="C57" t="s">
        <v>157</v>
      </c>
      <c r="D57" t="s">
        <v>3</v>
      </c>
      <c r="E57" s="46" t="s">
        <v>158</v>
      </c>
      <c r="F57" t="s">
        <v>159</v>
      </c>
      <c r="G57" t="s">
        <v>160</v>
      </c>
      <c r="H57" t="s">
        <v>161</v>
      </c>
      <c r="I57" t="s">
        <v>19</v>
      </c>
      <c r="J57" t="s">
        <v>162</v>
      </c>
      <c r="K57" t="s">
        <v>1</v>
      </c>
      <c r="L57" t="s">
        <v>163</v>
      </c>
      <c r="M57" t="s">
        <v>62</v>
      </c>
      <c r="N57" t="s">
        <v>164</v>
      </c>
      <c r="O57" t="s">
        <v>165</v>
      </c>
      <c r="Q57" t="s">
        <v>166</v>
      </c>
      <c r="R57" t="s">
        <v>1</v>
      </c>
    </row>
    <row r="58" spans="1:18" x14ac:dyDescent="0.25">
      <c r="A58" t="str">
        <f>TableMCPROJM2[[#This Row],[Study Package Code]]</f>
        <v>Stream</v>
      </c>
      <c r="B58" s="3">
        <f>TableMCPROJM2[[#This Row],[Ver]]</f>
        <v>0</v>
      </c>
      <c r="D58" t="str">
        <f>TableMCPROJM2[[#This Row],[Structure Line]]</f>
        <v>Choose a Stream</v>
      </c>
      <c r="E58" s="46">
        <f>TableMCPROJM2[[#This Row],[Credit Points]]</f>
        <v>400</v>
      </c>
      <c r="F58">
        <v>1</v>
      </c>
      <c r="G58" t="s">
        <v>170</v>
      </c>
      <c r="H58">
        <v>0</v>
      </c>
      <c r="I58" t="s">
        <v>173</v>
      </c>
      <c r="J58" t="s">
        <v>174</v>
      </c>
      <c r="K58">
        <v>0</v>
      </c>
      <c r="L58" t="s">
        <v>175</v>
      </c>
      <c r="M58">
        <v>400</v>
      </c>
      <c r="N58" s="40"/>
      <c r="O58" s="40"/>
      <c r="Q58" t="s">
        <v>174</v>
      </c>
      <c r="R58">
        <v>0</v>
      </c>
    </row>
    <row r="59" spans="1:18" x14ac:dyDescent="0.25">
      <c r="A59" t="str">
        <f>TableMCPROJM2[[#This Row],[Study Package Code]]</f>
        <v>STRP-PROF2</v>
      </c>
      <c r="B59" s="3">
        <f>TableMCPROJM2[[#This Row],[Ver]]</f>
        <v>2</v>
      </c>
      <c r="D59" t="str">
        <f>TableMCPROJM2[[#This Row],[Structure Line]]</f>
        <v>Professional Stream (Master Proj Mngmt)</v>
      </c>
      <c r="E59" s="46">
        <f>TableMCPROJM2[[#This Row],[Credit Points]]</f>
        <v>400</v>
      </c>
      <c r="F59">
        <v>1</v>
      </c>
      <c r="G59" t="s">
        <v>170</v>
      </c>
      <c r="H59">
        <v>0</v>
      </c>
      <c r="I59" t="s">
        <v>173</v>
      </c>
      <c r="J59" t="s">
        <v>120</v>
      </c>
      <c r="K59">
        <v>2</v>
      </c>
      <c r="L59" t="s">
        <v>119</v>
      </c>
      <c r="M59">
        <v>400</v>
      </c>
      <c r="N59" s="40">
        <v>44562</v>
      </c>
      <c r="O59" s="40"/>
      <c r="Q59" t="s">
        <v>120</v>
      </c>
      <c r="R59">
        <v>2</v>
      </c>
    </row>
    <row r="60" spans="1:18" x14ac:dyDescent="0.25">
      <c r="A60" t="str">
        <f>TableMCPROJM2[[#This Row],[Study Package Code]]</f>
        <v>STRP-RSCH2</v>
      </c>
      <c r="B60" s="3">
        <f>TableMCPROJM2[[#This Row],[Ver]]</f>
        <v>2</v>
      </c>
      <c r="D60" t="str">
        <f>TableMCPROJM2[[#This Row],[Structure Line]]</f>
        <v>Research Stream (Master Proj Mngmt)</v>
      </c>
      <c r="E60" s="46">
        <f>TableMCPROJM2[[#This Row],[Credit Points]]</f>
        <v>400</v>
      </c>
      <c r="F60">
        <v>1</v>
      </c>
      <c r="G60" t="s">
        <v>170</v>
      </c>
      <c r="H60">
        <v>0</v>
      </c>
      <c r="I60" t="s">
        <v>173</v>
      </c>
      <c r="J60" t="s">
        <v>123</v>
      </c>
      <c r="K60">
        <v>2</v>
      </c>
      <c r="L60" t="s">
        <v>122</v>
      </c>
      <c r="M60">
        <v>400</v>
      </c>
      <c r="N60" s="40">
        <v>44562</v>
      </c>
      <c r="O60" s="40"/>
      <c r="Q60" t="s">
        <v>123</v>
      </c>
      <c r="R60">
        <v>2</v>
      </c>
    </row>
    <row r="61" spans="1:18" x14ac:dyDescent="0.25">
      <c r="B61"/>
      <c r="E61"/>
      <c r="F61" s="48"/>
      <c r="G61" s="49" t="s">
        <v>154</v>
      </c>
      <c r="H61" s="187">
        <v>44562</v>
      </c>
      <c r="I61" s="48"/>
      <c r="J61" s="188" t="s">
        <v>120</v>
      </c>
      <c r="K61" s="189" t="s">
        <v>114</v>
      </c>
      <c r="L61" s="48" t="s">
        <v>119</v>
      </c>
      <c r="M61" s="48"/>
      <c r="N61" s="61" t="s">
        <v>155</v>
      </c>
      <c r="O61" s="55">
        <v>45559</v>
      </c>
    </row>
    <row r="62" spans="1:18" x14ac:dyDescent="0.25">
      <c r="A62" t="s">
        <v>0</v>
      </c>
      <c r="B62" s="3" t="s">
        <v>156</v>
      </c>
      <c r="C62" t="s">
        <v>157</v>
      </c>
      <c r="D62" t="s">
        <v>3</v>
      </c>
      <c r="E62" s="46" t="s">
        <v>158</v>
      </c>
      <c r="F62" t="s">
        <v>159</v>
      </c>
      <c r="G62" t="s">
        <v>160</v>
      </c>
      <c r="H62" t="s">
        <v>161</v>
      </c>
      <c r="I62" t="s">
        <v>19</v>
      </c>
      <c r="J62" t="s">
        <v>162</v>
      </c>
      <c r="K62" t="s">
        <v>1</v>
      </c>
      <c r="L62" t="s">
        <v>163</v>
      </c>
      <c r="M62" t="s">
        <v>62</v>
      </c>
      <c r="N62" t="s">
        <v>164</v>
      </c>
      <c r="O62" t="s">
        <v>165</v>
      </c>
      <c r="Q62" t="s">
        <v>166</v>
      </c>
      <c r="R62" t="s">
        <v>1</v>
      </c>
    </row>
    <row r="63" spans="1:18" x14ac:dyDescent="0.25">
      <c r="A63" t="str">
        <f>TableSTRPPROF2[[#This Row],[Study Package Code]]</f>
        <v>PRJM6001</v>
      </c>
      <c r="B63" s="3">
        <f>TableSTRPPROF2[[#This Row],[Ver]]</f>
        <v>1</v>
      </c>
      <c r="D63" t="str">
        <f>TableSTRPPROF2[[#This Row],[Structure Line]]</f>
        <v>Project Cost Management</v>
      </c>
      <c r="E63" s="46">
        <f>TableSTRPPROF2[[#This Row],[Credit Points]]</f>
        <v>25</v>
      </c>
      <c r="F63">
        <v>1</v>
      </c>
      <c r="G63" t="s">
        <v>167</v>
      </c>
      <c r="H63">
        <v>1</v>
      </c>
      <c r="I63" t="s">
        <v>173</v>
      </c>
      <c r="J63" t="s">
        <v>56</v>
      </c>
      <c r="K63">
        <v>1</v>
      </c>
      <c r="L63" t="s">
        <v>143</v>
      </c>
      <c r="M63">
        <v>25</v>
      </c>
      <c r="N63" s="40">
        <v>42005</v>
      </c>
      <c r="O63" s="40"/>
      <c r="Q63" t="s">
        <v>56</v>
      </c>
      <c r="R63">
        <v>1</v>
      </c>
    </row>
    <row r="64" spans="1:18" x14ac:dyDescent="0.25">
      <c r="A64" t="str">
        <f>TableSTRPPROF2[[#This Row],[Study Package Code]]</f>
        <v>PRJM6000</v>
      </c>
      <c r="B64" s="3">
        <f>TableSTRPPROF2[[#This Row],[Ver]]</f>
        <v>1</v>
      </c>
      <c r="D64" t="str">
        <f>TableSTRPPROF2[[#This Row],[Structure Line]]</f>
        <v>Project Management Overview</v>
      </c>
      <c r="E64" s="46">
        <f>TableSTRPPROF2[[#This Row],[Credit Points]]</f>
        <v>25</v>
      </c>
      <c r="F64">
        <v>2</v>
      </c>
      <c r="G64" t="s">
        <v>167</v>
      </c>
      <c r="H64">
        <v>1</v>
      </c>
      <c r="I64" t="s">
        <v>173</v>
      </c>
      <c r="J64" t="s">
        <v>53</v>
      </c>
      <c r="K64">
        <v>1</v>
      </c>
      <c r="L64" t="s">
        <v>142</v>
      </c>
      <c r="M64">
        <v>25</v>
      </c>
      <c r="N64" s="40">
        <v>42005</v>
      </c>
      <c r="O64" s="40"/>
      <c r="Q64" t="s">
        <v>53</v>
      </c>
      <c r="R64">
        <v>1</v>
      </c>
    </row>
    <row r="65" spans="1:18" x14ac:dyDescent="0.25">
      <c r="A65" t="str">
        <f>TableSTRPPROF2[[#This Row],[Study Package Code]]</f>
        <v>PRJM6010</v>
      </c>
      <c r="B65" s="3">
        <f>TableSTRPPROF2[[#This Row],[Ver]]</f>
        <v>1</v>
      </c>
      <c r="D65" t="str">
        <f>TableSTRPPROF2[[#This Row],[Structure Line]]</f>
        <v>Project and People</v>
      </c>
      <c r="E65" s="46">
        <f>TableSTRPPROF2[[#This Row],[Credit Points]]</f>
        <v>25</v>
      </c>
      <c r="F65">
        <v>3</v>
      </c>
      <c r="G65" t="s">
        <v>167</v>
      </c>
      <c r="H65">
        <v>1</v>
      </c>
      <c r="I65" t="s">
        <v>173</v>
      </c>
      <c r="J65" t="s">
        <v>65</v>
      </c>
      <c r="K65">
        <v>1</v>
      </c>
      <c r="L65" t="s">
        <v>149</v>
      </c>
      <c r="M65">
        <v>25</v>
      </c>
      <c r="N65" s="40">
        <v>42005</v>
      </c>
      <c r="O65" s="40"/>
      <c r="Q65" t="s">
        <v>65</v>
      </c>
      <c r="R65">
        <v>1</v>
      </c>
    </row>
    <row r="66" spans="1:18" x14ac:dyDescent="0.25">
      <c r="A66" t="str">
        <f>TableSTRPPROF2[[#This Row],[Study Package Code]]</f>
        <v>Elective</v>
      </c>
      <c r="B66" s="3">
        <f>TableSTRPPROF2[[#This Row],[Ver]]</f>
        <v>0</v>
      </c>
      <c r="D66" t="str">
        <f>TableSTRPPROF2[[#This Row],[Structure Line]]</f>
        <v>Choose an Elective for Year 1 Semester 1</v>
      </c>
      <c r="E66" s="46">
        <f>TableSTRPPROF2[[#This Row],[Credit Points]]</f>
        <v>25</v>
      </c>
      <c r="F66">
        <v>4</v>
      </c>
      <c r="G66" t="s">
        <v>71</v>
      </c>
      <c r="H66">
        <v>1</v>
      </c>
      <c r="I66" t="s">
        <v>173</v>
      </c>
      <c r="J66" t="s">
        <v>71</v>
      </c>
      <c r="K66">
        <v>0</v>
      </c>
      <c r="L66" t="s">
        <v>186</v>
      </c>
      <c r="M66">
        <v>25</v>
      </c>
      <c r="N66" s="40"/>
      <c r="O66" s="40"/>
      <c r="Q66" t="s">
        <v>71</v>
      </c>
      <c r="R66">
        <v>0</v>
      </c>
    </row>
    <row r="67" spans="1:18" x14ac:dyDescent="0.25">
      <c r="A67" t="str">
        <f>TableSTRPPROF2[[#This Row],[Study Package Code]]</f>
        <v>PRJM6004</v>
      </c>
      <c r="B67" s="3">
        <f>TableSTRPPROF2[[#This Row],[Ver]]</f>
        <v>1</v>
      </c>
      <c r="D67" t="str">
        <f>TableSTRPPROF2[[#This Row],[Structure Line]]</f>
        <v>Project Procurement Management</v>
      </c>
      <c r="E67" s="46">
        <f>TableSTRPPROF2[[#This Row],[Credit Points]]</f>
        <v>25</v>
      </c>
      <c r="F67">
        <v>5</v>
      </c>
      <c r="G67" t="s">
        <v>167</v>
      </c>
      <c r="H67">
        <v>1</v>
      </c>
      <c r="I67" t="s">
        <v>173</v>
      </c>
      <c r="J67" t="s">
        <v>82</v>
      </c>
      <c r="K67">
        <v>1</v>
      </c>
      <c r="L67" t="s">
        <v>146</v>
      </c>
      <c r="M67">
        <v>25</v>
      </c>
      <c r="N67" s="40">
        <v>42005</v>
      </c>
      <c r="O67" s="40"/>
      <c r="Q67" t="s">
        <v>82</v>
      </c>
      <c r="R67">
        <v>1</v>
      </c>
    </row>
    <row r="68" spans="1:18" x14ac:dyDescent="0.25">
      <c r="A68" t="str">
        <f>TableSTRPPROF2[[#This Row],[Study Package Code]]</f>
        <v>PRJM6002</v>
      </c>
      <c r="B68" s="3">
        <f>TableSTRPPROF2[[#This Row],[Ver]]</f>
        <v>2</v>
      </c>
      <c r="D68" t="str">
        <f>TableSTRPPROF2[[#This Row],[Structure Line]]</f>
        <v>Project Planning and Schedule Management</v>
      </c>
      <c r="E68" s="46">
        <f>TableSTRPPROF2[[#This Row],[Credit Points]]</f>
        <v>25</v>
      </c>
      <c r="F68">
        <v>6</v>
      </c>
      <c r="G68" t="s">
        <v>167</v>
      </c>
      <c r="H68">
        <v>1</v>
      </c>
      <c r="I68" t="s">
        <v>173</v>
      </c>
      <c r="J68" t="s">
        <v>64</v>
      </c>
      <c r="K68">
        <v>2</v>
      </c>
      <c r="L68" t="s">
        <v>144</v>
      </c>
      <c r="M68">
        <v>25</v>
      </c>
      <c r="N68" s="40">
        <v>45292</v>
      </c>
      <c r="O68" s="40"/>
      <c r="Q68" t="s">
        <v>64</v>
      </c>
      <c r="R68">
        <v>2</v>
      </c>
    </row>
    <row r="69" spans="1:18" x14ac:dyDescent="0.25">
      <c r="A69" t="str">
        <f>TableSTRPPROF2[[#This Row],[Study Package Code]]</f>
        <v>PRJM6005</v>
      </c>
      <c r="B69" s="3">
        <f>TableSTRPPROF2[[#This Row],[Ver]]</f>
        <v>1</v>
      </c>
      <c r="D69" t="str">
        <f>TableSTRPPROF2[[#This Row],[Structure Line]]</f>
        <v>Program and Portfolio Management</v>
      </c>
      <c r="E69" s="46">
        <f>TableSTRPPROF2[[#This Row],[Credit Points]]</f>
        <v>25</v>
      </c>
      <c r="F69">
        <v>7</v>
      </c>
      <c r="G69" t="s">
        <v>167</v>
      </c>
      <c r="H69">
        <v>1</v>
      </c>
      <c r="I69" t="s">
        <v>173</v>
      </c>
      <c r="J69" t="s">
        <v>77</v>
      </c>
      <c r="K69">
        <v>1</v>
      </c>
      <c r="L69" t="s">
        <v>147</v>
      </c>
      <c r="M69">
        <v>25</v>
      </c>
      <c r="N69" s="40">
        <v>42005</v>
      </c>
      <c r="O69" s="40"/>
      <c r="Q69" t="s">
        <v>77</v>
      </c>
      <c r="R69">
        <v>1</v>
      </c>
    </row>
    <row r="70" spans="1:18" x14ac:dyDescent="0.25">
      <c r="A70" t="str">
        <f>TableSTRPPROF2[[#This Row],[Study Package Code]]</f>
        <v>Elective</v>
      </c>
      <c r="B70" s="3">
        <f>TableSTRPPROF2[[#This Row],[Ver]]</f>
        <v>0</v>
      </c>
      <c r="D70" t="str">
        <f>TableSTRPPROF2[[#This Row],[Structure Line]]</f>
        <v>Choose an Elective for Year 1 Semester 2</v>
      </c>
      <c r="E70" s="46">
        <f>TableSTRPPROF2[[#This Row],[Credit Points]]</f>
        <v>25</v>
      </c>
      <c r="F70">
        <v>8</v>
      </c>
      <c r="G70" t="s">
        <v>71</v>
      </c>
      <c r="H70">
        <v>1</v>
      </c>
      <c r="I70" t="s">
        <v>173</v>
      </c>
      <c r="J70" t="s">
        <v>71</v>
      </c>
      <c r="K70">
        <v>0</v>
      </c>
      <c r="L70" t="s">
        <v>187</v>
      </c>
      <c r="M70">
        <v>25</v>
      </c>
      <c r="N70" s="40"/>
      <c r="O70" s="40"/>
      <c r="Q70" t="s">
        <v>71</v>
      </c>
      <c r="R70">
        <v>0</v>
      </c>
    </row>
    <row r="71" spans="1:18" x14ac:dyDescent="0.25">
      <c r="A71" t="str">
        <f>TableSTRPPROF2[[#This Row],[Study Package Code]]</f>
        <v>PRJM6025</v>
      </c>
      <c r="B71" s="3">
        <f>TableSTRPPROF2[[#This Row],[Ver]]</f>
        <v>1</v>
      </c>
      <c r="D71" t="str">
        <f>TableSTRPPROF2[[#This Row],[Structure Line]]</f>
        <v>Agile Management</v>
      </c>
      <c r="E71" s="46">
        <f>TableSTRPPROF2[[#This Row],[Credit Points]]</f>
        <v>25</v>
      </c>
      <c r="F71">
        <v>9</v>
      </c>
      <c r="G71" t="s">
        <v>167</v>
      </c>
      <c r="H71">
        <v>2</v>
      </c>
      <c r="I71" t="s">
        <v>173</v>
      </c>
      <c r="J71" t="s">
        <v>86</v>
      </c>
      <c r="K71">
        <v>1</v>
      </c>
      <c r="L71" t="s">
        <v>152</v>
      </c>
      <c r="M71">
        <v>25</v>
      </c>
      <c r="N71" s="40">
        <v>44562</v>
      </c>
      <c r="O71" s="40"/>
      <c r="Q71" t="s">
        <v>86</v>
      </c>
      <c r="R71">
        <v>1</v>
      </c>
    </row>
    <row r="72" spans="1:18" x14ac:dyDescent="0.25">
      <c r="A72" t="str">
        <f>TableSTRPPROF2[[#This Row],[Study Package Code]]</f>
        <v>PRJM6003</v>
      </c>
      <c r="B72" s="3">
        <f>TableSTRPPROF2[[#This Row],[Ver]]</f>
        <v>1</v>
      </c>
      <c r="D72" t="str">
        <f>TableSTRPPROF2[[#This Row],[Structure Line]]</f>
        <v>Project Risk Management</v>
      </c>
      <c r="E72" s="46">
        <f>TableSTRPPROF2[[#This Row],[Credit Points]]</f>
        <v>25</v>
      </c>
      <c r="F72">
        <v>10</v>
      </c>
      <c r="G72" t="s">
        <v>167</v>
      </c>
      <c r="H72">
        <v>2</v>
      </c>
      <c r="I72" t="s">
        <v>173</v>
      </c>
      <c r="J72" t="s">
        <v>76</v>
      </c>
      <c r="K72">
        <v>1</v>
      </c>
      <c r="L72" t="s">
        <v>145</v>
      </c>
      <c r="M72">
        <v>25</v>
      </c>
      <c r="N72" s="40">
        <v>42005</v>
      </c>
      <c r="O72" s="40"/>
      <c r="Q72" t="s">
        <v>76</v>
      </c>
      <c r="R72">
        <v>1</v>
      </c>
    </row>
    <row r="73" spans="1:18" x14ac:dyDescent="0.25">
      <c r="A73" t="str">
        <f>TableSTRPPROF2[[#This Row],[Study Package Code]]</f>
        <v>AC-PROJM2</v>
      </c>
      <c r="B73" s="3">
        <f>TableSTRPPROF2[[#This Row],[Ver]]</f>
        <v>0</v>
      </c>
      <c r="D73" t="str">
        <f>TableSTRPPROF2[[#This Row],[Structure Line]]</f>
        <v>Choose ACCT5021 or FNCE5008</v>
      </c>
      <c r="E73" s="46">
        <f>TableSTRPPROF2[[#This Row],[Credit Points]]</f>
        <v>25</v>
      </c>
      <c r="F73">
        <v>11</v>
      </c>
      <c r="G73" t="s">
        <v>170</v>
      </c>
      <c r="H73">
        <v>2</v>
      </c>
      <c r="I73" t="s">
        <v>168</v>
      </c>
      <c r="J73" t="s">
        <v>190</v>
      </c>
      <c r="K73">
        <v>0</v>
      </c>
      <c r="L73" t="s">
        <v>179</v>
      </c>
      <c r="M73">
        <v>25</v>
      </c>
      <c r="N73" s="40"/>
      <c r="O73" s="40"/>
      <c r="Q73" t="s">
        <v>98</v>
      </c>
      <c r="R73">
        <v>0</v>
      </c>
    </row>
    <row r="74" spans="1:18" x14ac:dyDescent="0.25">
      <c r="A74" t="str">
        <f>TableSTRPPROF2[[#This Row],[Study Package Code]]</f>
        <v>Elective</v>
      </c>
      <c r="B74" s="3">
        <f>TableSTRPPROF2[[#This Row],[Ver]]</f>
        <v>0</v>
      </c>
      <c r="D74" t="str">
        <f>TableSTRPPROF2[[#This Row],[Structure Line]]</f>
        <v>Choose an Elective for Year 2 Semester 1</v>
      </c>
      <c r="E74" s="46">
        <f>TableSTRPPROF2[[#This Row],[Credit Points]]</f>
        <v>25</v>
      </c>
      <c r="F74">
        <v>12</v>
      </c>
      <c r="G74" t="s">
        <v>71</v>
      </c>
      <c r="H74">
        <v>2</v>
      </c>
      <c r="I74" t="s">
        <v>173</v>
      </c>
      <c r="J74" t="s">
        <v>71</v>
      </c>
      <c r="K74">
        <v>0</v>
      </c>
      <c r="L74" t="s">
        <v>188</v>
      </c>
      <c r="M74">
        <v>25</v>
      </c>
      <c r="N74" s="40"/>
      <c r="O74" s="40"/>
      <c r="Q74" t="s">
        <v>71</v>
      </c>
      <c r="R74">
        <v>0</v>
      </c>
    </row>
    <row r="75" spans="1:18" x14ac:dyDescent="0.25">
      <c r="A75" t="str">
        <f>TableSTRPPROF2[[#This Row],[Study Package Code]]</f>
        <v>PRJM6009</v>
      </c>
      <c r="B75" s="3">
        <f>TableSTRPPROF2[[#This Row],[Ver]]</f>
        <v>2</v>
      </c>
      <c r="D75" t="str">
        <f>TableSTRPPROF2[[#This Row],[Structure Line]]</f>
        <v>Project Management Integrated Project</v>
      </c>
      <c r="E75" s="46">
        <f>TableSTRPPROF2[[#This Row],[Credit Points]]</f>
        <v>50</v>
      </c>
      <c r="F75">
        <v>13</v>
      </c>
      <c r="G75" t="s">
        <v>167</v>
      </c>
      <c r="H75">
        <v>2</v>
      </c>
      <c r="I75" t="s">
        <v>173</v>
      </c>
      <c r="J75" t="s">
        <v>97</v>
      </c>
      <c r="K75">
        <v>2</v>
      </c>
      <c r="L75" t="s">
        <v>148</v>
      </c>
      <c r="M75">
        <v>50</v>
      </c>
      <c r="N75" s="40">
        <v>42736</v>
      </c>
      <c r="O75" s="40"/>
      <c r="Q75" t="s">
        <v>97</v>
      </c>
      <c r="R75">
        <v>2</v>
      </c>
    </row>
    <row r="76" spans="1:18" x14ac:dyDescent="0.25">
      <c r="A76" t="str">
        <f>TableSTRPPROF2[[#This Row],[Study Package Code]]</f>
        <v>URDE6006</v>
      </c>
      <c r="B76" s="3">
        <f>TableSTRPPROF2[[#This Row],[Ver]]</f>
        <v>1</v>
      </c>
      <c r="D76" t="str">
        <f>TableSTRPPROF2[[#This Row],[Structure Line]]</f>
        <v>Design and Built Environment Research Methods</v>
      </c>
      <c r="E76" s="46">
        <f>TableSTRPPROF2[[#This Row],[Credit Points]]</f>
        <v>25</v>
      </c>
      <c r="F76">
        <v>14</v>
      </c>
      <c r="G76" t="s">
        <v>167</v>
      </c>
      <c r="H76">
        <v>2</v>
      </c>
      <c r="I76" t="s">
        <v>173</v>
      </c>
      <c r="J76" t="s">
        <v>85</v>
      </c>
      <c r="K76">
        <v>1</v>
      </c>
      <c r="L76" t="s">
        <v>153</v>
      </c>
      <c r="M76">
        <v>25</v>
      </c>
      <c r="N76" s="40">
        <v>44562</v>
      </c>
      <c r="O76" s="40"/>
      <c r="Q76" t="s">
        <v>85</v>
      </c>
      <c r="R76">
        <v>1</v>
      </c>
    </row>
    <row r="77" spans="1:18" x14ac:dyDescent="0.25">
      <c r="A77" t="str">
        <f>TableSTRPPROF2[[#This Row],[Study Package Code]]</f>
        <v>Elective</v>
      </c>
      <c r="B77" s="3">
        <f>TableSTRPPROF2[[#This Row],[Ver]]</f>
        <v>0</v>
      </c>
      <c r="D77" t="str">
        <f>TableSTRPPROF2[[#This Row],[Structure Line]]</f>
        <v>Choose an Elective for Year 2 Semester 2</v>
      </c>
      <c r="E77" s="46">
        <f>TableSTRPPROF2[[#This Row],[Credit Points]]</f>
        <v>25</v>
      </c>
      <c r="F77">
        <v>15</v>
      </c>
      <c r="G77" t="s">
        <v>71</v>
      </c>
      <c r="H77">
        <v>2</v>
      </c>
      <c r="I77" t="s">
        <v>173</v>
      </c>
      <c r="J77" t="s">
        <v>71</v>
      </c>
      <c r="K77">
        <v>0</v>
      </c>
      <c r="L77" t="s">
        <v>189</v>
      </c>
      <c r="M77">
        <v>25</v>
      </c>
      <c r="N77" s="40"/>
      <c r="O77" s="40"/>
      <c r="Q77" t="s">
        <v>71</v>
      </c>
      <c r="R77">
        <v>0</v>
      </c>
    </row>
    <row r="78" spans="1:18" x14ac:dyDescent="0.25">
      <c r="A78" t="str">
        <f>TableSTRPPROF2[[#This Row],[Study Package Code]]</f>
        <v>ACCT5021</v>
      </c>
      <c r="B78" s="3">
        <f>TableSTRPPROF2[[#This Row],[Ver]]</f>
        <v>1</v>
      </c>
      <c r="D78" t="str">
        <f>TableSTRPPROF2[[#This Row],[Structure Line]]</f>
        <v>Accounting for Managers</v>
      </c>
      <c r="E78" s="46">
        <f>TableSTRPPROF2[[#This Row],[Credit Points]]</f>
        <v>25</v>
      </c>
      <c r="F78">
        <v>11</v>
      </c>
      <c r="G78" t="s">
        <v>170</v>
      </c>
      <c r="H78">
        <v>2</v>
      </c>
      <c r="I78" t="s">
        <v>168</v>
      </c>
      <c r="J78" t="s">
        <v>118</v>
      </c>
      <c r="K78">
        <v>1</v>
      </c>
      <c r="L78" t="s">
        <v>134</v>
      </c>
      <c r="M78">
        <v>25</v>
      </c>
      <c r="N78" s="40">
        <v>42005</v>
      </c>
      <c r="O78" s="40"/>
      <c r="Q78" t="s">
        <v>118</v>
      </c>
      <c r="R78">
        <v>1</v>
      </c>
    </row>
    <row r="79" spans="1:18" x14ac:dyDescent="0.25">
      <c r="A79" t="str">
        <f>TableSTRPPROF2[[#This Row],[Study Package Code]]</f>
        <v>FNCE5008</v>
      </c>
      <c r="B79" s="3">
        <f>TableSTRPPROF2[[#This Row],[Ver]]</f>
        <v>1</v>
      </c>
      <c r="D79" t="str">
        <f>TableSTRPPROF2[[#This Row],[Structure Line]]</f>
        <v>Financial Principles and Analysis</v>
      </c>
      <c r="E79" s="46">
        <f>TableSTRPPROF2[[#This Row],[Credit Points]]</f>
        <v>25</v>
      </c>
      <c r="F79">
        <v>11</v>
      </c>
      <c r="G79" t="s">
        <v>170</v>
      </c>
      <c r="H79">
        <v>2</v>
      </c>
      <c r="I79" t="s">
        <v>168</v>
      </c>
      <c r="J79" t="s">
        <v>121</v>
      </c>
      <c r="K79">
        <v>1</v>
      </c>
      <c r="L79" t="s">
        <v>141</v>
      </c>
      <c r="M79">
        <v>25</v>
      </c>
      <c r="N79" s="40">
        <v>42005</v>
      </c>
      <c r="O79" s="40"/>
      <c r="Q79" t="s">
        <v>121</v>
      </c>
      <c r="R79">
        <v>1</v>
      </c>
    </row>
    <row r="80" spans="1:18" x14ac:dyDescent="0.25">
      <c r="B80"/>
      <c r="E80"/>
      <c r="F80" s="48"/>
      <c r="G80" s="49" t="s">
        <v>154</v>
      </c>
      <c r="H80" s="187">
        <v>44562</v>
      </c>
      <c r="I80" s="48"/>
      <c r="J80" s="188" t="s">
        <v>123</v>
      </c>
      <c r="K80" s="189" t="s">
        <v>114</v>
      </c>
      <c r="L80" s="48" t="s">
        <v>122</v>
      </c>
      <c r="M80" s="48"/>
      <c r="N80" s="61" t="s">
        <v>155</v>
      </c>
      <c r="O80" s="55">
        <v>45559</v>
      </c>
    </row>
    <row r="81" spans="1:18" x14ac:dyDescent="0.25">
      <c r="A81" t="s">
        <v>0</v>
      </c>
      <c r="B81" s="3" t="s">
        <v>156</v>
      </c>
      <c r="C81" t="s">
        <v>157</v>
      </c>
      <c r="D81" t="s">
        <v>3</v>
      </c>
      <c r="E81" s="46" t="s">
        <v>158</v>
      </c>
      <c r="F81" t="s">
        <v>159</v>
      </c>
      <c r="G81" t="s">
        <v>160</v>
      </c>
      <c r="H81" t="s">
        <v>161</v>
      </c>
      <c r="I81" t="s">
        <v>19</v>
      </c>
      <c r="J81" t="s">
        <v>162</v>
      </c>
      <c r="K81" t="s">
        <v>1</v>
      </c>
      <c r="L81" t="s">
        <v>163</v>
      </c>
      <c r="M81" t="s">
        <v>62</v>
      </c>
      <c r="N81" t="s">
        <v>164</v>
      </c>
      <c r="O81" t="s">
        <v>165</v>
      </c>
      <c r="Q81" t="s">
        <v>166</v>
      </c>
      <c r="R81" t="s">
        <v>1</v>
      </c>
    </row>
    <row r="82" spans="1:18" x14ac:dyDescent="0.25">
      <c r="A82" t="str">
        <f>TableSTRPRSCH2[[#This Row],[Study Package Code]]</f>
        <v>PRJM6001</v>
      </c>
      <c r="B82" s="3">
        <f>TableSTRPRSCH2[[#This Row],[Ver]]</f>
        <v>1</v>
      </c>
      <c r="D82" t="str">
        <f>TableSTRPRSCH2[[#This Row],[Structure Line]]</f>
        <v>Project Cost Management</v>
      </c>
      <c r="E82" s="46">
        <f>TableSTRPRSCH2[[#This Row],[Credit Points]]</f>
        <v>25</v>
      </c>
      <c r="F82">
        <v>1</v>
      </c>
      <c r="G82" t="s">
        <v>167</v>
      </c>
      <c r="H82">
        <v>1</v>
      </c>
      <c r="I82" t="s">
        <v>173</v>
      </c>
      <c r="J82" t="s">
        <v>56</v>
      </c>
      <c r="K82">
        <v>1</v>
      </c>
      <c r="L82" t="s">
        <v>143</v>
      </c>
      <c r="M82">
        <v>25</v>
      </c>
      <c r="N82" s="40">
        <v>42005</v>
      </c>
      <c r="O82" s="40"/>
      <c r="Q82" t="s">
        <v>56</v>
      </c>
      <c r="R82">
        <v>1</v>
      </c>
    </row>
    <row r="83" spans="1:18" x14ac:dyDescent="0.25">
      <c r="A83" t="str">
        <f>TableSTRPRSCH2[[#This Row],[Study Package Code]]</f>
        <v>PRJM6000</v>
      </c>
      <c r="B83" s="3">
        <f>TableSTRPRSCH2[[#This Row],[Ver]]</f>
        <v>1</v>
      </c>
      <c r="D83" t="str">
        <f>TableSTRPRSCH2[[#This Row],[Structure Line]]</f>
        <v>Project Management Overview</v>
      </c>
      <c r="E83" s="46">
        <f>TableSTRPRSCH2[[#This Row],[Credit Points]]</f>
        <v>25</v>
      </c>
      <c r="F83">
        <v>2</v>
      </c>
      <c r="G83" t="s">
        <v>167</v>
      </c>
      <c r="H83">
        <v>1</v>
      </c>
      <c r="I83" t="s">
        <v>173</v>
      </c>
      <c r="J83" t="s">
        <v>53</v>
      </c>
      <c r="K83">
        <v>1</v>
      </c>
      <c r="L83" t="s">
        <v>142</v>
      </c>
      <c r="M83">
        <v>25</v>
      </c>
      <c r="N83" s="40">
        <v>42005</v>
      </c>
      <c r="O83" s="40"/>
      <c r="Q83" t="s">
        <v>53</v>
      </c>
      <c r="R83">
        <v>1</v>
      </c>
    </row>
    <row r="84" spans="1:18" x14ac:dyDescent="0.25">
      <c r="A84" t="str">
        <f>TableSTRPRSCH2[[#This Row],[Study Package Code]]</f>
        <v>PRJM6010</v>
      </c>
      <c r="B84" s="3">
        <f>TableSTRPRSCH2[[#This Row],[Ver]]</f>
        <v>1</v>
      </c>
      <c r="D84" t="str">
        <f>TableSTRPRSCH2[[#This Row],[Structure Line]]</f>
        <v>Project and People</v>
      </c>
      <c r="E84" s="46">
        <f>TableSTRPRSCH2[[#This Row],[Credit Points]]</f>
        <v>25</v>
      </c>
      <c r="F84">
        <v>3</v>
      </c>
      <c r="G84" t="s">
        <v>167</v>
      </c>
      <c r="H84">
        <v>1</v>
      </c>
      <c r="I84" t="s">
        <v>173</v>
      </c>
      <c r="J84" t="s">
        <v>65</v>
      </c>
      <c r="K84">
        <v>1</v>
      </c>
      <c r="L84" t="s">
        <v>149</v>
      </c>
      <c r="M84">
        <v>25</v>
      </c>
      <c r="N84" s="40">
        <v>42005</v>
      </c>
      <c r="O84" s="40"/>
      <c r="Q84" t="s">
        <v>65</v>
      </c>
      <c r="R84">
        <v>1</v>
      </c>
    </row>
    <row r="85" spans="1:18" x14ac:dyDescent="0.25">
      <c r="A85" t="str">
        <f>TableSTRPRSCH2[[#This Row],[Study Package Code]]</f>
        <v>Elective</v>
      </c>
      <c r="B85" s="3">
        <f>TableSTRPRSCH2[[#This Row],[Ver]]</f>
        <v>0</v>
      </c>
      <c r="D85" t="str">
        <f>TableSTRPRSCH2[[#This Row],[Structure Line]]</f>
        <v>Choose an Elective</v>
      </c>
      <c r="E85" s="46">
        <f>TableSTRPRSCH2[[#This Row],[Credit Points]]</f>
        <v>25</v>
      </c>
      <c r="F85">
        <v>4</v>
      </c>
      <c r="G85" t="s">
        <v>71</v>
      </c>
      <c r="H85">
        <v>1</v>
      </c>
      <c r="I85" t="s">
        <v>168</v>
      </c>
      <c r="J85" t="s">
        <v>71</v>
      </c>
      <c r="K85">
        <v>0</v>
      </c>
      <c r="L85" t="s">
        <v>178</v>
      </c>
      <c r="M85">
        <v>25</v>
      </c>
      <c r="N85" s="40"/>
      <c r="O85" s="40"/>
      <c r="Q85" t="s">
        <v>180</v>
      </c>
      <c r="R85">
        <v>0</v>
      </c>
    </row>
    <row r="86" spans="1:18" x14ac:dyDescent="0.25">
      <c r="A86" t="str">
        <f>TableSTRPRSCH2[[#This Row],[Study Package Code]]</f>
        <v>PRJM6004</v>
      </c>
      <c r="B86" s="3">
        <f>TableSTRPRSCH2[[#This Row],[Ver]]</f>
        <v>1</v>
      </c>
      <c r="D86" t="str">
        <f>TableSTRPRSCH2[[#This Row],[Structure Line]]</f>
        <v>Project Procurement Management</v>
      </c>
      <c r="E86" s="46">
        <f>TableSTRPRSCH2[[#This Row],[Credit Points]]</f>
        <v>25</v>
      </c>
      <c r="F86">
        <v>5</v>
      </c>
      <c r="G86" t="s">
        <v>167</v>
      </c>
      <c r="H86">
        <v>1</v>
      </c>
      <c r="I86" t="s">
        <v>173</v>
      </c>
      <c r="J86" t="s">
        <v>82</v>
      </c>
      <c r="K86">
        <v>1</v>
      </c>
      <c r="L86" t="s">
        <v>146</v>
      </c>
      <c r="M86">
        <v>25</v>
      </c>
      <c r="N86" s="40">
        <v>42005</v>
      </c>
      <c r="O86" s="40"/>
      <c r="Q86" t="s">
        <v>82</v>
      </c>
      <c r="R86">
        <v>1</v>
      </c>
    </row>
    <row r="87" spans="1:18" x14ac:dyDescent="0.25">
      <c r="A87" t="str">
        <f>TableSTRPRSCH2[[#This Row],[Study Package Code]]</f>
        <v>PRJM6002</v>
      </c>
      <c r="B87" s="3">
        <f>TableSTRPRSCH2[[#This Row],[Ver]]</f>
        <v>2</v>
      </c>
      <c r="D87" t="str">
        <f>TableSTRPRSCH2[[#This Row],[Structure Line]]</f>
        <v>Project Planning and Schedule Management</v>
      </c>
      <c r="E87" s="46">
        <f>TableSTRPRSCH2[[#This Row],[Credit Points]]</f>
        <v>25</v>
      </c>
      <c r="F87">
        <v>6</v>
      </c>
      <c r="G87" t="s">
        <v>167</v>
      </c>
      <c r="H87">
        <v>1</v>
      </c>
      <c r="I87" t="s">
        <v>173</v>
      </c>
      <c r="J87" t="s">
        <v>64</v>
      </c>
      <c r="K87">
        <v>2</v>
      </c>
      <c r="L87" t="s">
        <v>144</v>
      </c>
      <c r="M87">
        <v>25</v>
      </c>
      <c r="N87" s="40">
        <v>45292</v>
      </c>
      <c r="O87" s="40"/>
      <c r="Q87" t="s">
        <v>64</v>
      </c>
      <c r="R87">
        <v>2</v>
      </c>
    </row>
    <row r="88" spans="1:18" x14ac:dyDescent="0.25">
      <c r="A88" t="str">
        <f>TableSTRPRSCH2[[#This Row],[Study Package Code]]</f>
        <v>PRJM6005</v>
      </c>
      <c r="B88" s="3">
        <f>TableSTRPRSCH2[[#This Row],[Ver]]</f>
        <v>1</v>
      </c>
      <c r="D88" t="str">
        <f>TableSTRPRSCH2[[#This Row],[Structure Line]]</f>
        <v>Program and Portfolio Management</v>
      </c>
      <c r="E88" s="46">
        <f>TableSTRPRSCH2[[#This Row],[Credit Points]]</f>
        <v>25</v>
      </c>
      <c r="F88">
        <v>7</v>
      </c>
      <c r="G88" t="s">
        <v>167</v>
      </c>
      <c r="H88">
        <v>1</v>
      </c>
      <c r="I88" t="s">
        <v>173</v>
      </c>
      <c r="J88" t="s">
        <v>77</v>
      </c>
      <c r="K88">
        <v>1</v>
      </c>
      <c r="L88" t="s">
        <v>147</v>
      </c>
      <c r="M88">
        <v>25</v>
      </c>
      <c r="N88" s="40">
        <v>42005</v>
      </c>
      <c r="O88" s="40"/>
      <c r="Q88" t="s">
        <v>77</v>
      </c>
      <c r="R88">
        <v>1</v>
      </c>
    </row>
    <row r="89" spans="1:18" x14ac:dyDescent="0.25">
      <c r="A89" t="str">
        <f>TableSTRPRSCH2[[#This Row],[Study Package Code]]</f>
        <v>Elective</v>
      </c>
      <c r="B89" s="3">
        <f>TableSTRPRSCH2[[#This Row],[Ver]]</f>
        <v>0</v>
      </c>
      <c r="D89" t="str">
        <f>TableSTRPRSCH2[[#This Row],[Structure Line]]</f>
        <v>Choose an Elective</v>
      </c>
      <c r="E89" s="46">
        <f>TableSTRPRSCH2[[#This Row],[Credit Points]]</f>
        <v>25</v>
      </c>
      <c r="F89">
        <v>8</v>
      </c>
      <c r="G89" t="s">
        <v>71</v>
      </c>
      <c r="H89">
        <v>1</v>
      </c>
      <c r="I89" t="s">
        <v>169</v>
      </c>
      <c r="J89" t="s">
        <v>71</v>
      </c>
      <c r="K89">
        <v>0</v>
      </c>
      <c r="L89" t="s">
        <v>178</v>
      </c>
      <c r="M89">
        <v>25</v>
      </c>
      <c r="N89" s="40"/>
      <c r="O89" s="40"/>
      <c r="Q89" t="s">
        <v>180</v>
      </c>
      <c r="R89">
        <v>0</v>
      </c>
    </row>
    <row r="90" spans="1:18" x14ac:dyDescent="0.25">
      <c r="A90" t="str">
        <f>TableSTRPRSCH2[[#This Row],[Study Package Code]]</f>
        <v>PRJM6025</v>
      </c>
      <c r="B90" s="3">
        <f>TableSTRPRSCH2[[#This Row],[Ver]]</f>
        <v>1</v>
      </c>
      <c r="D90" t="str">
        <f>TableSTRPRSCH2[[#This Row],[Structure Line]]</f>
        <v>Agile Management</v>
      </c>
      <c r="E90" s="46">
        <f>TableSTRPRSCH2[[#This Row],[Credit Points]]</f>
        <v>25</v>
      </c>
      <c r="F90">
        <v>9</v>
      </c>
      <c r="G90" t="s">
        <v>167</v>
      </c>
      <c r="H90">
        <v>2</v>
      </c>
      <c r="I90" t="s">
        <v>173</v>
      </c>
      <c r="J90" t="s">
        <v>86</v>
      </c>
      <c r="K90">
        <v>1</v>
      </c>
      <c r="L90" t="s">
        <v>152</v>
      </c>
      <c r="M90">
        <v>25</v>
      </c>
      <c r="N90" s="40">
        <v>44562</v>
      </c>
      <c r="O90" s="40"/>
      <c r="Q90" t="s">
        <v>86</v>
      </c>
      <c r="R90">
        <v>1</v>
      </c>
    </row>
    <row r="91" spans="1:18" x14ac:dyDescent="0.25">
      <c r="A91" t="str">
        <f>TableSTRPRSCH2[[#This Row],[Study Package Code]]</f>
        <v>PRJM6003</v>
      </c>
      <c r="B91" s="3">
        <f>TableSTRPRSCH2[[#This Row],[Ver]]</f>
        <v>1</v>
      </c>
      <c r="D91" t="str">
        <f>TableSTRPRSCH2[[#This Row],[Structure Line]]</f>
        <v>Project Risk Management</v>
      </c>
      <c r="E91" s="46">
        <f>TableSTRPRSCH2[[#This Row],[Credit Points]]</f>
        <v>25</v>
      </c>
      <c r="F91">
        <v>10</v>
      </c>
      <c r="G91" t="s">
        <v>167</v>
      </c>
      <c r="H91">
        <v>2</v>
      </c>
      <c r="I91" t="s">
        <v>173</v>
      </c>
      <c r="J91" t="s">
        <v>76</v>
      </c>
      <c r="K91">
        <v>1</v>
      </c>
      <c r="L91" t="s">
        <v>145</v>
      </c>
      <c r="M91">
        <v>25</v>
      </c>
      <c r="N91" s="40">
        <v>42005</v>
      </c>
      <c r="O91" s="40"/>
      <c r="Q91" t="s">
        <v>76</v>
      </c>
      <c r="R91">
        <v>1</v>
      </c>
    </row>
    <row r="92" spans="1:18" x14ac:dyDescent="0.25">
      <c r="A92" t="str">
        <f>TableSTRPRSCH2[[#This Row],[Study Package Code]]</f>
        <v>AC-PROJM2</v>
      </c>
      <c r="B92" s="3">
        <f>TableSTRPRSCH2[[#This Row],[Ver]]</f>
        <v>0</v>
      </c>
      <c r="D92" t="str">
        <f>TableSTRPRSCH2[[#This Row],[Structure Line]]</f>
        <v>Choose ACCT5021 or FNCE5008</v>
      </c>
      <c r="E92" s="46">
        <f>TableSTRPRSCH2[[#This Row],[Credit Points]]</f>
        <v>25</v>
      </c>
      <c r="F92">
        <v>11</v>
      </c>
      <c r="G92" t="s">
        <v>170</v>
      </c>
      <c r="H92">
        <v>2</v>
      </c>
      <c r="I92" t="s">
        <v>173</v>
      </c>
      <c r="J92" t="s">
        <v>190</v>
      </c>
      <c r="K92">
        <v>0</v>
      </c>
      <c r="L92" t="s">
        <v>179</v>
      </c>
      <c r="M92">
        <v>25</v>
      </c>
      <c r="N92" s="40"/>
      <c r="O92" s="40"/>
      <c r="Q92" t="s">
        <v>98</v>
      </c>
      <c r="R92">
        <v>0</v>
      </c>
    </row>
    <row r="93" spans="1:18" x14ac:dyDescent="0.25">
      <c r="A93" t="str">
        <f>TableSTRPRSCH2[[#This Row],[Study Package Code]]</f>
        <v>Elective</v>
      </c>
      <c r="B93" s="3">
        <f>TableSTRPRSCH2[[#This Row],[Ver]]</f>
        <v>0</v>
      </c>
      <c r="D93" t="str">
        <f>TableSTRPRSCH2[[#This Row],[Structure Line]]</f>
        <v>Choose an Elective</v>
      </c>
      <c r="E93" s="46">
        <f>TableSTRPRSCH2[[#This Row],[Credit Points]]</f>
        <v>25</v>
      </c>
      <c r="F93">
        <v>12</v>
      </c>
      <c r="G93" t="s">
        <v>71</v>
      </c>
      <c r="H93">
        <v>2</v>
      </c>
      <c r="I93" t="s">
        <v>169</v>
      </c>
      <c r="J93" t="s">
        <v>71</v>
      </c>
      <c r="K93">
        <v>0</v>
      </c>
      <c r="L93" t="s">
        <v>178</v>
      </c>
      <c r="M93">
        <v>25</v>
      </c>
      <c r="N93" s="40"/>
      <c r="O93" s="40"/>
      <c r="Q93" t="s">
        <v>180</v>
      </c>
      <c r="R93">
        <v>0</v>
      </c>
    </row>
    <row r="94" spans="1:18" x14ac:dyDescent="0.25">
      <c r="A94" t="str">
        <f>TableSTRPRSCH2[[#This Row],[Study Package Code]]</f>
        <v>PRJM6009</v>
      </c>
      <c r="B94" s="3">
        <f>TableSTRPRSCH2[[#This Row],[Ver]]</f>
        <v>2</v>
      </c>
      <c r="D94" t="str">
        <f>TableSTRPRSCH2[[#This Row],[Structure Line]]</f>
        <v>Project Management Integrated Project</v>
      </c>
      <c r="E94" s="46">
        <f>TableSTRPRSCH2[[#This Row],[Credit Points]]</f>
        <v>50</v>
      </c>
      <c r="F94">
        <v>13</v>
      </c>
      <c r="G94" t="s">
        <v>167</v>
      </c>
      <c r="H94">
        <v>2</v>
      </c>
      <c r="I94" t="s">
        <v>173</v>
      </c>
      <c r="J94" t="s">
        <v>97</v>
      </c>
      <c r="K94">
        <v>2</v>
      </c>
      <c r="L94" t="s">
        <v>148</v>
      </c>
      <c r="M94">
        <v>50</v>
      </c>
      <c r="N94" s="40">
        <v>42736</v>
      </c>
      <c r="O94" s="40"/>
      <c r="Q94" t="s">
        <v>97</v>
      </c>
      <c r="R94">
        <v>2</v>
      </c>
    </row>
    <row r="95" spans="1:18" x14ac:dyDescent="0.25">
      <c r="A95" t="str">
        <f>TableSTRPRSCH2[[#This Row],[Study Package Code]]</f>
        <v>URDE6006</v>
      </c>
      <c r="B95" s="3">
        <f>TableSTRPRSCH2[[#This Row],[Ver]]</f>
        <v>1</v>
      </c>
      <c r="D95" t="str">
        <f>TableSTRPRSCH2[[#This Row],[Structure Line]]</f>
        <v>Design and Built Environment Research Methods</v>
      </c>
      <c r="E95" s="46">
        <f>TableSTRPRSCH2[[#This Row],[Credit Points]]</f>
        <v>25</v>
      </c>
      <c r="F95">
        <v>14</v>
      </c>
      <c r="G95" t="s">
        <v>167</v>
      </c>
      <c r="H95">
        <v>2</v>
      </c>
      <c r="I95" t="s">
        <v>173</v>
      </c>
      <c r="J95" t="s">
        <v>85</v>
      </c>
      <c r="K95">
        <v>1</v>
      </c>
      <c r="L95" t="s">
        <v>153</v>
      </c>
      <c r="M95">
        <v>25</v>
      </c>
      <c r="N95" s="40">
        <v>44562</v>
      </c>
      <c r="O95" s="40"/>
      <c r="Q95" t="s">
        <v>85</v>
      </c>
      <c r="R95">
        <v>1</v>
      </c>
    </row>
    <row r="96" spans="1:18" x14ac:dyDescent="0.25">
      <c r="A96" t="str">
        <f>TableSTRPRSCH2[[#This Row],[Study Package Code]]</f>
        <v>PRJM6012</v>
      </c>
      <c r="B96" s="3">
        <f>TableSTRPRSCH2[[#This Row],[Ver]]</f>
        <v>2</v>
      </c>
      <c r="D96" t="str">
        <f>TableSTRPRSCH2[[#This Row],[Structure Line]]</f>
        <v>Project Management Dissertation</v>
      </c>
      <c r="E96" s="46">
        <f>TableSTRPRSCH2[[#This Row],[Credit Points]]</f>
        <v>25</v>
      </c>
      <c r="F96">
        <v>15</v>
      </c>
      <c r="G96" t="s">
        <v>167</v>
      </c>
      <c r="H96">
        <v>2</v>
      </c>
      <c r="I96" t="s">
        <v>173</v>
      </c>
      <c r="J96" t="s">
        <v>92</v>
      </c>
      <c r="K96">
        <v>2</v>
      </c>
      <c r="L96" t="s">
        <v>150</v>
      </c>
      <c r="M96">
        <v>25</v>
      </c>
      <c r="N96" s="40">
        <v>44562</v>
      </c>
      <c r="O96" s="40"/>
      <c r="Q96" t="s">
        <v>92</v>
      </c>
      <c r="R96">
        <v>2</v>
      </c>
    </row>
    <row r="97" spans="1:18" x14ac:dyDescent="0.25">
      <c r="A97" t="str">
        <f>TableSTRPRSCH2[[#This Row],[Study Package Code]]</f>
        <v>ACCT5021</v>
      </c>
      <c r="B97" s="3">
        <f>TableSTRPRSCH2[[#This Row],[Ver]]</f>
        <v>1</v>
      </c>
      <c r="D97" t="str">
        <f>TableSTRPRSCH2[[#This Row],[Structure Line]]</f>
        <v>Accounting for Managers</v>
      </c>
      <c r="E97" s="46">
        <f>TableSTRPRSCH2[[#This Row],[Credit Points]]</f>
        <v>25</v>
      </c>
      <c r="F97">
        <v>11</v>
      </c>
      <c r="G97" t="s">
        <v>170</v>
      </c>
      <c r="H97">
        <v>2</v>
      </c>
      <c r="I97" t="s">
        <v>173</v>
      </c>
      <c r="J97" t="s">
        <v>118</v>
      </c>
      <c r="K97">
        <v>1</v>
      </c>
      <c r="L97" t="s">
        <v>134</v>
      </c>
      <c r="M97">
        <v>25</v>
      </c>
      <c r="N97" s="40">
        <v>42005</v>
      </c>
      <c r="O97" s="40"/>
      <c r="Q97" t="s">
        <v>118</v>
      </c>
      <c r="R97">
        <v>1</v>
      </c>
    </row>
    <row r="98" spans="1:18" x14ac:dyDescent="0.25">
      <c r="A98" t="str">
        <f>TableSTRPRSCH2[[#This Row],[Study Package Code]]</f>
        <v>FNCE5008</v>
      </c>
      <c r="B98" s="3">
        <f>TableSTRPRSCH2[[#This Row],[Ver]]</f>
        <v>1</v>
      </c>
      <c r="D98" t="str">
        <f>TableSTRPRSCH2[[#This Row],[Structure Line]]</f>
        <v>Financial Principles and Analysis</v>
      </c>
      <c r="E98" s="46">
        <f>TableSTRPRSCH2[[#This Row],[Credit Points]]</f>
        <v>25</v>
      </c>
      <c r="F98">
        <v>11</v>
      </c>
      <c r="G98" t="s">
        <v>170</v>
      </c>
      <c r="H98">
        <v>2</v>
      </c>
      <c r="I98" t="s">
        <v>173</v>
      </c>
      <c r="J98" t="s">
        <v>121</v>
      </c>
      <c r="K98">
        <v>1</v>
      </c>
      <c r="L98" t="s">
        <v>141</v>
      </c>
      <c r="M98">
        <v>25</v>
      </c>
      <c r="N98" s="40">
        <v>42005</v>
      </c>
      <c r="O98" s="40"/>
      <c r="Q98" t="s">
        <v>121</v>
      </c>
      <c r="R98">
        <v>1</v>
      </c>
    </row>
  </sheetData>
  <conditionalFormatting sqref="J3:J6">
    <cfRule type="duplicateValues" dxfId="24" priority="22"/>
  </conditionalFormatting>
  <conditionalFormatting sqref="J11:J20">
    <cfRule type="duplicateValues" dxfId="23" priority="19"/>
  </conditionalFormatting>
  <conditionalFormatting sqref="J25:J27">
    <cfRule type="duplicateValues" dxfId="22" priority="16"/>
  </conditionalFormatting>
  <conditionalFormatting sqref="J30:J40">
    <cfRule type="duplicateValues" dxfId="21" priority="13"/>
  </conditionalFormatting>
  <conditionalFormatting sqref="J43:J53">
    <cfRule type="duplicateValues" dxfId="20" priority="10"/>
  </conditionalFormatting>
  <conditionalFormatting sqref="J58:J60">
    <cfRule type="duplicateValues" dxfId="19" priority="7"/>
  </conditionalFormatting>
  <conditionalFormatting sqref="J63:J79">
    <cfRule type="duplicateValues" dxfId="18" priority="4"/>
  </conditionalFormatting>
  <conditionalFormatting sqref="J82:J98">
    <cfRule type="duplicateValues" dxfId="17" priority="1"/>
  </conditionalFormatting>
  <conditionalFormatting sqref="N3:N6">
    <cfRule type="cellIs" dxfId="16" priority="37" operator="greaterThan">
      <formula>$P$1</formula>
    </cfRule>
  </conditionalFormatting>
  <conditionalFormatting sqref="N11:N20">
    <cfRule type="cellIs" dxfId="15" priority="20" operator="greaterThan">
      <formula>$P$1</formula>
    </cfRule>
  </conditionalFormatting>
  <conditionalFormatting sqref="N25:N27">
    <cfRule type="cellIs" dxfId="14" priority="17" operator="greaterThan">
      <formula>$P$1</formula>
    </cfRule>
  </conditionalFormatting>
  <conditionalFormatting sqref="N30:N40">
    <cfRule type="cellIs" dxfId="13" priority="14" operator="greaterThan">
      <formula>$P$1</formula>
    </cfRule>
  </conditionalFormatting>
  <conditionalFormatting sqref="N43:N53">
    <cfRule type="cellIs" dxfId="12" priority="11" operator="greaterThan">
      <formula>$P$1</formula>
    </cfRule>
  </conditionalFormatting>
  <conditionalFormatting sqref="N58:N60">
    <cfRule type="cellIs" dxfId="11" priority="8" operator="greaterThan">
      <formula>$P$1</formula>
    </cfRule>
  </conditionalFormatting>
  <conditionalFormatting sqref="N63:N79">
    <cfRule type="cellIs" dxfId="10" priority="5" operator="greaterThan">
      <formula>$P$1</formula>
    </cfRule>
  </conditionalFormatting>
  <conditionalFormatting sqref="N82:N98">
    <cfRule type="cellIs" dxfId="9" priority="2" operator="greaterThan">
      <formula>$P$1</formula>
    </cfRule>
  </conditionalFormatting>
  <conditionalFormatting sqref="O3:O6">
    <cfRule type="notContainsBlanks" dxfId="8" priority="59">
      <formula>LEN(TRIM(O3))&gt;0</formula>
    </cfRule>
  </conditionalFormatting>
  <conditionalFormatting sqref="O11:O20">
    <cfRule type="notContainsBlanks" dxfId="7" priority="21">
      <formula>LEN(TRIM(O11))&gt;0</formula>
    </cfRule>
  </conditionalFormatting>
  <conditionalFormatting sqref="O25:O27">
    <cfRule type="notContainsBlanks" dxfId="6" priority="18">
      <formula>LEN(TRIM(O25))&gt;0</formula>
    </cfRule>
  </conditionalFormatting>
  <conditionalFormatting sqref="O30:O40">
    <cfRule type="notContainsBlanks" dxfId="5" priority="15">
      <formula>LEN(TRIM(O30))&gt;0</formula>
    </cfRule>
  </conditionalFormatting>
  <conditionalFormatting sqref="O43:O53">
    <cfRule type="notContainsBlanks" dxfId="4" priority="12">
      <formula>LEN(TRIM(O43))&gt;0</formula>
    </cfRule>
  </conditionalFormatting>
  <conditionalFormatting sqref="O58:O60">
    <cfRule type="notContainsBlanks" dxfId="3" priority="9">
      <formula>LEN(TRIM(O58))&gt;0</formula>
    </cfRule>
  </conditionalFormatting>
  <conditionalFormatting sqref="O63:O79">
    <cfRule type="notContainsBlanks" dxfId="2" priority="6">
      <formula>LEN(TRIM(O63))&gt;0</formula>
    </cfRule>
  </conditionalFormatting>
  <conditionalFormatting sqref="O82:O98">
    <cfRule type="notContainsBlanks" dxfId="1" priority="3">
      <formula>LEN(TRIM(O82))&gt;0</formula>
    </cfRule>
  </conditionalFormatting>
  <conditionalFormatting sqref="Q3:R6 Q11:R20 Q25:R27 Q30:R40 Q43:R53 Q58:R60 Q63:R79 Q82:R98">
    <cfRule type="expression" dxfId="0" priority="78">
      <formula>Q3&lt;&gt;J3</formula>
    </cfRule>
  </conditionalFormatting>
  <pageMargins left="0.7" right="0.7" top="0.75" bottom="0.75" header="0.3" footer="0.3"/>
  <pageSetup paperSize="9" orientation="portrait" r:id="rId1"/>
  <tableParts count="1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6"/>
  <sheetViews>
    <sheetView workbookViewId="0">
      <selection activeCell="L4" sqref="L4"/>
    </sheetView>
  </sheetViews>
  <sheetFormatPr defaultRowHeight="15.75" x14ac:dyDescent="0.25"/>
  <cols>
    <col min="1" max="1" width="12.375" bestFit="1" customWidth="1"/>
    <col min="2" max="5" width="5.375" bestFit="1" customWidth="1"/>
    <col min="6" max="6" width="16.125" bestFit="1" customWidth="1"/>
    <col min="7" max="7" width="10.375" bestFit="1" customWidth="1"/>
    <col min="8" max="8" width="9.5" bestFit="1" customWidth="1"/>
    <col min="9" max="12" width="1.875" bestFit="1" customWidth="1"/>
  </cols>
  <sheetData>
    <row r="1" spans="1:12" x14ac:dyDescent="0.25">
      <c r="F1" s="54" t="s">
        <v>181</v>
      </c>
      <c r="G1" s="60">
        <v>45575</v>
      </c>
    </row>
    <row r="3" spans="1:12" ht="72" x14ac:dyDescent="0.25">
      <c r="A3" t="s">
        <v>182</v>
      </c>
      <c r="B3" s="119" t="s">
        <v>191</v>
      </c>
      <c r="C3" s="119" t="s">
        <v>192</v>
      </c>
      <c r="D3" s="119" t="s">
        <v>193</v>
      </c>
      <c r="E3" s="119" t="s">
        <v>194</v>
      </c>
    </row>
    <row r="4" spans="1:12" x14ac:dyDescent="0.25">
      <c r="A4" t="s">
        <v>118</v>
      </c>
      <c r="B4" s="3">
        <v>1</v>
      </c>
      <c r="C4" s="3"/>
      <c r="D4" s="3"/>
      <c r="E4" s="3"/>
      <c r="H4" t="s">
        <v>118</v>
      </c>
      <c r="I4">
        <v>1</v>
      </c>
    </row>
    <row r="5" spans="1:12" x14ac:dyDescent="0.25">
      <c r="A5" t="s">
        <v>121</v>
      </c>
      <c r="B5" s="3">
        <v>1</v>
      </c>
      <c r="C5" s="3">
        <v>1</v>
      </c>
      <c r="D5" s="3">
        <v>1</v>
      </c>
      <c r="E5" s="3">
        <v>1</v>
      </c>
      <c r="H5" t="s">
        <v>121</v>
      </c>
      <c r="I5">
        <v>1</v>
      </c>
      <c r="J5">
        <v>1</v>
      </c>
      <c r="K5">
        <v>1</v>
      </c>
      <c r="L5">
        <v>1</v>
      </c>
    </row>
    <row r="6" spans="1:12" x14ac:dyDescent="0.25">
      <c r="A6" t="s">
        <v>53</v>
      </c>
      <c r="B6" s="3">
        <v>1</v>
      </c>
      <c r="C6" s="3">
        <v>1</v>
      </c>
      <c r="D6" s="3">
        <v>1</v>
      </c>
      <c r="E6" s="3">
        <v>1</v>
      </c>
      <c r="H6" t="s">
        <v>53</v>
      </c>
      <c r="I6">
        <v>1</v>
      </c>
      <c r="J6">
        <v>1</v>
      </c>
      <c r="K6">
        <v>1</v>
      </c>
      <c r="L6">
        <v>1</v>
      </c>
    </row>
    <row r="7" spans="1:12" x14ac:dyDescent="0.25">
      <c r="A7" t="s">
        <v>56</v>
      </c>
      <c r="B7" s="3">
        <v>1</v>
      </c>
      <c r="C7" s="3">
        <v>1</v>
      </c>
      <c r="D7" s="3">
        <v>1</v>
      </c>
      <c r="E7" s="3">
        <v>1</v>
      </c>
      <c r="H7" t="s">
        <v>56</v>
      </c>
      <c r="I7">
        <v>1</v>
      </c>
      <c r="J7">
        <v>1</v>
      </c>
      <c r="K7">
        <v>1</v>
      </c>
      <c r="L7">
        <v>1</v>
      </c>
    </row>
    <row r="8" spans="1:12" x14ac:dyDescent="0.25">
      <c r="A8" t="s">
        <v>64</v>
      </c>
      <c r="B8" s="3">
        <v>1</v>
      </c>
      <c r="C8" s="3">
        <v>1</v>
      </c>
      <c r="D8" s="3">
        <v>1</v>
      </c>
      <c r="E8" s="3">
        <v>1</v>
      </c>
      <c r="H8" t="s">
        <v>64</v>
      </c>
      <c r="I8">
        <v>1</v>
      </c>
      <c r="J8">
        <v>1</v>
      </c>
      <c r="K8">
        <v>1</v>
      </c>
      <c r="L8">
        <v>1</v>
      </c>
    </row>
    <row r="9" spans="1:12" x14ac:dyDescent="0.25">
      <c r="A9" t="s">
        <v>76</v>
      </c>
      <c r="B9" s="3">
        <v>1</v>
      </c>
      <c r="C9" s="3">
        <v>1</v>
      </c>
      <c r="D9" s="3">
        <v>1</v>
      </c>
      <c r="E9" s="3">
        <v>1</v>
      </c>
      <c r="H9" t="s">
        <v>76</v>
      </c>
      <c r="I9">
        <v>1</v>
      </c>
      <c r="J9">
        <v>1</v>
      </c>
      <c r="K9">
        <v>1</v>
      </c>
      <c r="L9">
        <v>1</v>
      </c>
    </row>
    <row r="10" spans="1:12" x14ac:dyDescent="0.25">
      <c r="A10" t="s">
        <v>82</v>
      </c>
      <c r="B10" s="3">
        <v>1</v>
      </c>
      <c r="C10" s="3">
        <v>1</v>
      </c>
      <c r="D10" s="3">
        <v>1</v>
      </c>
      <c r="E10" s="3">
        <v>1</v>
      </c>
      <c r="H10" t="s">
        <v>82</v>
      </c>
      <c r="I10">
        <v>1</v>
      </c>
      <c r="J10">
        <v>1</v>
      </c>
      <c r="K10">
        <v>1</v>
      </c>
      <c r="L10">
        <v>1</v>
      </c>
    </row>
    <row r="11" spans="1:12" x14ac:dyDescent="0.25">
      <c r="A11" t="s">
        <v>77</v>
      </c>
      <c r="B11" s="3">
        <v>1</v>
      </c>
      <c r="C11" s="3">
        <v>1</v>
      </c>
      <c r="D11" s="3">
        <v>1</v>
      </c>
      <c r="E11" s="3">
        <v>1</v>
      </c>
      <c r="H11" t="s">
        <v>77</v>
      </c>
      <c r="I11">
        <v>1</v>
      </c>
      <c r="J11">
        <v>1</v>
      </c>
      <c r="K11">
        <v>1</v>
      </c>
      <c r="L11">
        <v>1</v>
      </c>
    </row>
    <row r="12" spans="1:12" x14ac:dyDescent="0.25">
      <c r="A12" t="s">
        <v>97</v>
      </c>
      <c r="B12" s="3">
        <v>1</v>
      </c>
      <c r="C12" s="3">
        <v>1</v>
      </c>
      <c r="D12" s="3">
        <v>1</v>
      </c>
      <c r="E12" s="3">
        <v>1</v>
      </c>
      <c r="H12" t="s">
        <v>97</v>
      </c>
      <c r="I12">
        <v>1</v>
      </c>
      <c r="J12">
        <v>1</v>
      </c>
      <c r="K12">
        <v>1</v>
      </c>
      <c r="L12">
        <v>1</v>
      </c>
    </row>
    <row r="13" spans="1:12" x14ac:dyDescent="0.25">
      <c r="A13" t="s">
        <v>65</v>
      </c>
      <c r="B13" s="3">
        <v>1</v>
      </c>
      <c r="C13" s="3">
        <v>1</v>
      </c>
      <c r="D13" s="3">
        <v>1</v>
      </c>
      <c r="E13" s="3">
        <v>1</v>
      </c>
      <c r="H13" t="s">
        <v>65</v>
      </c>
      <c r="I13">
        <v>1</v>
      </c>
      <c r="J13">
        <v>1</v>
      </c>
      <c r="K13">
        <v>1</v>
      </c>
      <c r="L13">
        <v>1</v>
      </c>
    </row>
    <row r="14" spans="1:12" x14ac:dyDescent="0.25">
      <c r="A14" t="s">
        <v>92</v>
      </c>
      <c r="B14" s="3">
        <v>1</v>
      </c>
      <c r="C14" s="3">
        <v>1</v>
      </c>
      <c r="D14" s="3">
        <v>1</v>
      </c>
      <c r="E14" s="3">
        <v>1</v>
      </c>
      <c r="H14" t="s">
        <v>92</v>
      </c>
      <c r="I14">
        <v>1</v>
      </c>
      <c r="J14">
        <v>1</v>
      </c>
      <c r="K14">
        <v>1</v>
      </c>
      <c r="L14">
        <v>1</v>
      </c>
    </row>
    <row r="15" spans="1:12" x14ac:dyDescent="0.25">
      <c r="A15" t="s">
        <v>86</v>
      </c>
      <c r="B15" s="3">
        <v>1</v>
      </c>
      <c r="C15" s="3">
        <v>1</v>
      </c>
      <c r="D15" s="3">
        <v>1</v>
      </c>
      <c r="E15" s="3">
        <v>1</v>
      </c>
      <c r="H15" t="s">
        <v>86</v>
      </c>
      <c r="I15">
        <v>1</v>
      </c>
      <c r="J15">
        <v>1</v>
      </c>
      <c r="K15">
        <v>1</v>
      </c>
      <c r="L15">
        <v>1</v>
      </c>
    </row>
    <row r="16" spans="1:12" x14ac:dyDescent="0.25">
      <c r="A16" t="s">
        <v>85</v>
      </c>
      <c r="B16" s="3">
        <v>1</v>
      </c>
      <c r="C16" s="3">
        <v>1</v>
      </c>
      <c r="D16" s="3">
        <v>1</v>
      </c>
      <c r="E16" s="3">
        <v>1</v>
      </c>
      <c r="H16" t="s">
        <v>85</v>
      </c>
      <c r="I16">
        <v>1</v>
      </c>
      <c r="J16">
        <v>1</v>
      </c>
      <c r="K16">
        <v>1</v>
      </c>
      <c r="L16">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Brad Carey</DisplayName>
        <AccountId>155</AccountId>
        <AccountType/>
      </UserInfo>
      <UserInfo>
        <DisplayName>Humira Mirza</DisplayName>
        <AccountId>39</AccountId>
        <AccountType/>
      </UserInfo>
      <UserInfo>
        <DisplayName>Karen Clay</DisplayName>
        <AccountId>32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http://purl.org/dc/terms/"/>
    <ds:schemaRef ds:uri="http://www.w3.org/XML/1998/namespace"/>
    <ds:schemaRef ds:uri="http://schemas.microsoft.com/office/2006/documentManagement/types"/>
    <ds:schemaRef ds:uri="http://schemas.microsoft.com/office/infopath/2007/PartnerControls"/>
    <ds:schemaRef ds:uri="http://purl.org/dc/elements/1.1/"/>
    <ds:schemaRef ds:uri="ba69df13-0c3c-4942-8695-6ca01564010c"/>
    <ds:schemaRef ds:uri="http://schemas.openxmlformats.org/package/2006/metadata/core-properties"/>
    <ds:schemaRef ds:uri="2380bd5d-8f09-40a9-a9cb-2482ec2cd2ca"/>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46E3D2F-1109-4EDF-987F-85BD30B0A4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GC-GD-MSc Project Managment</vt:lpstr>
      <vt:lpstr>Master of Project Management</vt:lpstr>
      <vt:lpstr>Unitsets</vt:lpstr>
      <vt:lpstr>Handbook</vt:lpstr>
      <vt:lpstr>Structures</vt:lpstr>
      <vt:lpstr>Availabilities</vt:lpstr>
      <vt:lpstr>'GC-GD-MSc Project Managment'!Print_Area</vt:lpstr>
      <vt:lpstr>'Master of Project Management'!Print_Area</vt:lpstr>
      <vt:lpstr>RangeAltCores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2024-11-11T08:05:09Z</cp:lastPrinted>
  <dcterms:created xsi:type="dcterms:W3CDTF">2022-02-28T04:48:12Z</dcterms:created>
  <dcterms:modified xsi:type="dcterms:W3CDTF">2024-11-11T08:06:34Z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