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9C4BF9DC-9D58-4D39-889A-A85E4B5DB429}" xr6:coauthVersionLast="47" xr6:coauthVersionMax="47" xr10:uidLastSave="{00000000-0000-0000-0000-000000000000}"/>
  <workbookProtection workbookAlgorithmName="SHA-512" workbookHashValue="iincTmQge2RxYQqpaCDPoFYy5aCrwd2zECjq27zFMqs1rYcBQKOuRp7kGc+yQG6JBUcGM/IkAujL6SqUc8vXIg==" workbookSaltValue="IoJXheqas7WfoV57qRSZ8A==" workbookSpinCount="100000" lockStructure="1"/>
  <bookViews>
    <workbookView xWindow="-108" yWindow="-108" windowWidth="23256" windowHeight="13896" xr2:uid="{00000000-000D-0000-FFFF-FFFF00000000}"/>
  </bookViews>
  <sheets>
    <sheet name="B-MASCOMS" sheetId="10"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CSCOM">Unitsets!$A$33:$A$41</definedName>
    <definedName name="JOURL">Unitsets!$A$42:$A$49</definedName>
    <definedName name="_xlnm.Print_Area" localSheetId="0">'B-MASCOMS'!$A$3:$L$83</definedName>
    <definedName name="RangeSecMajor">Unitsets!$L$63:$BX$91</definedName>
    <definedName name="RangeSpecialisations">Unitsets!$L$32:$U$47</definedName>
    <definedName name="RangeUnitsets">Unitsets!$L$3:$O$27</definedName>
    <definedName name="RangeY1Options">Unitsets!$L$50:$L$57</definedName>
    <definedName name="WMCOM">Unitsets!$A$50:$A$58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3" l="1"/>
  <c r="G37" i="3"/>
  <c r="G35" i="3"/>
  <c r="G41" i="3"/>
  <c r="H39" i="3"/>
  <c r="H37" i="3"/>
  <c r="H35" i="3"/>
  <c r="H41" i="3"/>
  <c r="I39" i="3"/>
  <c r="I37" i="3"/>
  <c r="I35" i="3"/>
  <c r="I41" i="3"/>
  <c r="J39" i="3"/>
  <c r="J37" i="3"/>
  <c r="J35" i="3"/>
  <c r="J41" i="3"/>
  <c r="G16" i="3" l="1"/>
  <c r="H16" i="3"/>
  <c r="I16" i="3"/>
  <c r="J16" i="3"/>
  <c r="G28" i="3"/>
  <c r="H28" i="3"/>
  <c r="I28" i="3"/>
  <c r="J28" i="3"/>
  <c r="G58" i="3" l="1"/>
  <c r="G30" i="3"/>
  <c r="G31" i="3"/>
  <c r="G34" i="3"/>
  <c r="H58" i="3"/>
  <c r="H30" i="3"/>
  <c r="H31" i="3"/>
  <c r="H34" i="3"/>
  <c r="I58" i="3"/>
  <c r="I30" i="3"/>
  <c r="I31" i="3"/>
  <c r="I34" i="3"/>
  <c r="J58" i="3"/>
  <c r="J30" i="3"/>
  <c r="J31" i="3"/>
  <c r="J34" i="3"/>
  <c r="A43" i="8" l="1"/>
  <c r="A44" i="8"/>
  <c r="B43" i="8"/>
  <c r="B44" i="8"/>
  <c r="D43" i="8"/>
  <c r="D44" i="8"/>
  <c r="E43" i="8"/>
  <c r="E44" i="8"/>
  <c r="G73" i="3"/>
  <c r="H73" i="3"/>
  <c r="I73" i="3"/>
  <c r="J73" i="3"/>
  <c r="G81" i="3"/>
  <c r="H81" i="3"/>
  <c r="I81" i="3"/>
  <c r="J81" i="3"/>
  <c r="G8" i="10" l="1"/>
  <c r="H71" i="10"/>
  <c r="H53" i="10"/>
  <c r="H41" i="10"/>
  <c r="L72" i="10"/>
  <c r="K72" i="10"/>
  <c r="J72" i="10"/>
  <c r="I72" i="10"/>
  <c r="H72" i="10"/>
  <c r="L54" i="10"/>
  <c r="K54" i="10"/>
  <c r="J54" i="10"/>
  <c r="I54" i="10"/>
  <c r="H54" i="10"/>
  <c r="L42" i="10"/>
  <c r="K42" i="10"/>
  <c r="J42" i="10"/>
  <c r="I42" i="10"/>
  <c r="H42" i="10"/>
  <c r="L30" i="10"/>
  <c r="K30" i="10"/>
  <c r="J30" i="10"/>
  <c r="I30" i="10"/>
  <c r="H30" i="10"/>
  <c r="L20" i="10"/>
  <c r="K20" i="10"/>
  <c r="J20" i="10"/>
  <c r="I20" i="10"/>
  <c r="H20" i="10"/>
  <c r="U1" i="3"/>
  <c r="T1" i="3"/>
  <c r="S1" i="3"/>
  <c r="R1" i="3"/>
  <c r="Q1" i="3"/>
  <c r="P1" i="3"/>
  <c r="O1" i="3"/>
  <c r="N1" i="3"/>
  <c r="M1" i="3"/>
  <c r="L1" i="3"/>
  <c r="K1" i="3"/>
  <c r="J1" i="3"/>
  <c r="I1" i="3"/>
  <c r="H1" i="3"/>
  <c r="G1" i="3"/>
  <c r="F1" i="3"/>
  <c r="E1" i="3"/>
  <c r="D1" i="3"/>
  <c r="C1" i="3"/>
  <c r="B1" i="3"/>
  <c r="A1" i="3"/>
  <c r="J63" i="3" l="1"/>
  <c r="I63" i="3"/>
  <c r="H63" i="3"/>
  <c r="G63" i="3"/>
  <c r="J62" i="3"/>
  <c r="I62" i="3"/>
  <c r="H62" i="3"/>
  <c r="G62" i="3"/>
  <c r="J61" i="3"/>
  <c r="I61" i="3"/>
  <c r="H61" i="3"/>
  <c r="G61" i="3"/>
  <c r="J60" i="3"/>
  <c r="I60" i="3"/>
  <c r="H60" i="3"/>
  <c r="G60" i="3"/>
  <c r="J59" i="3"/>
  <c r="I59" i="3"/>
  <c r="H59" i="3"/>
  <c r="G59" i="3"/>
  <c r="J57" i="3"/>
  <c r="I57" i="3"/>
  <c r="H57" i="3"/>
  <c r="G57" i="3"/>
  <c r="J56" i="3"/>
  <c r="I56" i="3"/>
  <c r="H56" i="3"/>
  <c r="G56" i="3"/>
  <c r="G40" i="3" l="1"/>
  <c r="G38" i="3"/>
  <c r="G36" i="3"/>
  <c r="G42" i="3"/>
  <c r="H40" i="3"/>
  <c r="H38" i="3"/>
  <c r="H36" i="3"/>
  <c r="H42" i="3"/>
  <c r="I40" i="3"/>
  <c r="I38" i="3"/>
  <c r="I36" i="3"/>
  <c r="I42" i="3"/>
  <c r="J40" i="3"/>
  <c r="J38" i="3"/>
  <c r="J36" i="3"/>
  <c r="J42" i="3"/>
  <c r="E102" i="8" l="1"/>
  <c r="D102" i="8"/>
  <c r="B102" i="8"/>
  <c r="A102" i="8"/>
  <c r="E101" i="8"/>
  <c r="D101" i="8"/>
  <c r="B101" i="8"/>
  <c r="A101" i="8"/>
  <c r="E100" i="8"/>
  <c r="D100" i="8"/>
  <c r="B100" i="8"/>
  <c r="A100" i="8"/>
  <c r="E99" i="8"/>
  <c r="D99" i="8"/>
  <c r="B99" i="8"/>
  <c r="A99" i="8"/>
  <c r="R39" i="3" l="1"/>
  <c r="R37" i="3"/>
  <c r="R35" i="3"/>
  <c r="R41" i="3"/>
  <c r="R28" i="3"/>
  <c r="R16" i="3"/>
  <c r="R31" i="3"/>
  <c r="R34" i="3"/>
  <c r="R58" i="3"/>
  <c r="R30" i="3"/>
  <c r="R73" i="3"/>
  <c r="R81" i="3"/>
  <c r="R3" i="3"/>
  <c r="R4" i="3"/>
  <c r="R5" i="3"/>
  <c r="R6" i="3"/>
  <c r="R7" i="3"/>
  <c r="R8" i="3"/>
  <c r="R9" i="3"/>
  <c r="R10" i="3"/>
  <c r="R11" i="3"/>
  <c r="R12" i="3"/>
  <c r="R13" i="3"/>
  <c r="R14" i="3"/>
  <c r="R15" i="3"/>
  <c r="R17" i="3"/>
  <c r="R18" i="3"/>
  <c r="R19" i="3"/>
  <c r="R20" i="3"/>
  <c r="R21" i="3"/>
  <c r="R22" i="3"/>
  <c r="R23" i="3"/>
  <c r="R24" i="3"/>
  <c r="R25" i="3"/>
  <c r="R26" i="3"/>
  <c r="R27" i="3"/>
  <c r="R29" i="3"/>
  <c r="R32" i="3"/>
  <c r="R33" i="3"/>
  <c r="R36" i="3"/>
  <c r="R38" i="3"/>
  <c r="R40" i="3"/>
  <c r="R42" i="3"/>
  <c r="R43" i="3"/>
  <c r="R44" i="3"/>
  <c r="R45" i="3"/>
  <c r="R46" i="3"/>
  <c r="R47" i="3"/>
  <c r="R48" i="3"/>
  <c r="R49" i="3"/>
  <c r="R50" i="3"/>
  <c r="R51" i="3"/>
  <c r="R52" i="3"/>
  <c r="R53" i="3"/>
  <c r="R54" i="3"/>
  <c r="R55" i="3"/>
  <c r="R56" i="3"/>
  <c r="R57" i="3"/>
  <c r="R59" i="3"/>
  <c r="R60" i="3"/>
  <c r="R61" i="3"/>
  <c r="R62" i="3"/>
  <c r="R63" i="3"/>
  <c r="R64" i="3"/>
  <c r="R65" i="3"/>
  <c r="R66" i="3"/>
  <c r="R67" i="3"/>
  <c r="R68" i="3"/>
  <c r="R69" i="3"/>
  <c r="R70" i="3"/>
  <c r="R71" i="3"/>
  <c r="R72" i="3"/>
  <c r="R74" i="3"/>
  <c r="R75" i="3"/>
  <c r="R76" i="3"/>
  <c r="R77" i="3"/>
  <c r="R78" i="3"/>
  <c r="R79" i="3"/>
  <c r="R80" i="3"/>
  <c r="R82" i="3"/>
  <c r="R83" i="3"/>
  <c r="R84" i="3"/>
  <c r="R85" i="3"/>
  <c r="R86" i="3"/>
  <c r="R87" i="3"/>
  <c r="R88" i="3"/>
  <c r="R89" i="3"/>
  <c r="R90" i="3"/>
  <c r="R91" i="3"/>
  <c r="G45" i="3"/>
  <c r="G48" i="3"/>
  <c r="G88" i="3"/>
  <c r="H45" i="3"/>
  <c r="H48" i="3"/>
  <c r="H88" i="3"/>
  <c r="I45" i="3"/>
  <c r="I48" i="3"/>
  <c r="I88" i="3"/>
  <c r="J45" i="3"/>
  <c r="J48" i="3"/>
  <c r="J88" i="3"/>
  <c r="G55" i="3" l="1"/>
  <c r="H55" i="3"/>
  <c r="I55" i="3"/>
  <c r="J55" i="3"/>
  <c r="G87" i="3" l="1"/>
  <c r="H87" i="3"/>
  <c r="I87" i="3"/>
  <c r="J87" i="3"/>
  <c r="G83" i="3"/>
  <c r="H83" i="3"/>
  <c r="I83" i="3"/>
  <c r="J83" i="3"/>
  <c r="A32" i="8"/>
  <c r="B32" i="8"/>
  <c r="D32" i="8"/>
  <c r="E32" i="8"/>
  <c r="A79" i="10" l="1"/>
  <c r="A78" i="10"/>
  <c r="A77" i="10"/>
  <c r="A76" i="10"/>
  <c r="A75" i="10"/>
  <c r="A74" i="10"/>
  <c r="A73" i="10"/>
  <c r="G89" i="3"/>
  <c r="H89" i="3"/>
  <c r="I89" i="3"/>
  <c r="J89" i="3"/>
  <c r="L53" i="10"/>
  <c r="G70" i="3"/>
  <c r="H70" i="3"/>
  <c r="I70" i="3"/>
  <c r="J70" i="3"/>
  <c r="L41" i="10"/>
  <c r="A51" i="10" s="1"/>
  <c r="L8" i="10"/>
  <c r="J91" i="3"/>
  <c r="I91" i="3"/>
  <c r="H91" i="3"/>
  <c r="G91" i="3"/>
  <c r="J90" i="3"/>
  <c r="I90" i="3"/>
  <c r="H90" i="3"/>
  <c r="G90" i="3"/>
  <c r="J86" i="3"/>
  <c r="I86" i="3"/>
  <c r="H86" i="3"/>
  <c r="G86" i="3"/>
  <c r="J85" i="3"/>
  <c r="I85" i="3"/>
  <c r="H85" i="3"/>
  <c r="G85" i="3"/>
  <c r="J84" i="3"/>
  <c r="I84" i="3"/>
  <c r="H84" i="3"/>
  <c r="G84" i="3"/>
  <c r="J82" i="3"/>
  <c r="I82" i="3"/>
  <c r="H82" i="3"/>
  <c r="G82"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2" i="3"/>
  <c r="I72" i="3"/>
  <c r="H72" i="3"/>
  <c r="G72" i="3"/>
  <c r="J71" i="3"/>
  <c r="I71" i="3"/>
  <c r="H71" i="3"/>
  <c r="G71" i="3"/>
  <c r="J69" i="3"/>
  <c r="I69" i="3"/>
  <c r="H69" i="3"/>
  <c r="G69" i="3"/>
  <c r="J68" i="3"/>
  <c r="I68" i="3"/>
  <c r="H68" i="3"/>
  <c r="G68" i="3"/>
  <c r="J67" i="3"/>
  <c r="I67" i="3"/>
  <c r="H67" i="3"/>
  <c r="G67" i="3"/>
  <c r="J66" i="3"/>
  <c r="I66" i="3"/>
  <c r="H66" i="3"/>
  <c r="G66" i="3"/>
  <c r="J65" i="3"/>
  <c r="I65" i="3"/>
  <c r="H65" i="3"/>
  <c r="G65" i="3"/>
  <c r="J64" i="3"/>
  <c r="I64" i="3"/>
  <c r="H64" i="3"/>
  <c r="G64" i="3"/>
  <c r="J54" i="3"/>
  <c r="I54" i="3"/>
  <c r="H54" i="3"/>
  <c r="G54" i="3"/>
  <c r="J53" i="3"/>
  <c r="I53" i="3"/>
  <c r="H53" i="3"/>
  <c r="G53" i="3"/>
  <c r="J52" i="3"/>
  <c r="I52" i="3"/>
  <c r="H52" i="3"/>
  <c r="G52" i="3"/>
  <c r="J51" i="3"/>
  <c r="I51" i="3"/>
  <c r="H51" i="3"/>
  <c r="G51" i="3"/>
  <c r="J50" i="3"/>
  <c r="I50" i="3"/>
  <c r="H50" i="3"/>
  <c r="G50" i="3"/>
  <c r="J49" i="3"/>
  <c r="I49" i="3"/>
  <c r="H49" i="3"/>
  <c r="G49" i="3"/>
  <c r="J47" i="3"/>
  <c r="I47" i="3"/>
  <c r="H47" i="3"/>
  <c r="G47" i="3"/>
  <c r="J46" i="3"/>
  <c r="I46" i="3"/>
  <c r="H46" i="3"/>
  <c r="G46" i="3"/>
  <c r="J44" i="3"/>
  <c r="I44" i="3"/>
  <c r="H44" i="3"/>
  <c r="G44" i="3"/>
  <c r="J43" i="3"/>
  <c r="I43" i="3"/>
  <c r="H43" i="3"/>
  <c r="G43" i="3"/>
  <c r="J33" i="3"/>
  <c r="I33" i="3"/>
  <c r="H33" i="3"/>
  <c r="G33" i="3"/>
  <c r="J32" i="3"/>
  <c r="I32" i="3"/>
  <c r="H32" i="3"/>
  <c r="G32" i="3"/>
  <c r="J29" i="3"/>
  <c r="I29" i="3"/>
  <c r="H29" i="3"/>
  <c r="G29" i="3"/>
  <c r="J27" i="3"/>
  <c r="I27" i="3"/>
  <c r="H27" i="3"/>
  <c r="G27" i="3"/>
  <c r="J26" i="3"/>
  <c r="I26" i="3"/>
  <c r="H26" i="3"/>
  <c r="G26" i="3"/>
  <c r="J25" i="3"/>
  <c r="I25" i="3"/>
  <c r="H25" i="3"/>
  <c r="G25" i="3"/>
  <c r="J24" i="3"/>
  <c r="I24" i="3"/>
  <c r="H24" i="3"/>
  <c r="G24" i="3"/>
  <c r="J23" i="3"/>
  <c r="I23" i="3"/>
  <c r="H23" i="3"/>
  <c r="G23" i="3"/>
  <c r="J21" i="3"/>
  <c r="I21" i="3"/>
  <c r="H21" i="3"/>
  <c r="G21" i="3"/>
  <c r="J20" i="3"/>
  <c r="I20" i="3"/>
  <c r="H20" i="3"/>
  <c r="G20" i="3"/>
  <c r="J19" i="3"/>
  <c r="I19" i="3"/>
  <c r="H19" i="3"/>
  <c r="G19" i="3"/>
  <c r="J18" i="3"/>
  <c r="I18" i="3"/>
  <c r="H18" i="3"/>
  <c r="G18" i="3"/>
  <c r="J17" i="3"/>
  <c r="I17" i="3"/>
  <c r="H17" i="3"/>
  <c r="G17"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J3" i="3"/>
  <c r="I3" i="3"/>
  <c r="H3" i="3"/>
  <c r="G3" i="3"/>
  <c r="J22" i="3"/>
  <c r="I22" i="3"/>
  <c r="H22" i="3"/>
  <c r="G22" i="3"/>
  <c r="K51" i="10" l="1"/>
  <c r="J51" i="10"/>
  <c r="I51" i="10"/>
  <c r="H51" i="10"/>
  <c r="K73" i="10"/>
  <c r="J73" i="10"/>
  <c r="I73" i="10"/>
  <c r="H73" i="10"/>
  <c r="K74" i="10"/>
  <c r="J74" i="10"/>
  <c r="I74" i="10"/>
  <c r="H74" i="10"/>
  <c r="K75" i="10"/>
  <c r="J75" i="10"/>
  <c r="I75" i="10"/>
  <c r="H75" i="10"/>
  <c r="K76" i="10"/>
  <c r="J76" i="10"/>
  <c r="I76" i="10"/>
  <c r="H76" i="10"/>
  <c r="K77" i="10"/>
  <c r="J77" i="10"/>
  <c r="I77" i="10"/>
  <c r="H77" i="10"/>
  <c r="K78" i="10"/>
  <c r="J78" i="10"/>
  <c r="I78" i="10"/>
  <c r="H78" i="10"/>
  <c r="K79" i="10"/>
  <c r="J79" i="10"/>
  <c r="I79" i="10"/>
  <c r="H79" i="10"/>
  <c r="C77" i="10"/>
  <c r="B74" i="10"/>
  <c r="F76" i="10"/>
  <c r="B73" i="10"/>
  <c r="G73" i="10"/>
  <c r="C73" i="10"/>
  <c r="D73" i="10"/>
  <c r="B78" i="10"/>
  <c r="F73" i="10"/>
  <c r="G77" i="10"/>
  <c r="A63" i="10"/>
  <c r="A56" i="10"/>
  <c r="A55" i="10"/>
  <c r="A64" i="10"/>
  <c r="A57" i="10"/>
  <c r="A65" i="10"/>
  <c r="A58" i="10"/>
  <c r="A66" i="10"/>
  <c r="A67" i="10"/>
  <c r="A60" i="10"/>
  <c r="A68" i="10"/>
  <c r="A59" i="10"/>
  <c r="A61" i="10"/>
  <c r="A69" i="10"/>
  <c r="A62" i="10"/>
  <c r="A45" i="10"/>
  <c r="A44" i="10"/>
  <c r="A43" i="10"/>
  <c r="A46" i="10"/>
  <c r="A47" i="10"/>
  <c r="A48" i="10"/>
  <c r="A49" i="10"/>
  <c r="A50" i="10"/>
  <c r="K50" i="10" l="1"/>
  <c r="J50" i="10"/>
  <c r="I50" i="10"/>
  <c r="H50" i="10"/>
  <c r="K49" i="10"/>
  <c r="J49" i="10"/>
  <c r="I49" i="10"/>
  <c r="H49" i="10"/>
  <c r="K48" i="10"/>
  <c r="J48" i="10"/>
  <c r="I48" i="10"/>
  <c r="H48" i="10"/>
  <c r="K47" i="10"/>
  <c r="J47" i="10"/>
  <c r="I47" i="10"/>
  <c r="H47" i="10"/>
  <c r="K46" i="10"/>
  <c r="J46" i="10"/>
  <c r="I46" i="10"/>
  <c r="H46" i="10"/>
  <c r="K43" i="10"/>
  <c r="J43" i="10"/>
  <c r="I43" i="10"/>
  <c r="H43" i="10"/>
  <c r="K44" i="10"/>
  <c r="J44" i="10"/>
  <c r="I44" i="10"/>
  <c r="H44" i="10"/>
  <c r="K45" i="10"/>
  <c r="J45" i="10"/>
  <c r="I45" i="10"/>
  <c r="H45" i="10"/>
  <c r="K62" i="10"/>
  <c r="J62" i="10"/>
  <c r="I62" i="10"/>
  <c r="H62" i="10"/>
  <c r="K69" i="10"/>
  <c r="J69" i="10"/>
  <c r="I69" i="10"/>
  <c r="H69" i="10"/>
  <c r="K61" i="10"/>
  <c r="J61" i="10"/>
  <c r="I61" i="10"/>
  <c r="H61" i="10"/>
  <c r="K59" i="10"/>
  <c r="J59" i="10"/>
  <c r="I59" i="10"/>
  <c r="H59" i="10"/>
  <c r="K68" i="10"/>
  <c r="J68" i="10"/>
  <c r="I68" i="10"/>
  <c r="H68" i="10"/>
  <c r="K60" i="10"/>
  <c r="J60" i="10"/>
  <c r="I60" i="10"/>
  <c r="H60" i="10"/>
  <c r="K67" i="10"/>
  <c r="J67" i="10"/>
  <c r="I67" i="10"/>
  <c r="H67" i="10"/>
  <c r="K66" i="10"/>
  <c r="J66" i="10"/>
  <c r="I66" i="10"/>
  <c r="H66" i="10"/>
  <c r="K58" i="10"/>
  <c r="J58" i="10"/>
  <c r="I58" i="10"/>
  <c r="H58" i="10"/>
  <c r="K65" i="10"/>
  <c r="J65" i="10"/>
  <c r="I65" i="10"/>
  <c r="H65" i="10"/>
  <c r="K57" i="10"/>
  <c r="J57" i="10"/>
  <c r="I57" i="10"/>
  <c r="H57" i="10"/>
  <c r="K64" i="10"/>
  <c r="J64" i="10"/>
  <c r="I64" i="10"/>
  <c r="H64" i="10"/>
  <c r="K55" i="10"/>
  <c r="J55" i="10"/>
  <c r="I55" i="10"/>
  <c r="H55" i="10"/>
  <c r="K56" i="10"/>
  <c r="J56" i="10"/>
  <c r="I56" i="10"/>
  <c r="H56" i="10"/>
  <c r="K63" i="10"/>
  <c r="J63" i="10"/>
  <c r="I63" i="10"/>
  <c r="H63" i="10"/>
  <c r="G76" i="10"/>
  <c r="D76" i="10"/>
  <c r="B76" i="10"/>
  <c r="C76" i="10"/>
  <c r="D74" i="10"/>
  <c r="C74" i="10"/>
  <c r="F74" i="10"/>
  <c r="G74" i="10"/>
  <c r="D75" i="10"/>
  <c r="C75" i="10"/>
  <c r="F75" i="10"/>
  <c r="B75" i="10"/>
  <c r="G75" i="10"/>
  <c r="G78" i="10"/>
  <c r="C78" i="10"/>
  <c r="F78" i="10"/>
  <c r="D78" i="10"/>
  <c r="F77" i="10"/>
  <c r="D77" i="10"/>
  <c r="B77" i="10"/>
  <c r="G79" i="10"/>
  <c r="F79" i="10"/>
  <c r="C79" i="10"/>
  <c r="B79" i="10"/>
  <c r="D79" i="10"/>
  <c r="G56" i="10"/>
  <c r="C56" i="10"/>
  <c r="B56" i="10"/>
  <c r="F56" i="10"/>
  <c r="D56" i="10"/>
  <c r="E96" i="8" l="1"/>
  <c r="D96" i="8"/>
  <c r="B96" i="8"/>
  <c r="A96" i="8"/>
  <c r="E95" i="8"/>
  <c r="D95" i="8"/>
  <c r="B95" i="8"/>
  <c r="A95" i="8"/>
  <c r="E94" i="8"/>
  <c r="D94" i="8"/>
  <c r="B94" i="8"/>
  <c r="A94" i="8"/>
  <c r="E93" i="8"/>
  <c r="D93" i="8"/>
  <c r="B93" i="8"/>
  <c r="A93" i="8"/>
  <c r="E92" i="8"/>
  <c r="D92" i="8"/>
  <c r="B92" i="8"/>
  <c r="A92" i="8"/>
  <c r="E91" i="8"/>
  <c r="D91" i="8"/>
  <c r="B91" i="8"/>
  <c r="A91" i="8"/>
  <c r="E88" i="8"/>
  <c r="D88" i="8"/>
  <c r="B88" i="8"/>
  <c r="A88" i="8"/>
  <c r="E87" i="8"/>
  <c r="D87" i="8"/>
  <c r="B87" i="8"/>
  <c r="A87" i="8"/>
  <c r="E86" i="8"/>
  <c r="D86" i="8"/>
  <c r="B86" i="8"/>
  <c r="A86" i="8"/>
  <c r="E85" i="8"/>
  <c r="D85" i="8"/>
  <c r="B85" i="8"/>
  <c r="A85" i="8"/>
  <c r="T39" i="3" l="1"/>
  <c r="T37" i="3"/>
  <c r="T35" i="3"/>
  <c r="T41" i="3"/>
  <c r="U39" i="3"/>
  <c r="U37" i="3"/>
  <c r="U35" i="3"/>
  <c r="U41" i="3"/>
  <c r="U16" i="3"/>
  <c r="U28" i="3"/>
  <c r="U58" i="3"/>
  <c r="U30" i="3"/>
  <c r="U31" i="3"/>
  <c r="U34" i="3"/>
  <c r="T16" i="3"/>
  <c r="T28" i="3"/>
  <c r="T31" i="3"/>
  <c r="T34" i="3"/>
  <c r="T58" i="3"/>
  <c r="T30" i="3"/>
  <c r="T73" i="3"/>
  <c r="T81" i="3"/>
  <c r="U81" i="3"/>
  <c r="U73" i="3"/>
  <c r="T40" i="3"/>
  <c r="T38" i="3"/>
  <c r="T36" i="3"/>
  <c r="T42" i="3"/>
  <c r="U60" i="3"/>
  <c r="U40" i="3"/>
  <c r="U38" i="3"/>
  <c r="U36" i="3"/>
  <c r="U42" i="3"/>
  <c r="T57" i="3"/>
  <c r="T60" i="3"/>
  <c r="U57" i="3"/>
  <c r="U88" i="3"/>
  <c r="U59" i="3"/>
  <c r="U45" i="3"/>
  <c r="U48" i="3"/>
  <c r="U56" i="3"/>
  <c r="U61" i="3"/>
  <c r="U55" i="3"/>
  <c r="U62" i="3"/>
  <c r="U87" i="3"/>
  <c r="U83" i="3"/>
  <c r="T48" i="3"/>
  <c r="T88" i="3"/>
  <c r="T59" i="3"/>
  <c r="T45" i="3"/>
  <c r="T56" i="3"/>
  <c r="T61" i="3"/>
  <c r="T55" i="3"/>
  <c r="T62" i="3"/>
  <c r="T83" i="3"/>
  <c r="T87" i="3"/>
  <c r="T89" i="3"/>
  <c r="T70" i="3"/>
  <c r="T3" i="3"/>
  <c r="T4" i="3"/>
  <c r="T6" i="3"/>
  <c r="T7" i="3"/>
  <c r="T8" i="3"/>
  <c r="T9" i="3"/>
  <c r="T11" i="3"/>
  <c r="T25" i="3"/>
  <c r="T32" i="3"/>
  <c r="T33" i="3"/>
  <c r="T46" i="3"/>
  <c r="T47" i="3"/>
  <c r="T49" i="3"/>
  <c r="T50" i="3"/>
  <c r="T51" i="3"/>
  <c r="T52" i="3"/>
  <c r="T53" i="3"/>
  <c r="T54" i="3"/>
  <c r="T71" i="3"/>
  <c r="T74" i="3"/>
  <c r="T76" i="3"/>
  <c r="T77" i="3"/>
  <c r="T5" i="3"/>
  <c r="T12" i="3"/>
  <c r="T72" i="3"/>
  <c r="T10" i="3"/>
  <c r="T13" i="3"/>
  <c r="T15" i="3"/>
  <c r="T43" i="3"/>
  <c r="T65" i="3"/>
  <c r="T69" i="3"/>
  <c r="T78" i="3"/>
  <c r="T82" i="3"/>
  <c r="T86" i="3"/>
  <c r="T79" i="3"/>
  <c r="T80" i="3"/>
  <c r="T84" i="3"/>
  <c r="T85" i="3"/>
  <c r="T75" i="3"/>
  <c r="T21" i="3"/>
  <c r="T29" i="3"/>
  <c r="T27" i="3"/>
  <c r="T17" i="3"/>
  <c r="T20" i="3"/>
  <c r="T22" i="3"/>
  <c r="T18" i="3"/>
  <c r="T14" i="3"/>
  <c r="T24" i="3"/>
  <c r="T19" i="3"/>
  <c r="T26" i="3"/>
  <c r="T44" i="3"/>
  <c r="T23" i="3"/>
  <c r="T90" i="3"/>
  <c r="T91" i="3"/>
  <c r="T64" i="3"/>
  <c r="T63" i="3"/>
  <c r="T67" i="3"/>
  <c r="T66" i="3"/>
  <c r="T68" i="3"/>
  <c r="U89" i="3"/>
  <c r="U70" i="3"/>
  <c r="U3" i="3"/>
  <c r="U4" i="3"/>
  <c r="U6" i="3"/>
  <c r="U7" i="3"/>
  <c r="U8" i="3"/>
  <c r="U9" i="3"/>
  <c r="U11" i="3"/>
  <c r="U25" i="3"/>
  <c r="U32" i="3"/>
  <c r="U33" i="3"/>
  <c r="U46" i="3"/>
  <c r="U47" i="3"/>
  <c r="U49" i="3"/>
  <c r="U50" i="3"/>
  <c r="U51" i="3"/>
  <c r="U52" i="3"/>
  <c r="U53" i="3"/>
  <c r="U54" i="3"/>
  <c r="U71" i="3"/>
  <c r="U74" i="3"/>
  <c r="U76" i="3"/>
  <c r="U77" i="3"/>
  <c r="U5" i="3"/>
  <c r="U12" i="3"/>
  <c r="U72" i="3"/>
  <c r="U10" i="3"/>
  <c r="U13" i="3"/>
  <c r="U15" i="3"/>
  <c r="U43" i="3"/>
  <c r="U65" i="3"/>
  <c r="U69" i="3"/>
  <c r="U78" i="3"/>
  <c r="U82" i="3"/>
  <c r="U86" i="3"/>
  <c r="U79" i="3"/>
  <c r="U80" i="3"/>
  <c r="U84" i="3"/>
  <c r="U85" i="3"/>
  <c r="U75" i="3"/>
  <c r="U21" i="3"/>
  <c r="U29" i="3"/>
  <c r="U27" i="3"/>
  <c r="U17" i="3"/>
  <c r="U20" i="3"/>
  <c r="U22" i="3"/>
  <c r="U18" i="3"/>
  <c r="U14" i="3"/>
  <c r="U24" i="3"/>
  <c r="U19" i="3"/>
  <c r="U26" i="3"/>
  <c r="U44" i="3"/>
  <c r="U23" i="3"/>
  <c r="U90" i="3"/>
  <c r="U91" i="3"/>
  <c r="U64" i="3"/>
  <c r="U63" i="3"/>
  <c r="U67" i="3"/>
  <c r="U66" i="3"/>
  <c r="U68" i="3"/>
  <c r="E82" i="8"/>
  <c r="D82" i="8"/>
  <c r="B82" i="8"/>
  <c r="A82" i="8"/>
  <c r="E81" i="8"/>
  <c r="D81" i="8"/>
  <c r="B81" i="8"/>
  <c r="A81" i="8"/>
  <c r="E80" i="8"/>
  <c r="D80" i="8"/>
  <c r="B80" i="8"/>
  <c r="A80" i="8"/>
  <c r="E79" i="8"/>
  <c r="D79" i="8"/>
  <c r="B79" i="8"/>
  <c r="A79" i="8"/>
  <c r="E78" i="8"/>
  <c r="D78" i="8"/>
  <c r="B78" i="8"/>
  <c r="A78" i="8"/>
  <c r="E77" i="8"/>
  <c r="D77" i="8"/>
  <c r="B77" i="8"/>
  <c r="A77" i="8"/>
  <c r="E76" i="8"/>
  <c r="D76" i="8"/>
  <c r="B76" i="8"/>
  <c r="A76" i="8"/>
  <c r="E75" i="8"/>
  <c r="D75" i="8"/>
  <c r="B75" i="8"/>
  <c r="A75" i="8"/>
  <c r="S39" i="3" l="1"/>
  <c r="S37" i="3"/>
  <c r="S35" i="3"/>
  <c r="S41" i="3"/>
  <c r="S16" i="3"/>
  <c r="S28" i="3"/>
  <c r="S31" i="3"/>
  <c r="S34" i="3"/>
  <c r="S30" i="3"/>
  <c r="S58" i="3"/>
  <c r="S73" i="3"/>
  <c r="S81" i="3"/>
  <c r="S40" i="3"/>
  <c r="S38" i="3"/>
  <c r="S36" i="3"/>
  <c r="S42" i="3"/>
  <c r="S60" i="3"/>
  <c r="S57" i="3"/>
  <c r="S88" i="3"/>
  <c r="S59" i="3"/>
  <c r="S48" i="3"/>
  <c r="S45" i="3"/>
  <c r="S56" i="3"/>
  <c r="S55" i="3"/>
  <c r="S61" i="3"/>
  <c r="S62" i="3"/>
  <c r="S87" i="3"/>
  <c r="S83" i="3"/>
  <c r="S89" i="3"/>
  <c r="S70" i="3"/>
  <c r="S46" i="3"/>
  <c r="S47" i="3"/>
  <c r="S44" i="3"/>
  <c r="S6" i="3"/>
  <c r="S32" i="3"/>
  <c r="S53" i="3"/>
  <c r="S71" i="3"/>
  <c r="S43" i="3"/>
  <c r="S79" i="3"/>
  <c r="S24" i="3"/>
  <c r="S63" i="3"/>
  <c r="S64" i="3"/>
  <c r="S7" i="3"/>
  <c r="S33" i="3"/>
  <c r="S54" i="3"/>
  <c r="S5" i="3"/>
  <c r="S65" i="3"/>
  <c r="S80" i="3"/>
  <c r="S17" i="3"/>
  <c r="S67" i="3"/>
  <c r="S8" i="3"/>
  <c r="S74" i="3"/>
  <c r="S69" i="3"/>
  <c r="S20" i="3"/>
  <c r="S19" i="3"/>
  <c r="S23" i="3"/>
  <c r="S9" i="3"/>
  <c r="S12" i="3"/>
  <c r="S75" i="3"/>
  <c r="S22" i="3"/>
  <c r="S26" i="3"/>
  <c r="S90" i="3"/>
  <c r="S66" i="3"/>
  <c r="S52" i="3"/>
  <c r="S15" i="3"/>
  <c r="S11" i="3"/>
  <c r="S49" i="3"/>
  <c r="S72" i="3"/>
  <c r="S78" i="3"/>
  <c r="S84" i="3"/>
  <c r="S91" i="3"/>
  <c r="S68" i="3"/>
  <c r="S25" i="3"/>
  <c r="S50" i="3"/>
  <c r="S76" i="3"/>
  <c r="S10" i="3"/>
  <c r="S82" i="3"/>
  <c r="S85" i="3"/>
  <c r="S21" i="3"/>
  <c r="S14" i="3"/>
  <c r="S3" i="3"/>
  <c r="S51" i="3"/>
  <c r="S13" i="3"/>
  <c r="S86" i="3"/>
  <c r="S29" i="3"/>
  <c r="S18" i="3"/>
  <c r="S4" i="3"/>
  <c r="S77" i="3"/>
  <c r="S27" i="3"/>
  <c r="E72" i="8"/>
  <c r="D72" i="8"/>
  <c r="B72" i="8"/>
  <c r="A72" i="8"/>
  <c r="E71" i="8"/>
  <c r="D71" i="8"/>
  <c r="B71" i="8"/>
  <c r="A71" i="8"/>
  <c r="E70" i="8"/>
  <c r="D70" i="8"/>
  <c r="B70" i="8"/>
  <c r="A70" i="8"/>
  <c r="E69" i="8"/>
  <c r="D69" i="8"/>
  <c r="B69" i="8"/>
  <c r="A69" i="8"/>
  <c r="E68" i="8"/>
  <c r="D68" i="8"/>
  <c r="B68" i="8"/>
  <c r="A68" i="8"/>
  <c r="E67" i="8"/>
  <c r="D67" i="8"/>
  <c r="B67" i="8"/>
  <c r="A67" i="8"/>
  <c r="Q39" i="3" l="1"/>
  <c r="Q37" i="3"/>
  <c r="Q35" i="3"/>
  <c r="Q41" i="3"/>
  <c r="Q28" i="3"/>
  <c r="Q16" i="3"/>
  <c r="Q58" i="3"/>
  <c r="Q30" i="3"/>
  <c r="Q31" i="3"/>
  <c r="Q34" i="3"/>
  <c r="Q81" i="3"/>
  <c r="Q73" i="3"/>
  <c r="Q40" i="3"/>
  <c r="Q38" i="3"/>
  <c r="Q36" i="3"/>
  <c r="Q42" i="3"/>
  <c r="Q60" i="3"/>
  <c r="Q57" i="3"/>
  <c r="Q88" i="3"/>
  <c r="Q59" i="3"/>
  <c r="Q48" i="3"/>
  <c r="Q45" i="3"/>
  <c r="Q56" i="3"/>
  <c r="Q61" i="3"/>
  <c r="Q55" i="3"/>
  <c r="Q83" i="3"/>
  <c r="Q62" i="3"/>
  <c r="Q87" i="3"/>
  <c r="Q89" i="3"/>
  <c r="Q70" i="3"/>
  <c r="Q3" i="3"/>
  <c r="Q4" i="3"/>
  <c r="Q6" i="3"/>
  <c r="Q7" i="3"/>
  <c r="Q8" i="3"/>
  <c r="Q9" i="3"/>
  <c r="Q11" i="3"/>
  <c r="Q25" i="3"/>
  <c r="Q32" i="3"/>
  <c r="Q33" i="3"/>
  <c r="Q46" i="3"/>
  <c r="Q47" i="3"/>
  <c r="Q49" i="3"/>
  <c r="Q50" i="3"/>
  <c r="Q51" i="3"/>
  <c r="Q52" i="3"/>
  <c r="Q53" i="3"/>
  <c r="Q54" i="3"/>
  <c r="Q71" i="3"/>
  <c r="Q74" i="3"/>
  <c r="Q76" i="3"/>
  <c r="Q77" i="3"/>
  <c r="Q5" i="3"/>
  <c r="Q12" i="3"/>
  <c r="Q72" i="3"/>
  <c r="Q10" i="3"/>
  <c r="Q13" i="3"/>
  <c r="Q15" i="3"/>
  <c r="Q43" i="3"/>
  <c r="Q65" i="3"/>
  <c r="Q69" i="3"/>
  <c r="Q78" i="3"/>
  <c r="Q82" i="3"/>
  <c r="Q86" i="3"/>
  <c r="Q79" i="3"/>
  <c r="Q80" i="3"/>
  <c r="Q84" i="3"/>
  <c r="Q85" i="3"/>
  <c r="Q75" i="3"/>
  <c r="Q21" i="3"/>
  <c r="Q29" i="3"/>
  <c r="Q27" i="3"/>
  <c r="Q17" i="3"/>
  <c r="Q20" i="3"/>
  <c r="Q22" i="3"/>
  <c r="Q18" i="3"/>
  <c r="Q14" i="3"/>
  <c r="Q24" i="3"/>
  <c r="Q19" i="3"/>
  <c r="Q26" i="3"/>
  <c r="Q44" i="3"/>
  <c r="Q23" i="3"/>
  <c r="Q90" i="3"/>
  <c r="Q91" i="3"/>
  <c r="Q64" i="3"/>
  <c r="Q63" i="3"/>
  <c r="Q67" i="3"/>
  <c r="Q66" i="3"/>
  <c r="Q68" i="3"/>
  <c r="E64" i="8"/>
  <c r="D64" i="8"/>
  <c r="B64" i="8"/>
  <c r="A64" i="8"/>
  <c r="E63" i="8"/>
  <c r="D63" i="8"/>
  <c r="B63" i="8"/>
  <c r="A63" i="8"/>
  <c r="E62" i="8"/>
  <c r="D62" i="8"/>
  <c r="B62" i="8"/>
  <c r="A62" i="8"/>
  <c r="E61" i="8"/>
  <c r="D61" i="8"/>
  <c r="B61" i="8"/>
  <c r="A61" i="8"/>
  <c r="E60" i="8"/>
  <c r="D60" i="8"/>
  <c r="B60" i="8"/>
  <c r="A60" i="8"/>
  <c r="E59" i="8"/>
  <c r="D59" i="8"/>
  <c r="B59" i="8"/>
  <c r="A59" i="8"/>
  <c r="E58" i="8"/>
  <c r="D58" i="8"/>
  <c r="B58" i="8"/>
  <c r="A58" i="8"/>
  <c r="P39" i="3" l="1"/>
  <c r="P37" i="3"/>
  <c r="P35" i="3"/>
  <c r="P41" i="3"/>
  <c r="P16" i="3"/>
  <c r="P28" i="3"/>
  <c r="P58" i="3"/>
  <c r="P30" i="3"/>
  <c r="P31" i="3"/>
  <c r="P34" i="3"/>
  <c r="P81" i="3"/>
  <c r="P73" i="3"/>
  <c r="P40" i="3"/>
  <c r="P38" i="3"/>
  <c r="P36" i="3"/>
  <c r="P42" i="3"/>
  <c r="P60" i="3"/>
  <c r="P57" i="3"/>
  <c r="P88" i="3"/>
  <c r="P48" i="3"/>
  <c r="P59" i="3"/>
  <c r="P45" i="3"/>
  <c r="P56" i="3"/>
  <c r="P55" i="3"/>
  <c r="P61" i="3"/>
  <c r="P62" i="3"/>
  <c r="P87" i="3"/>
  <c r="P83" i="3"/>
  <c r="P89" i="3"/>
  <c r="P70" i="3"/>
  <c r="P3" i="3"/>
  <c r="P4" i="3"/>
  <c r="P6" i="3"/>
  <c r="P7" i="3"/>
  <c r="P8" i="3"/>
  <c r="P9" i="3"/>
  <c r="P11" i="3"/>
  <c r="P25" i="3"/>
  <c r="P32" i="3"/>
  <c r="P33" i="3"/>
  <c r="P46" i="3"/>
  <c r="P47" i="3"/>
  <c r="P49" i="3"/>
  <c r="P50" i="3"/>
  <c r="P51" i="3"/>
  <c r="P52" i="3"/>
  <c r="P53" i="3"/>
  <c r="P54" i="3"/>
  <c r="P71" i="3"/>
  <c r="P74" i="3"/>
  <c r="P76" i="3"/>
  <c r="P77" i="3"/>
  <c r="P5" i="3"/>
  <c r="P12" i="3"/>
  <c r="P72" i="3"/>
  <c r="P10" i="3"/>
  <c r="P13" i="3"/>
  <c r="P15" i="3"/>
  <c r="P43" i="3"/>
  <c r="P65" i="3"/>
  <c r="P69" i="3"/>
  <c r="P78" i="3"/>
  <c r="P82" i="3"/>
  <c r="P86" i="3"/>
  <c r="P79" i="3"/>
  <c r="P80" i="3"/>
  <c r="P84" i="3"/>
  <c r="P85" i="3"/>
  <c r="P75" i="3"/>
  <c r="P21" i="3"/>
  <c r="P29" i="3"/>
  <c r="P27" i="3"/>
  <c r="P17" i="3"/>
  <c r="P20" i="3"/>
  <c r="P22" i="3"/>
  <c r="P18" i="3"/>
  <c r="P14" i="3"/>
  <c r="P24" i="3"/>
  <c r="P19" i="3"/>
  <c r="P26" i="3"/>
  <c r="P44" i="3"/>
  <c r="P23" i="3"/>
  <c r="P90" i="3"/>
  <c r="P91" i="3"/>
  <c r="P64" i="3"/>
  <c r="P63" i="3"/>
  <c r="P67" i="3"/>
  <c r="P66" i="3"/>
  <c r="P68" i="3"/>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O39" i="3" l="1"/>
  <c r="O37" i="3"/>
  <c r="O35" i="3"/>
  <c r="O41" i="3"/>
  <c r="O16" i="3"/>
  <c r="O28" i="3"/>
  <c r="O30" i="3"/>
  <c r="O58" i="3"/>
  <c r="O31" i="3"/>
  <c r="O34" i="3"/>
  <c r="O81" i="3"/>
  <c r="O73" i="3"/>
  <c r="O40" i="3"/>
  <c r="O38" i="3"/>
  <c r="O36" i="3"/>
  <c r="O42" i="3"/>
  <c r="O57" i="3"/>
  <c r="O60" i="3"/>
  <c r="O88" i="3"/>
  <c r="O59" i="3"/>
  <c r="O45" i="3"/>
  <c r="O48" i="3"/>
  <c r="O56" i="3"/>
  <c r="O55" i="3"/>
  <c r="O61" i="3"/>
  <c r="O83" i="3"/>
  <c r="O87" i="3"/>
  <c r="O62" i="3"/>
  <c r="O89" i="3"/>
  <c r="O70" i="3"/>
  <c r="O3" i="3"/>
  <c r="O4" i="3"/>
  <c r="O6" i="3"/>
  <c r="O7" i="3"/>
  <c r="O8" i="3"/>
  <c r="O9" i="3"/>
  <c r="O11" i="3"/>
  <c r="O25" i="3"/>
  <c r="O32" i="3"/>
  <c r="O33" i="3"/>
  <c r="O46" i="3"/>
  <c r="O47" i="3"/>
  <c r="O49" i="3"/>
  <c r="O50" i="3"/>
  <c r="O51" i="3"/>
  <c r="O52" i="3"/>
  <c r="O53" i="3"/>
  <c r="O54" i="3"/>
  <c r="O71" i="3"/>
  <c r="O74" i="3"/>
  <c r="O76" i="3"/>
  <c r="O77" i="3"/>
  <c r="O5" i="3"/>
  <c r="O12" i="3"/>
  <c r="O72" i="3"/>
  <c r="O10" i="3"/>
  <c r="O13" i="3"/>
  <c r="O15" i="3"/>
  <c r="O43" i="3"/>
  <c r="O65" i="3"/>
  <c r="O69" i="3"/>
  <c r="O78" i="3"/>
  <c r="O82" i="3"/>
  <c r="O86" i="3"/>
  <c r="O79" i="3"/>
  <c r="O80" i="3"/>
  <c r="O84" i="3"/>
  <c r="O85" i="3"/>
  <c r="O75" i="3"/>
  <c r="O21" i="3"/>
  <c r="O29" i="3"/>
  <c r="O27" i="3"/>
  <c r="O17" i="3"/>
  <c r="O20" i="3"/>
  <c r="O22" i="3"/>
  <c r="O18" i="3"/>
  <c r="O14" i="3"/>
  <c r="O24" i="3"/>
  <c r="O19" i="3"/>
  <c r="O26" i="3"/>
  <c r="O44" i="3"/>
  <c r="O23" i="3"/>
  <c r="O90" i="3"/>
  <c r="O91" i="3"/>
  <c r="O64" i="3"/>
  <c r="O63" i="3"/>
  <c r="O67" i="3"/>
  <c r="O66" i="3"/>
  <c r="O68" i="3"/>
  <c r="E46" i="8"/>
  <c r="D46" i="8"/>
  <c r="B46" i="8"/>
  <c r="A46" i="8"/>
  <c r="E45" i="8"/>
  <c r="D45" i="8"/>
  <c r="B45" i="8"/>
  <c r="A45" i="8"/>
  <c r="E42" i="8"/>
  <c r="D42" i="8"/>
  <c r="B42" i="8"/>
  <c r="A42" i="8"/>
  <c r="E41" i="8"/>
  <c r="D41" i="8"/>
  <c r="B41" i="8"/>
  <c r="A41" i="8"/>
  <c r="N39" i="3" l="1"/>
  <c r="N37" i="3"/>
  <c r="N35" i="3"/>
  <c r="N41" i="3"/>
  <c r="N16" i="3"/>
  <c r="N28" i="3"/>
  <c r="N58" i="3"/>
  <c r="N30" i="3"/>
  <c r="N31" i="3"/>
  <c r="N34" i="3"/>
  <c r="N81" i="3"/>
  <c r="N73" i="3"/>
  <c r="N40" i="3"/>
  <c r="N38" i="3"/>
  <c r="N36" i="3"/>
  <c r="N42" i="3"/>
  <c r="N57" i="3"/>
  <c r="N60" i="3"/>
  <c r="N88" i="3"/>
  <c r="N48" i="3"/>
  <c r="N59" i="3"/>
  <c r="N45" i="3"/>
  <c r="N56" i="3"/>
  <c r="N61" i="3"/>
  <c r="N55" i="3"/>
  <c r="N62" i="3"/>
  <c r="N83" i="3"/>
  <c r="N87" i="3"/>
  <c r="N89" i="3"/>
  <c r="N70" i="3"/>
  <c r="N3" i="3"/>
  <c r="N4" i="3"/>
  <c r="N6" i="3"/>
  <c r="N7" i="3"/>
  <c r="N8" i="3"/>
  <c r="N9" i="3"/>
  <c r="N11" i="3"/>
  <c r="N25" i="3"/>
  <c r="N32" i="3"/>
  <c r="N33" i="3"/>
  <c r="N46" i="3"/>
  <c r="N47" i="3"/>
  <c r="N49" i="3"/>
  <c r="N50" i="3"/>
  <c r="N51" i="3"/>
  <c r="N52" i="3"/>
  <c r="N53" i="3"/>
  <c r="N54" i="3"/>
  <c r="N71" i="3"/>
  <c r="N74" i="3"/>
  <c r="N76" i="3"/>
  <c r="N77" i="3"/>
  <c r="N5" i="3"/>
  <c r="N12" i="3"/>
  <c r="N72" i="3"/>
  <c r="N10" i="3"/>
  <c r="N13" i="3"/>
  <c r="N15" i="3"/>
  <c r="N43" i="3"/>
  <c r="N65" i="3"/>
  <c r="N69" i="3"/>
  <c r="N78" i="3"/>
  <c r="N82" i="3"/>
  <c r="N86" i="3"/>
  <c r="N79" i="3"/>
  <c r="N80" i="3"/>
  <c r="N84" i="3"/>
  <c r="N85" i="3"/>
  <c r="N75" i="3"/>
  <c r="N21" i="3"/>
  <c r="N29" i="3"/>
  <c r="N27" i="3"/>
  <c r="N17" i="3"/>
  <c r="N20" i="3"/>
  <c r="N22" i="3"/>
  <c r="N18" i="3"/>
  <c r="N14" i="3"/>
  <c r="N24" i="3"/>
  <c r="N19" i="3"/>
  <c r="N26" i="3"/>
  <c r="N44" i="3"/>
  <c r="N23" i="3"/>
  <c r="N90" i="3"/>
  <c r="N91" i="3"/>
  <c r="N64" i="3"/>
  <c r="N63" i="3"/>
  <c r="N67" i="3"/>
  <c r="N66" i="3"/>
  <c r="N68" i="3"/>
  <c r="A54" i="10"/>
  <c r="A42" i="10"/>
  <c r="G7" i="10"/>
  <c r="G6" i="10"/>
  <c r="L7" i="10"/>
  <c r="G5" i="10"/>
  <c r="L6" i="10"/>
  <c r="L5" i="10"/>
  <c r="A13" i="10" s="1"/>
  <c r="A37" i="10" l="1"/>
  <c r="A27" i="10"/>
  <c r="A36" i="10"/>
  <c r="E36" i="10" s="1"/>
  <c r="A26" i="10"/>
  <c r="E26" i="10" s="1"/>
  <c r="A34" i="10"/>
  <c r="A24" i="10"/>
  <c r="A32" i="10"/>
  <c r="A22" i="10"/>
  <c r="A31" i="10"/>
  <c r="E31" i="10" s="1"/>
  <c r="A21" i="10"/>
  <c r="E21" i="10" s="1"/>
  <c r="A33" i="10"/>
  <c r="A23" i="10"/>
  <c r="A39" i="10"/>
  <c r="E39" i="10" s="1"/>
  <c r="A29" i="10"/>
  <c r="A38" i="10"/>
  <c r="A28" i="10"/>
  <c r="A12" i="10"/>
  <c r="A14" i="10"/>
  <c r="A16" i="10"/>
  <c r="E16" i="10" s="1"/>
  <c r="A17" i="10"/>
  <c r="A18" i="10"/>
  <c r="A19" i="10"/>
  <c r="A11" i="10"/>
  <c r="E11" i="10" s="1"/>
  <c r="E37" i="10" l="1"/>
  <c r="E38" i="10" s="1"/>
  <c r="E27" i="10"/>
  <c r="E28" i="10" s="1"/>
  <c r="E29" i="10" s="1"/>
  <c r="E17" i="10"/>
  <c r="E18" i="10" s="1"/>
  <c r="E19" i="10" s="1"/>
  <c r="E22" i="10"/>
  <c r="E23" i="10" s="1"/>
  <c r="E24" i="10" s="1"/>
  <c r="E12" i="10"/>
  <c r="E13" i="10" s="1"/>
  <c r="E14" i="10" s="1"/>
  <c r="E32" i="10"/>
  <c r="E33" i="10" s="1"/>
  <c r="E34" i="10" s="1"/>
  <c r="J28" i="10"/>
  <c r="H28" i="10"/>
  <c r="I28" i="10"/>
  <c r="K28" i="10"/>
  <c r="K19" i="10"/>
  <c r="J19" i="10"/>
  <c r="I19" i="10"/>
  <c r="H19" i="10"/>
  <c r="J38" i="10"/>
  <c r="I38" i="10"/>
  <c r="H38" i="10"/>
  <c r="K38" i="10"/>
  <c r="K32" i="10"/>
  <c r="J32" i="10"/>
  <c r="H32" i="10"/>
  <c r="I32" i="10"/>
  <c r="J18" i="10"/>
  <c r="I18" i="10"/>
  <c r="H18" i="10"/>
  <c r="K18" i="10"/>
  <c r="K29" i="10"/>
  <c r="J29" i="10"/>
  <c r="I29" i="10"/>
  <c r="H29" i="10"/>
  <c r="D24" i="10"/>
  <c r="J24" i="10"/>
  <c r="I24" i="10"/>
  <c r="H24" i="10"/>
  <c r="K24" i="10"/>
  <c r="J11" i="10"/>
  <c r="H11" i="10"/>
  <c r="I11" i="10"/>
  <c r="K11" i="10"/>
  <c r="K34" i="10"/>
  <c r="J34" i="10"/>
  <c r="I34" i="10"/>
  <c r="H34" i="10"/>
  <c r="J26" i="10"/>
  <c r="H26" i="10"/>
  <c r="I26" i="10"/>
  <c r="K26" i="10"/>
  <c r="J13" i="10"/>
  <c r="I13" i="10"/>
  <c r="H13" i="10"/>
  <c r="K13" i="10"/>
  <c r="J33" i="10"/>
  <c r="H33" i="10"/>
  <c r="I33" i="10"/>
  <c r="K33" i="10"/>
  <c r="J36" i="10"/>
  <c r="H36" i="10"/>
  <c r="I36" i="10"/>
  <c r="K36" i="10"/>
  <c r="K17" i="10"/>
  <c r="J17" i="10"/>
  <c r="H17" i="10"/>
  <c r="I17" i="10"/>
  <c r="J23" i="10"/>
  <c r="I23" i="10"/>
  <c r="H23" i="10"/>
  <c r="K23" i="10"/>
  <c r="J14" i="10"/>
  <c r="K14" i="10"/>
  <c r="I14" i="10"/>
  <c r="H14" i="10"/>
  <c r="J21" i="10"/>
  <c r="H21" i="10"/>
  <c r="I21" i="10"/>
  <c r="K21" i="10"/>
  <c r="K27" i="10"/>
  <c r="J27" i="10"/>
  <c r="H27" i="10"/>
  <c r="I27" i="10"/>
  <c r="J22" i="10"/>
  <c r="H22" i="10"/>
  <c r="K22" i="10"/>
  <c r="I22" i="10"/>
  <c r="K39" i="10"/>
  <c r="J39" i="10"/>
  <c r="H39" i="10"/>
  <c r="I39" i="10"/>
  <c r="J16" i="10"/>
  <c r="H16" i="10"/>
  <c r="I16" i="10"/>
  <c r="K16" i="10"/>
  <c r="C12" i="10"/>
  <c r="J12" i="10"/>
  <c r="H12" i="10"/>
  <c r="I12" i="10"/>
  <c r="K12" i="10"/>
  <c r="J31" i="10"/>
  <c r="I31" i="10"/>
  <c r="H31" i="10"/>
  <c r="K31" i="10"/>
  <c r="K37" i="10"/>
  <c r="J37" i="10"/>
  <c r="I37" i="10"/>
  <c r="H37" i="10"/>
  <c r="D12" i="10"/>
  <c r="F12" i="10"/>
  <c r="G12" i="10"/>
  <c r="B12" i="10"/>
  <c r="C24" i="10"/>
  <c r="F24" i="10"/>
  <c r="C16" i="10"/>
  <c r="B16" i="10"/>
  <c r="F16" i="10"/>
  <c r="G16" i="10"/>
  <c r="D16" i="10"/>
  <c r="B24" i="10"/>
  <c r="G24" i="10"/>
  <c r="G34" i="10"/>
  <c r="F34" i="10"/>
  <c r="B34" i="10"/>
  <c r="D34" i="10"/>
  <c r="C34" i="10"/>
  <c r="D33" i="10"/>
  <c r="B33" i="10"/>
  <c r="G33" i="10"/>
  <c r="F33" i="10"/>
  <c r="C33" i="10"/>
  <c r="B62" i="10"/>
  <c r="G62" i="10"/>
  <c r="F62" i="10"/>
  <c r="C62" i="10"/>
  <c r="D62" i="10"/>
  <c r="B23" i="10"/>
  <c r="G23" i="10"/>
  <c r="F23" i="10"/>
  <c r="D23" i="10"/>
  <c r="C23" i="10"/>
  <c r="G63" i="10"/>
  <c r="F63" i="10"/>
  <c r="D63" i="10"/>
  <c r="C63" i="10"/>
  <c r="B63" i="10"/>
  <c r="F26" i="10"/>
  <c r="D26" i="10"/>
  <c r="C26" i="10"/>
  <c r="B26" i="10"/>
  <c r="G26" i="10"/>
  <c r="F49" i="10"/>
  <c r="C49" i="10"/>
  <c r="B49" i="10"/>
  <c r="G49" i="10"/>
  <c r="D49" i="10"/>
  <c r="C39" i="10"/>
  <c r="B39" i="10"/>
  <c r="F39" i="10"/>
  <c r="G39" i="10"/>
  <c r="D39" i="10"/>
  <c r="G17" i="10"/>
  <c r="D17" i="10"/>
  <c r="F17" i="10"/>
  <c r="C17" i="10"/>
  <c r="B17" i="10"/>
  <c r="C29" i="10"/>
  <c r="B29" i="10"/>
  <c r="F29" i="10"/>
  <c r="G29" i="10"/>
  <c r="D29" i="10"/>
  <c r="G55" i="10"/>
  <c r="F55" i="10"/>
  <c r="D55" i="10"/>
  <c r="C55" i="10"/>
  <c r="B55" i="10"/>
  <c r="D22" i="10"/>
  <c r="C22" i="10"/>
  <c r="B22" i="10"/>
  <c r="G22" i="10"/>
  <c r="F22" i="10"/>
  <c r="G47" i="10"/>
  <c r="F47" i="10"/>
  <c r="B47" i="10"/>
  <c r="D47" i="10"/>
  <c r="C47" i="10"/>
  <c r="F38" i="10"/>
  <c r="D38" i="10"/>
  <c r="G38" i="10"/>
  <c r="C38" i="10"/>
  <c r="B38" i="10"/>
  <c r="F11" i="10"/>
  <c r="D11" i="10"/>
  <c r="C11" i="10"/>
  <c r="B11" i="10"/>
  <c r="G11" i="10"/>
  <c r="G27" i="10"/>
  <c r="D27" i="10"/>
  <c r="C27" i="10"/>
  <c r="F27" i="10"/>
  <c r="B27" i="10"/>
  <c r="G51" i="10"/>
  <c r="F51" i="10"/>
  <c r="B51" i="10"/>
  <c r="C51" i="10"/>
  <c r="D51" i="10"/>
  <c r="F36" i="10"/>
  <c r="D36" i="10"/>
  <c r="C36" i="10"/>
  <c r="B36" i="10"/>
  <c r="G36" i="10"/>
  <c r="B58" i="10"/>
  <c r="G58" i="10"/>
  <c r="F58" i="10"/>
  <c r="C58" i="10"/>
  <c r="D58" i="10"/>
  <c r="G43" i="10"/>
  <c r="F43" i="10"/>
  <c r="B43" i="10"/>
  <c r="D43" i="10"/>
  <c r="C43" i="10"/>
  <c r="G68" i="10"/>
  <c r="F68" i="10"/>
  <c r="D68" i="10"/>
  <c r="C68" i="10"/>
  <c r="B68" i="10"/>
  <c r="D65" i="10"/>
  <c r="C65" i="10"/>
  <c r="B65" i="10"/>
  <c r="F65" i="10"/>
  <c r="G65" i="10"/>
  <c r="F28" i="10"/>
  <c r="D28" i="10"/>
  <c r="B28" i="10"/>
  <c r="G28" i="10"/>
  <c r="C28" i="10"/>
  <c r="C19" i="10"/>
  <c r="B19" i="10"/>
  <c r="F19" i="10"/>
  <c r="G19" i="10"/>
  <c r="D19" i="10"/>
  <c r="G37" i="10"/>
  <c r="D37" i="10"/>
  <c r="C37" i="10"/>
  <c r="F37" i="10"/>
  <c r="B37" i="10"/>
  <c r="G21" i="10"/>
  <c r="F21" i="10"/>
  <c r="C21" i="10"/>
  <c r="D21" i="10"/>
  <c r="B21" i="10"/>
  <c r="D69" i="10"/>
  <c r="C69" i="10"/>
  <c r="B69" i="10"/>
  <c r="F69" i="10"/>
  <c r="G69" i="10"/>
  <c r="G64" i="10"/>
  <c r="F64" i="10"/>
  <c r="D64" i="10"/>
  <c r="C64" i="10"/>
  <c r="B64" i="10"/>
  <c r="D61" i="10"/>
  <c r="C61" i="10"/>
  <c r="B61" i="10"/>
  <c r="F61" i="10"/>
  <c r="G61" i="10"/>
  <c r="G60" i="10"/>
  <c r="F60" i="10"/>
  <c r="D60" i="10"/>
  <c r="C60" i="10"/>
  <c r="B60" i="10"/>
  <c r="F44" i="10"/>
  <c r="D44" i="10"/>
  <c r="C44" i="10"/>
  <c r="G44" i="10"/>
  <c r="B44" i="10"/>
  <c r="B18" i="10"/>
  <c r="G18" i="10"/>
  <c r="F18" i="10"/>
  <c r="D18" i="10"/>
  <c r="C18" i="10"/>
  <c r="C46" i="10"/>
  <c r="D46" i="10"/>
  <c r="G46" i="10"/>
  <c r="F46" i="10"/>
  <c r="B46" i="10"/>
  <c r="G59" i="10"/>
  <c r="F59" i="10"/>
  <c r="D59" i="10"/>
  <c r="C59" i="10"/>
  <c r="B59" i="10"/>
  <c r="D14" i="10"/>
  <c r="C14" i="10"/>
  <c r="B14" i="10"/>
  <c r="G14" i="10"/>
  <c r="F14" i="10"/>
  <c r="D57" i="10"/>
  <c r="C57" i="10"/>
  <c r="B57" i="10"/>
  <c r="F57" i="10"/>
  <c r="G57" i="10"/>
  <c r="F48" i="10"/>
  <c r="D48" i="10"/>
  <c r="C48" i="10"/>
  <c r="G48" i="10"/>
  <c r="B48" i="10"/>
  <c r="C13" i="10"/>
  <c r="B13" i="10"/>
  <c r="F13" i="10"/>
  <c r="G13" i="10"/>
  <c r="D13" i="10"/>
  <c r="C50" i="10"/>
  <c r="D50" i="10"/>
  <c r="G50" i="10"/>
  <c r="F50" i="10"/>
  <c r="B50" i="10"/>
  <c r="B66" i="10"/>
  <c r="G66" i="10"/>
  <c r="F66" i="10"/>
  <c r="C66" i="10"/>
  <c r="D66" i="10"/>
  <c r="G67" i="10"/>
  <c r="F67" i="10"/>
  <c r="D67" i="10"/>
  <c r="C67" i="10"/>
  <c r="B67" i="10"/>
  <c r="G31" i="10"/>
  <c r="F31" i="10"/>
  <c r="C31" i="10"/>
  <c r="B31" i="10"/>
  <c r="D31" i="10"/>
  <c r="D32" i="10"/>
  <c r="C32" i="10"/>
  <c r="G32" i="10"/>
  <c r="F32" i="10"/>
  <c r="B32" i="10"/>
  <c r="C45" i="10"/>
  <c r="B45" i="10"/>
  <c r="G45" i="10"/>
  <c r="F45" i="10"/>
  <c r="D45" i="10"/>
  <c r="A37" i="8" l="1"/>
  <c r="A38" i="8"/>
  <c r="B37" i="8"/>
  <c r="B38" i="8"/>
  <c r="D37" i="8"/>
  <c r="D38" i="8"/>
  <c r="E37" i="8"/>
  <c r="E38" i="8"/>
  <c r="A31" i="8" l="1"/>
  <c r="B31" i="8"/>
  <c r="D31" i="8"/>
  <c r="E31" i="8"/>
  <c r="A30" i="8" l="1"/>
  <c r="B30" i="8"/>
  <c r="D30" i="8"/>
  <c r="E30" i="8"/>
  <c r="A25" i="8" l="1"/>
  <c r="A26" i="8"/>
  <c r="A27" i="8"/>
  <c r="A28" i="8"/>
  <c r="A29" i="8"/>
  <c r="B25" i="8"/>
  <c r="B26" i="8"/>
  <c r="B27" i="8"/>
  <c r="B28" i="8"/>
  <c r="B29" i="8"/>
  <c r="D25" i="8"/>
  <c r="D26" i="8"/>
  <c r="D27" i="8"/>
  <c r="D28" i="8"/>
  <c r="D29" i="8"/>
  <c r="E25" i="8"/>
  <c r="E26" i="8"/>
  <c r="E27" i="8"/>
  <c r="E28" i="8"/>
  <c r="E29" i="8"/>
  <c r="A24" i="8"/>
  <c r="B24" i="8"/>
  <c r="D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D7" i="8"/>
  <c r="D8" i="8"/>
  <c r="D9" i="8"/>
  <c r="D10" i="8"/>
  <c r="D11" i="8"/>
  <c r="D12" i="8"/>
  <c r="D13" i="8"/>
  <c r="D14" i="8"/>
  <c r="D15" i="8"/>
  <c r="D16" i="8"/>
  <c r="D17" i="8"/>
  <c r="D18" i="8"/>
  <c r="D19" i="8"/>
  <c r="D20" i="8"/>
  <c r="D21" i="8"/>
  <c r="D22" i="8"/>
  <c r="D23" i="8"/>
  <c r="E7" i="8"/>
  <c r="E8" i="8"/>
  <c r="E9" i="8"/>
  <c r="E10" i="8"/>
  <c r="E11" i="8"/>
  <c r="E12" i="8"/>
  <c r="E13" i="8"/>
  <c r="E14" i="8"/>
  <c r="E15" i="8"/>
  <c r="E16" i="8"/>
  <c r="E17" i="8"/>
  <c r="E18" i="8"/>
  <c r="E19" i="8"/>
  <c r="E20" i="8"/>
  <c r="E21" i="8"/>
  <c r="E22" i="8"/>
  <c r="E23" i="8"/>
  <c r="B35" i="8" l="1"/>
  <c r="E35" i="8"/>
  <c r="E36" i="8"/>
  <c r="D35" i="8"/>
  <c r="D36" i="8"/>
  <c r="B36" i="8"/>
  <c r="A35" i="8"/>
  <c r="A36" i="8"/>
  <c r="E3" i="8"/>
  <c r="E4" i="8"/>
  <c r="E5" i="8"/>
  <c r="E6" i="8"/>
  <c r="D3" i="8"/>
  <c r="D4" i="8"/>
  <c r="D5" i="8"/>
  <c r="D6" i="8"/>
  <c r="B3" i="8"/>
  <c r="B4" i="8"/>
  <c r="B5" i="8"/>
  <c r="B6" i="8"/>
  <c r="A4" i="8"/>
  <c r="A5" i="8"/>
  <c r="A6" i="8"/>
  <c r="L83" i="3" s="1"/>
  <c r="L81" i="3" l="1"/>
  <c r="L39" i="3"/>
  <c r="L37" i="3"/>
  <c r="L35" i="3"/>
  <c r="L41" i="3"/>
  <c r="L16" i="3"/>
  <c r="L28" i="3"/>
  <c r="L58" i="3"/>
  <c r="L30" i="3"/>
  <c r="L31" i="3"/>
  <c r="L34" i="3"/>
  <c r="M39" i="3"/>
  <c r="M37" i="3"/>
  <c r="M35" i="3"/>
  <c r="M41" i="3"/>
  <c r="M16" i="3"/>
  <c r="M28" i="3"/>
  <c r="M58" i="3"/>
  <c r="M30" i="3"/>
  <c r="M31" i="3"/>
  <c r="M34" i="3"/>
  <c r="M81" i="3"/>
  <c r="M73" i="3"/>
  <c r="L73" i="3"/>
  <c r="L60" i="3"/>
  <c r="L40" i="3"/>
  <c r="L38" i="3"/>
  <c r="L36" i="3"/>
  <c r="L42" i="3"/>
  <c r="L59" i="3"/>
  <c r="L62" i="3"/>
  <c r="M40" i="3"/>
  <c r="M38" i="3"/>
  <c r="M36" i="3"/>
  <c r="M42" i="3"/>
  <c r="L57" i="3"/>
  <c r="M57" i="3"/>
  <c r="M60" i="3"/>
  <c r="M88" i="3"/>
  <c r="M59" i="3"/>
  <c r="M48" i="3"/>
  <c r="M45" i="3"/>
  <c r="M56" i="3"/>
  <c r="M55" i="3"/>
  <c r="M61" i="3"/>
  <c r="L87" i="3"/>
  <c r="L48" i="3"/>
  <c r="L61" i="3"/>
  <c r="L55" i="3"/>
  <c r="L56" i="3"/>
  <c r="L88" i="3"/>
  <c r="L45" i="3"/>
  <c r="M62" i="3"/>
  <c r="M83" i="3"/>
  <c r="M87" i="3"/>
  <c r="L7" i="3"/>
  <c r="L89" i="3"/>
  <c r="L70" i="3"/>
  <c r="L5" i="3"/>
  <c r="L12" i="3"/>
  <c r="L72" i="3"/>
  <c r="L10" i="3"/>
  <c r="L13" i="3"/>
  <c r="L15" i="3"/>
  <c r="L43" i="3"/>
  <c r="L65" i="3"/>
  <c r="L27" i="3"/>
  <c r="L14" i="3"/>
  <c r="L44" i="3"/>
  <c r="L64" i="3"/>
  <c r="L24" i="3"/>
  <c r="L63" i="3"/>
  <c r="L17" i="3"/>
  <c r="L67" i="3"/>
  <c r="L23" i="3"/>
  <c r="L90" i="3"/>
  <c r="L79" i="3"/>
  <c r="L20" i="3"/>
  <c r="L80" i="3"/>
  <c r="L66" i="3"/>
  <c r="L69" i="3"/>
  <c r="L75" i="3"/>
  <c r="L22" i="3"/>
  <c r="L26" i="3"/>
  <c r="L91" i="3"/>
  <c r="L78" i="3"/>
  <c r="L82" i="3"/>
  <c r="L85" i="3"/>
  <c r="L21" i="3"/>
  <c r="L86" i="3"/>
  <c r="L29" i="3"/>
  <c r="L18" i="3"/>
  <c r="L19" i="3"/>
  <c r="L84" i="3"/>
  <c r="L68" i="3"/>
  <c r="M89" i="3"/>
  <c r="M70" i="3"/>
  <c r="M3" i="3"/>
  <c r="M4" i="3"/>
  <c r="M5" i="3"/>
  <c r="M12" i="3"/>
  <c r="M72" i="3"/>
  <c r="M10" i="3"/>
  <c r="M13" i="3"/>
  <c r="M15" i="3"/>
  <c r="M43" i="3"/>
  <c r="M65" i="3"/>
  <c r="M69" i="3"/>
  <c r="M78" i="3"/>
  <c r="M82" i="3"/>
  <c r="M86" i="3"/>
  <c r="M79" i="3"/>
  <c r="M80" i="3"/>
  <c r="M84" i="3"/>
  <c r="M85" i="3"/>
  <c r="M75" i="3"/>
  <c r="M21" i="3"/>
  <c r="M29" i="3"/>
  <c r="M27" i="3"/>
  <c r="M17" i="3"/>
  <c r="M20" i="3"/>
  <c r="M22" i="3"/>
  <c r="M18" i="3"/>
  <c r="M14" i="3"/>
  <c r="M24" i="3"/>
  <c r="M19" i="3"/>
  <c r="M26" i="3"/>
  <c r="M44" i="3"/>
  <c r="M23" i="3"/>
  <c r="M90" i="3"/>
  <c r="M91" i="3"/>
  <c r="M64" i="3"/>
  <c r="M63" i="3"/>
  <c r="M67" i="3"/>
  <c r="M66" i="3"/>
  <c r="M68" i="3"/>
  <c r="L4" i="3"/>
  <c r="M46" i="3"/>
  <c r="M47" i="3"/>
  <c r="M71" i="3"/>
  <c r="M76" i="3"/>
  <c r="M77" i="3"/>
  <c r="M32" i="3"/>
  <c r="M33" i="3"/>
  <c r="M25" i="3"/>
  <c r="M9" i="3"/>
  <c r="M8" i="3"/>
  <c r="M51" i="3"/>
  <c r="M53" i="3"/>
  <c r="M52" i="3"/>
  <c r="M54" i="3"/>
  <c r="M7" i="3"/>
  <c r="M11" i="3"/>
  <c r="M6" i="3"/>
  <c r="M49" i="3"/>
  <c r="M50" i="3"/>
  <c r="M74" i="3"/>
  <c r="L8" i="3"/>
  <c r="L32" i="3"/>
  <c r="L52" i="3"/>
  <c r="L77" i="3"/>
  <c r="L51" i="3"/>
  <c r="L25" i="3"/>
  <c r="L74" i="3"/>
  <c r="L33" i="3"/>
  <c r="L71" i="3"/>
  <c r="L6" i="3"/>
  <c r="L11" i="3"/>
  <c r="L53" i="3"/>
  <c r="L49" i="3"/>
  <c r="L9" i="3"/>
  <c r="L47" i="3"/>
  <c r="L46" i="3"/>
  <c r="L54" i="3"/>
  <c r="L76" i="3"/>
  <c r="L50" i="3"/>
  <c r="L3" i="3"/>
</calcChain>
</file>

<file path=xl/sharedStrings.xml><?xml version="1.0" encoding="utf-8"?>
<sst xmlns="http://schemas.openxmlformats.org/spreadsheetml/2006/main" count="1458" uniqueCount="359">
  <si>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</si>
  <si>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</si>
  <si>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</si>
  <si>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</si>
  <si>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</si>
  <si>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</si>
  <si>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</si>
  <si>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</si>
  <si>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</si>
  <si>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2025 Full-Time Enrolment Planner</t>
  </si>
  <si>
    <t>Course:</t>
  </si>
  <si>
    <t>Bachelor of Communications</t>
  </si>
  <si>
    <t>Course version:</t>
  </si>
  <si>
    <t>First Specialisation:</t>
  </si>
  <si>
    <t>Journalism Specialisation</t>
  </si>
  <si>
    <t>First Specialisation version:</t>
  </si>
  <si>
    <t>Second Specialisation:</t>
  </si>
  <si>
    <t>Digital Experience Communication Specialisation</t>
  </si>
  <si>
    <t>Commencing:</t>
  </si>
  <si>
    <t>Semester 1 (February - June)</t>
  </si>
  <si>
    <t>Credits to Complete:</t>
  </si>
  <si>
    <t>2025 Availabilities</t>
  </si>
  <si>
    <t>Year 1</t>
  </si>
  <si>
    <t>Study Period</t>
  </si>
  <si>
    <t>Pre Requisite(s)</t>
  </si>
  <si>
    <t>CP</t>
  </si>
  <si>
    <t>Sem1 BEN</t>
  </si>
  <si>
    <t>Sem1 FO</t>
  </si>
  <si>
    <t>Sem2 BEN</t>
  </si>
  <si>
    <t>Sem2 FO</t>
  </si>
  <si>
    <t>Notes / Progress</t>
  </si>
  <si>
    <t>Year 2</t>
  </si>
  <si>
    <t>Year 3</t>
  </si>
  <si>
    <t>First Specialisation Units</t>
  </si>
  <si>
    <t>Second Specialisation Units</t>
  </si>
  <si>
    <t>Y1 Option Units</t>
  </si>
  <si>
    <r>
      <t xml:space="preserve">See Enrolment Guidelines for </t>
    </r>
    <r>
      <rPr>
        <b/>
        <u/>
        <sz val="10"/>
        <color theme="0"/>
        <rFont val="Segoe UI"/>
        <family val="2"/>
      </rPr>
      <t>RECOMMENDED</t>
    </r>
    <r>
      <rPr>
        <b/>
        <sz val="10"/>
        <color theme="0"/>
        <rFont val="Segoe UI"/>
        <family val="2"/>
      </rPr>
      <t xml:space="preserve"> options</t>
    </r>
  </si>
  <si>
    <t>OptionY1</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</si>
  <si>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</si>
  <si>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</si>
  <si>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</si>
  <si>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TableCourses</t>
  </si>
  <si>
    <t>RangeUnitSets</t>
  </si>
  <si>
    <t>B-MASCOMSSem1</t>
  </si>
  <si>
    <t>B-MASCOMSSem2</t>
  </si>
  <si>
    <t>Choose your Course</t>
  </si>
  <si>
    <t>SM Version</t>
  </si>
  <si>
    <t>SM Effective Date</t>
  </si>
  <si>
    <t>Akari Iteration</t>
  </si>
  <si>
    <t>Akari Effective Date</t>
  </si>
  <si>
    <t>Credit Points</t>
  </si>
  <si>
    <t>SM Availabilities</t>
  </si>
  <si>
    <t>Y1Sem1</t>
  </si>
  <si>
    <t>COMS1010</t>
  </si>
  <si>
    <t>Y1Sem2</t>
  </si>
  <si>
    <t>NETS1001</t>
  </si>
  <si>
    <t>Check sequence of Core Y1 units</t>
  </si>
  <si>
    <t>B-MASCOMS</t>
  </si>
  <si>
    <t>v.4</t>
  </si>
  <si>
    <t>600 credit points required</t>
  </si>
  <si>
    <t>Int - Sem1; Sem2</t>
  </si>
  <si>
    <t>FO Availability NOT ticked for 2025</t>
  </si>
  <si>
    <t>COMS1003</t>
  </si>
  <si>
    <t>COMS1001</t>
  </si>
  <si>
    <t>Opt-Y1</t>
  </si>
  <si>
    <t>TableFirstSpecialisation</t>
  </si>
  <si>
    <t>Choose your first Specialisation (drop-down list)</t>
  </si>
  <si>
    <t>Corporate Screen Communication Specialisation</t>
  </si>
  <si>
    <t>SPUC-CSCOM</t>
  </si>
  <si>
    <t>v.1</t>
  </si>
  <si>
    <t>100 credit points required</t>
  </si>
  <si>
    <t>SPUC-JOURL</t>
  </si>
  <si>
    <t>v.2</t>
  </si>
  <si>
    <t>Web Media Specialisation</t>
  </si>
  <si>
    <t>SPUC-WMCOM</t>
  </si>
  <si>
    <t>Journalism Communication Specialisation</t>
  </si>
  <si>
    <t>SPUC-JRCOM</t>
  </si>
  <si>
    <t>Retired</t>
  </si>
  <si>
    <t>Y2Sem1</t>
  </si>
  <si>
    <t>COMS2001</t>
  </si>
  <si>
    <t>Y2Sem2</t>
  </si>
  <si>
    <t>COMS2000</t>
  </si>
  <si>
    <t>Unit</t>
  </si>
  <si>
    <t>TableSecondSpecialisation</t>
  </si>
  <si>
    <t>Choose your second Specialisation (drop-down list)</t>
  </si>
  <si>
    <t>SPUC-DECOM</t>
  </si>
  <si>
    <t>Graphic Communication Specialisation</t>
  </si>
  <si>
    <t>SPUC-GRCOM</t>
  </si>
  <si>
    <t>Marketing Communication Specialisation</t>
  </si>
  <si>
    <t>SPUC-MKCOM</t>
  </si>
  <si>
    <t>Y3Sem1</t>
  </si>
  <si>
    <t>Y3Sem2</t>
  </si>
  <si>
    <t>Photography Communication Specialisation</t>
  </si>
  <si>
    <t>SPUC-PHCOM</t>
  </si>
  <si>
    <t>Public Relations Communication Specialisation</t>
  </si>
  <si>
    <t>SPUC-PRCOM</t>
  </si>
  <si>
    <t>Pre-Masters Journalism Specialisation</t>
  </si>
  <si>
    <t>SPUP-JOURL</t>
  </si>
  <si>
    <t>COMS3001</t>
  </si>
  <si>
    <t>TableStudyPeriod</t>
  </si>
  <si>
    <t>-</t>
  </si>
  <si>
    <t>Choose your commencing study period (drop-down list)</t>
  </si>
  <si>
    <t>START</t>
  </si>
  <si>
    <t>Next</t>
  </si>
  <si>
    <t>50CP Unit</t>
  </si>
  <si>
    <t>Sem1</t>
  </si>
  <si>
    <t>Sem2</t>
  </si>
  <si>
    <t>Semester 2 (July -  November)</t>
  </si>
  <si>
    <t>DropDownLists</t>
  </si>
  <si>
    <t>RangeSpecialisations</t>
  </si>
  <si>
    <t>Spec1</t>
  </si>
  <si>
    <t>RecOption</t>
  </si>
  <si>
    <t>Spec2</t>
  </si>
  <si>
    <t>SPRO1000</t>
  </si>
  <si>
    <t>JOUR1002</t>
  </si>
  <si>
    <t>NETS1000</t>
  </si>
  <si>
    <t>GRDE1004</t>
  </si>
  <si>
    <t>MKTG1000</t>
  </si>
  <si>
    <t>PUBR2002</t>
  </si>
  <si>
    <t>JOUR5000</t>
  </si>
  <si>
    <t>Spec3</t>
  </si>
  <si>
    <t>AND</t>
  </si>
  <si>
    <t>NETS2000</t>
  </si>
  <si>
    <t>GRDE1016</t>
  </si>
  <si>
    <t>JOUR5002</t>
  </si>
  <si>
    <t>Spec4</t>
  </si>
  <si>
    <t>NETS2001</t>
  </si>
  <si>
    <t>JOUR5005</t>
  </si>
  <si>
    <t>Not published 2024</t>
  </si>
  <si>
    <t>Spec5</t>
  </si>
  <si>
    <t>SCWR2000</t>
  </si>
  <si>
    <t>JOUR1003</t>
  </si>
  <si>
    <t>GRDE1005</t>
  </si>
  <si>
    <t>MKTG2000</t>
  </si>
  <si>
    <t>GRDE2027</t>
  </si>
  <si>
    <t>PUBR2000</t>
  </si>
  <si>
    <t>JOUR5010</t>
  </si>
  <si>
    <t>Spec6</t>
  </si>
  <si>
    <t>SPRO2000</t>
  </si>
  <si>
    <t>JOUR2000</t>
  </si>
  <si>
    <t>Opt-WMCOM</t>
  </si>
  <si>
    <t>GRDE2011</t>
  </si>
  <si>
    <t>GRDE2001</t>
  </si>
  <si>
    <t>MKTG2006</t>
  </si>
  <si>
    <t>GRDE2025</t>
  </si>
  <si>
    <t>PUBR2001</t>
  </si>
  <si>
    <t>Pre-Masters Journalism Specialisation*</t>
  </si>
  <si>
    <t>Spec7</t>
  </si>
  <si>
    <t>SPRO2004</t>
  </si>
  <si>
    <t>JOUR2002</t>
  </si>
  <si>
    <t>NETS2002</t>
  </si>
  <si>
    <t>ICTE2002</t>
  </si>
  <si>
    <t>GRDE2026</t>
  </si>
  <si>
    <t>VISA3018</t>
  </si>
  <si>
    <t>PUBR3001</t>
  </si>
  <si>
    <t>Spec8</t>
  </si>
  <si>
    <t>SPRO3004</t>
  </si>
  <si>
    <t>JOUR2005</t>
  </si>
  <si>
    <t>NETS2003</t>
  </si>
  <si>
    <t>GRDE2040</t>
  </si>
  <si>
    <t>Opt-MKCOM</t>
  </si>
  <si>
    <t>VISA3019</t>
  </si>
  <si>
    <t>1)      Update high level course / component &amp; study period details (Unitsets Tab)</t>
  </si>
  <si>
    <t>Spec9</t>
  </si>
  <si>
    <t>NETS3010</t>
  </si>
  <si>
    <t>Opt-GRCOM</t>
  </si>
  <si>
    <t>MKTG2001</t>
  </si>
  <si>
    <t>Opt-PRCOM</t>
  </si>
  <si>
    <t>2)      Update Planner page(s) to reference year of planner e.g. “2025” (Planner Tab)</t>
  </si>
  <si>
    <t>Spec10</t>
  </si>
  <si>
    <t>Opt-DECOM</t>
  </si>
  <si>
    <t>GRDE2007</t>
  </si>
  <si>
    <t>TOUR2001</t>
  </si>
  <si>
    <t>PUBR3000</t>
  </si>
  <si>
    <t>3)      Update structures (Structures Tab)</t>
  </si>
  <si>
    <t>Spec11</t>
  </si>
  <si>
    <t>GRDE1018</t>
  </si>
  <si>
    <t>GRDE2034</t>
  </si>
  <si>
    <t>MKTG2004</t>
  </si>
  <si>
    <t>PUBR3003</t>
  </si>
  <si>
    <t>4)      Update Handbook unit list from updated structures (Handbook Tab)</t>
  </si>
  <si>
    <t>Spec12</t>
  </si>
  <si>
    <t>GRDE2010</t>
  </si>
  <si>
    <t>MKTG3010</t>
  </si>
  <si>
    <t>5)      Update Availabilities using updated Handbook unit list (Availabilities Tab)</t>
  </si>
  <si>
    <t>Spec13</t>
  </si>
  <si>
    <t>GRDE2013</t>
  </si>
  <si>
    <t>6)      Update Pre Requisites (Handbook Tab)</t>
  </si>
  <si>
    <t>Spec14</t>
  </si>
  <si>
    <t>7)      Update sequences for courses / components (Unitsets Tab)</t>
  </si>
  <si>
    <t>Spec15</t>
  </si>
  <si>
    <t>8)      Review Handbook Tab for obvious issues / errors and enter notes (Handbook Tab)</t>
  </si>
  <si>
    <t>JOUR1002 removed from Spec Options as is already RecOption</t>
  </si>
  <si>
    <t>MKTG1000 removed from Spec Options as is already RecOption</t>
  </si>
  <si>
    <t>9)      Review Planner Tab(s) for obvious issues / errors (Planner Tab)</t>
  </si>
  <si>
    <t>RangeY1Options</t>
  </si>
  <si>
    <t>PWRP1003</t>
  </si>
  <si>
    <t>Title</t>
  </si>
  <si>
    <t>Pre-reqs (Downloaded: 16/09/2024)</t>
  </si>
  <si>
    <t>S1INT</t>
  </si>
  <si>
    <t>S1FO</t>
  </si>
  <si>
    <t>S2INT</t>
  </si>
  <si>
    <t>S2FO</t>
  </si>
  <si>
    <t>Notes</t>
  </si>
  <si>
    <t>Please note this is a 50CP unit</t>
  </si>
  <si>
    <t>--</t>
  </si>
  <si>
    <t>Not relevant to this Major</t>
  </si>
  <si>
    <t>Engaging Media</t>
  </si>
  <si>
    <t>None</t>
  </si>
  <si>
    <t>Culture to Cultures</t>
  </si>
  <si>
    <t>Academic and Professional Communications</t>
  </si>
  <si>
    <t>Media, Culture and Consumption</t>
  </si>
  <si>
    <t>100CP or COMS1001 or COMS1003</t>
  </si>
  <si>
    <t>Asian Media in Transition</t>
  </si>
  <si>
    <t>100CP or ASIA1005 or COMS1001 or COMS1003 or COMS1010</t>
  </si>
  <si>
    <t>Media and Communications Capstone</t>
  </si>
  <si>
    <t>400CP + COMS2000 + COMS2001</t>
  </si>
  <si>
    <t>Elective</t>
  </si>
  <si>
    <t>Study an Elective Unit</t>
  </si>
  <si>
    <t>See Handbook</t>
  </si>
  <si>
    <t>FirstSpecialisation</t>
  </si>
  <si>
    <t>Choose your First Specialisation</t>
  </si>
  <si>
    <t>Design Computing</t>
  </si>
  <si>
    <t>Typography</t>
  </si>
  <si>
    <t>Digital Design 1</t>
  </si>
  <si>
    <t>UX Design 1</t>
  </si>
  <si>
    <t>New 2025 Version</t>
  </si>
  <si>
    <t>GRDE1018.PO</t>
  </si>
  <si>
    <t>Old Version</t>
  </si>
  <si>
    <t>Graphic Design 1</t>
  </si>
  <si>
    <t>Graphic Design 2</t>
  </si>
  <si>
    <t>Motion Graphics Design Introduction</t>
  </si>
  <si>
    <t>GRDE1001 or GRDE1004 or GRDE1018</t>
  </si>
  <si>
    <t>Web Design 1</t>
  </si>
  <si>
    <t>GRDE1016 or GRDE1018</t>
  </si>
  <si>
    <t>Web Design 2</t>
  </si>
  <si>
    <t>Photography Studio Processes</t>
  </si>
  <si>
    <t>Creative Design Studio</t>
  </si>
  <si>
    <t>GRDE1004 + GRDE1005</t>
  </si>
  <si>
    <t>Photography Contexts and Practice</t>
  </si>
  <si>
    <t>Art Direction in Design and Advertising</t>
  </si>
  <si>
    <t>Multimodal Design 1</t>
  </si>
  <si>
    <t>UX Design 2</t>
  </si>
  <si>
    <t>ICTE2002.PO</t>
  </si>
  <si>
    <t>Introduction to Journalism</t>
  </si>
  <si>
    <t>Option in B-MASCOMS and also an option on JOURL Spec.</t>
  </si>
  <si>
    <t>News Writing and Reporting</t>
  </si>
  <si>
    <t>Radio News</t>
  </si>
  <si>
    <t>JOUR1002 or JOUR1001</t>
  </si>
  <si>
    <t>Video News</t>
  </si>
  <si>
    <t>Media Law and Ethics</t>
  </si>
  <si>
    <t>JOUR1002 or JOUR1000 or JOUR1001</t>
  </si>
  <si>
    <t>Graduate Media Law and Ethics</t>
  </si>
  <si>
    <t>JOUR5000.PO</t>
  </si>
  <si>
    <t>Ethical Frameworks and Media Law</t>
  </si>
  <si>
    <t>Graduate Radio News</t>
  </si>
  <si>
    <t>JOUR5002.PO</t>
  </si>
  <si>
    <t>Audio &amp; Deadline Journalism</t>
  </si>
  <si>
    <t>Graduate Video News</t>
  </si>
  <si>
    <t>JOUR5005.PO</t>
  </si>
  <si>
    <t>Video Journalism &amp; Storytelling</t>
  </si>
  <si>
    <t>Graduate Presentation for Broadcast</t>
  </si>
  <si>
    <t>JOUR5010.PO</t>
  </si>
  <si>
    <t>Audio &amp; Visual News Presentation</t>
  </si>
  <si>
    <t>Discovering Marketing</t>
  </si>
  <si>
    <t>Option in B-MASCOMS and also an option on MKTG Spec.</t>
  </si>
  <si>
    <t>Integrated Marketing Communications</t>
  </si>
  <si>
    <t>Brand Management</t>
  </si>
  <si>
    <t>Consumer Behaviour</t>
  </si>
  <si>
    <t>Managing Social Media Platforms</t>
  </si>
  <si>
    <t>Creating Content and Marketing Briefs</t>
  </si>
  <si>
    <t>300 Credit Points</t>
  </si>
  <si>
    <t>Digital Culture and Everyday Life</t>
  </si>
  <si>
    <t>Web Communications</t>
  </si>
  <si>
    <t>Web Media</t>
  </si>
  <si>
    <t>Writing on the Web</t>
  </si>
  <si>
    <t>Social Media, Communities and Networks</t>
  </si>
  <si>
    <t>The Digital Economy</t>
  </si>
  <si>
    <t>Online Games and Play</t>
  </si>
  <si>
    <t>Study ONE Digital Experience OPTION unit from:</t>
  </si>
  <si>
    <t>See below</t>
  </si>
  <si>
    <t>Study ONE Graphic OPTION unit from:</t>
  </si>
  <si>
    <t>Opt-JOURL</t>
  </si>
  <si>
    <t>Study FOUR Journalism OPTION units from:</t>
  </si>
  <si>
    <t>Study TWO Marketing OPTION units from:</t>
  </si>
  <si>
    <t>Study ONE Public Relations OPTION unit from:</t>
  </si>
  <si>
    <t>Study ONE Web Media OPTION unit from:</t>
  </si>
  <si>
    <t>Study a Year 1 OPTION unit from the list below</t>
  </si>
  <si>
    <t>Digital Public Relations and Storytelling</t>
  </si>
  <si>
    <t>Public Relations and Reputation Management</t>
  </si>
  <si>
    <t>Discovering Public Relations</t>
  </si>
  <si>
    <t>Public Relations in Industry</t>
  </si>
  <si>
    <t>Campaign Planning and Evaluation</t>
  </si>
  <si>
    <t>Cross-Cultural Communication</t>
  </si>
  <si>
    <t>Skills in Professional Writing</t>
  </si>
  <si>
    <t>Study your Recommended Year 1 Option Unit(s)</t>
  </si>
  <si>
    <t>Introduction to Screenwriting</t>
  </si>
  <si>
    <t>SecondSpecialisation</t>
  </si>
  <si>
    <t>Choose your Second Specialisation</t>
  </si>
  <si>
    <t>Introduction to Screen Practice</t>
  </si>
  <si>
    <t>SPRO1000.PO</t>
  </si>
  <si>
    <t>Introduction to Screen Industries</t>
  </si>
  <si>
    <t>Studio Production</t>
  </si>
  <si>
    <t>Creative Documentary and Actualities</t>
  </si>
  <si>
    <t>200 Credit Points</t>
  </si>
  <si>
    <t>Community Media Production</t>
  </si>
  <si>
    <t>SPRO2000 or SPRO2004</t>
  </si>
  <si>
    <t>Study all FOUR Corporate Screen CORE units</t>
  </si>
  <si>
    <t>Study all THREE Digital Experience CORE units</t>
  </si>
  <si>
    <t>Study all THREE Graphic CORE units</t>
  </si>
  <si>
    <t>Study all FOUR Journalism OPTION units</t>
  </si>
  <si>
    <t>SPUC-JRCOM.RE</t>
  </si>
  <si>
    <t>Study all FOUR Journalism CORE units</t>
  </si>
  <si>
    <t>Retired 31/12/2024</t>
  </si>
  <si>
    <t>Study BOTH Marketing CORE units</t>
  </si>
  <si>
    <t>Study all FOUR Photography CORE units</t>
  </si>
  <si>
    <t>Study all THREE Public Relations CORE units</t>
  </si>
  <si>
    <t>Study all THREE Web Media CORE units</t>
  </si>
  <si>
    <t>Study all FOUR Pre-Masters Journalism units</t>
  </si>
  <si>
    <t>See Handbook for Entry Requirements</t>
  </si>
  <si>
    <t>Marketing for Tourism, Hospitality and Events</t>
  </si>
  <si>
    <t>Study a 1st Specialisation, 2nd Specialisation or Elective unit</t>
  </si>
  <si>
    <t>Photography Professional Practices 1</t>
  </si>
  <si>
    <t>Photography Professional Practices 2</t>
  </si>
  <si>
    <t>Effective:</t>
  </si>
  <si>
    <t>Downloaded:</t>
  </si>
  <si>
    <t>V</t>
  </si>
  <si>
    <t>OUA Code</t>
  </si>
  <si>
    <t>CPs</t>
  </si>
  <si>
    <t>No.</t>
  </si>
  <si>
    <t>Component Type</t>
  </si>
  <si>
    <t>Year Level</t>
  </si>
  <si>
    <t>Study Package Code</t>
  </si>
  <si>
    <t>Structure Line</t>
  </si>
  <si>
    <t>Effective</t>
  </si>
  <si>
    <t>Discont.</t>
  </si>
  <si>
    <t>SPK</t>
  </si>
  <si>
    <t>Core</t>
  </si>
  <si>
    <t>Semester 1</t>
  </si>
  <si>
    <t>Semester 2</t>
  </si>
  <si>
    <t>Option</t>
  </si>
  <si>
    <t>NA</t>
  </si>
  <si>
    <t>Choose First Year Options</t>
  </si>
  <si>
    <t>Choose Electives</t>
  </si>
  <si>
    <t>JOUR1001</t>
  </si>
  <si>
    <t>Choose Options</t>
  </si>
  <si>
    <t>Choose an Option</t>
  </si>
  <si>
    <t>Row Labels</t>
  </si>
  <si>
    <t>Sem1 Internal</t>
  </si>
  <si>
    <t>Sem1 Online</t>
  </si>
  <si>
    <t>Sem2 Internal</t>
  </si>
  <si>
    <t>Sem2 Online</t>
  </si>
  <si>
    <t>JOUR1000</t>
  </si>
  <si>
    <t>JOUR2003</t>
  </si>
  <si>
    <t>MKTG2002</t>
  </si>
  <si>
    <t>MKTG2005</t>
  </si>
  <si>
    <t>MKTG3003</t>
  </si>
  <si>
    <t>MKTG3004</t>
  </si>
  <si>
    <t>MKTG3006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</si>
</sst>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8"/>
      <color rgb="FFFFFFFF"/>
      <name val="Segoe UI"/>
      <family val="2"/>
    </font>
    <font>
      <sz val="12"/>
      <color rgb="FFFF0000"/>
      <name val="Calibri"/>
      <family val="2"/>
      <scheme val="minor"/>
    </font>
    <font>
      <b/>
      <sz val="12"/>
      <color theme="0"/>
      <name val="Segoe UI"/>
      <family val="2"/>
    </font>
    <font>
      <b/>
      <sz val="14"/>
      <color theme="0"/>
      <name val="Segoe UI"/>
      <family val="2"/>
    </font>
    <font>
      <sz val="14"/>
      <color theme="1"/>
      <name val="Calibri"/>
      <family val="2"/>
      <scheme val="minor"/>
    </font>
    <font>
      <b/>
      <sz val="18"/>
      <color theme="1"/>
      <name val="Segoe UI"/>
      <family val="2"/>
    </font>
    <font>
      <b/>
      <sz val="11"/>
      <color rgb="FFFFFFFF"/>
      <name val="Arial"/>
      <family val="2"/>
    </font>
    <font>
      <sz val="11"/>
      <color rgb="FFFFFFFF"/>
      <name val="Arial"/>
      <family val="2"/>
    </font>
    <font>
      <b/>
      <i/>
      <sz val="12"/>
      <color theme="0" tint="-0.34998626667073579"/>
      <name val="Calibri"/>
      <family val="2"/>
      <scheme val="minor"/>
    </font>
    <font>
      <i/>
      <sz val="10"/>
      <color theme="0" tint="-0.34998626667073579"/>
      <name val="Arial"/>
      <family val="2"/>
    </font>
    <font>
      <b/>
      <sz val="11"/>
      <name val="Segoe UI"/>
      <family val="2"/>
    </font>
    <font>
      <b/>
      <sz val="10"/>
      <color theme="0"/>
      <name val="Segoe UI"/>
      <family val="2"/>
    </font>
    <font>
      <sz val="10"/>
      <color rgb="FF00B050"/>
      <name val="Arial"/>
      <family val="2"/>
    </font>
    <font>
      <b/>
      <sz val="14"/>
      <name val="Segoe UI"/>
      <family val="2"/>
    </font>
    <font>
      <b/>
      <sz val="8"/>
      <name val="Segoe UI"/>
      <family val="2"/>
    </font>
    <font>
      <sz val="10"/>
      <name val="Arial"/>
      <family val="2"/>
    </font>
    <font>
      <b/>
      <u/>
      <sz val="10"/>
      <color theme="0"/>
      <name val="Segoe UI"/>
      <family val="2"/>
    </font>
    <font>
      <sz val="11"/>
      <color theme="9" tint="0.79998168889431442"/>
      <name val="Calibri"/>
      <family val="2"/>
      <scheme val="minor"/>
    </font>
    <font>
      <sz val="11"/>
      <color theme="4" tint="0.79998168889431442"/>
      <name val="Calibri"/>
      <family val="2"/>
      <scheme val="minor"/>
    </font>
    <font>
      <sz val="11"/>
      <color rgb="FF006100"/>
      <name val="Calibri"/>
      <family val="2"/>
      <scheme val="minor"/>
    </font>
    <font>
      <sz val="10"/>
      <color theme="0" tint="-0.499984740745262"/>
      <name val="Arial"/>
      <family val="2"/>
    </font>
    <font>
      <sz val="11"/>
      <color theme="5"/>
      <name val="Calibri"/>
      <family val="2"/>
      <scheme val="minor"/>
    </font>
    <font>
      <sz val="10"/>
      <color rgb="FFFF0000"/>
      <name val="Arial"/>
      <family val="2"/>
    </font>
    <font>
      <b/>
      <i/>
      <sz val="12"/>
      <color rgb="FF00B050"/>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tint="0.79998168889431442"/>
        <bgColor rgb="FF000000"/>
      </patternFill>
    </fill>
    <fill>
      <patternFill patternType="solid">
        <fgColor theme="1"/>
        <bgColor indexed="64"/>
      </patternFill>
    </fill>
    <fill>
      <patternFill patternType="solid">
        <fgColor theme="5"/>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999999"/>
      </left>
      <right/>
      <top style="thin">
        <color rgb="FF999999"/>
      </top>
      <bottom style="thin">
        <color theme="0" tint="-0.14996795556505021"/>
      </bottom>
      <diagonal/>
    </border>
    <border>
      <left/>
      <right/>
      <top style="thin">
        <color rgb="FF999999"/>
      </top>
      <bottom style="thin">
        <color theme="0" tint="-0.14996795556505021"/>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57" fillId="17" borderId="0" applyNumberFormat="0" applyBorder="0" applyAlignment="0" applyProtection="0"/>
  </cellStyleXfs>
  <cellXfs count="220">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applyAlignment="1">
      <alignment horizontal="center"/>
    </xf>
    <xf numFmtId="0" fontId="8" fillId="0" borderId="0" xfId="0" applyFont="1"/>
    <xf numFmtId="0" fontId="8"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8"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0" fillId="0" borderId="0" xfId="0" applyFont="1"/>
    <xf numFmtId="0" fontId="13" fillId="0" borderId="0" xfId="0" applyFont="1"/>
    <xf numFmtId="0" fontId="11" fillId="0" borderId="0" xfId="0" applyFont="1"/>
    <xf numFmtId="0" fontId="9" fillId="0" borderId="0" xfId="0" applyFont="1" applyAlignment="1">
      <alignment horizontal="center" vertical="center"/>
    </xf>
    <xf numFmtId="0" fontId="14" fillId="0" borderId="0" xfId="0" applyFont="1"/>
    <xf numFmtId="0" fontId="15" fillId="0" borderId="0" xfId="0" applyFont="1"/>
    <xf numFmtId="0" fontId="0" fillId="0" borderId="5" xfId="0" applyBorder="1"/>
    <xf numFmtId="0" fontId="2" fillId="3" borderId="1" xfId="0" applyFont="1" applyFill="1" applyBorder="1" applyAlignment="1">
      <alignment horizontal="right" vertical="center"/>
    </xf>
    <xf numFmtId="0" fontId="36" fillId="0" borderId="0" xfId="0" applyFont="1"/>
    <xf numFmtId="0" fontId="36" fillId="0" borderId="0" xfId="0" applyFont="1" applyAlignment="1">
      <alignment horizontal="right"/>
    </xf>
    <xf numFmtId="0" fontId="0" fillId="0" borderId="25" xfId="0" applyBorder="1" applyAlignment="1">
      <alignment horizontal="center"/>
    </xf>
    <xf numFmtId="0" fontId="8" fillId="5" borderId="0" xfId="0" applyFont="1" applyFill="1" applyAlignment="1">
      <alignment horizontal="center"/>
    </xf>
    <xf numFmtId="0" fontId="4" fillId="7" borderId="0" xfId="0" applyFont="1" applyFill="1" applyAlignment="1">
      <alignment horizontal="center" vertical="center"/>
    </xf>
    <xf numFmtId="0" fontId="37" fillId="0" borderId="0" xfId="0" applyFont="1"/>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46" fillId="0" borderId="0" xfId="0" applyFont="1" applyAlignment="1">
      <alignment horizontal="right"/>
    </xf>
    <xf numFmtId="0" fontId="39" fillId="8" borderId="0" xfId="0" applyFont="1" applyFill="1" applyAlignment="1">
      <alignment horizontal="right"/>
    </xf>
    <xf numFmtId="0" fontId="36" fillId="0" borderId="0" xfId="0" applyFont="1" applyAlignment="1">
      <alignment horizontal="left"/>
    </xf>
    <xf numFmtId="14" fontId="0" fillId="0" borderId="0" xfId="0" applyNumberFormat="1"/>
    <xf numFmtId="0" fontId="47" fillId="0" borderId="4" xfId="0" applyFont="1" applyBorder="1" applyAlignment="1">
      <alignment horizontal="left"/>
    </xf>
    <xf numFmtId="0" fontId="47" fillId="0" borderId="6" xfId="0" applyFont="1" applyBorder="1"/>
    <xf numFmtId="0" fontId="47" fillId="0" borderId="7" xfId="0" applyFont="1" applyBorder="1" applyAlignment="1">
      <alignment horizontal="left"/>
    </xf>
    <xf numFmtId="0" fontId="47" fillId="0" borderId="8" xfId="0" applyFont="1" applyBorder="1"/>
    <xf numFmtId="0" fontId="47" fillId="0" borderId="10" xfId="0" applyFont="1" applyBorder="1" applyAlignment="1">
      <alignment horizontal="left"/>
    </xf>
    <xf numFmtId="0" fontId="47" fillId="0" borderId="9" xfId="0" applyFont="1" applyBorder="1"/>
    <xf numFmtId="0" fontId="46" fillId="0" borderId="0" xfId="0" applyFont="1" applyAlignment="1">
      <alignment horizontal="left"/>
    </xf>
    <xf numFmtId="14" fontId="39" fillId="8" borderId="0" xfId="0" applyNumberFormat="1" applyFont="1" applyFill="1"/>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37" fillId="0" borderId="0" xfId="0" applyFont="1" applyAlignment="1">
      <alignment horizontal="right"/>
    </xf>
    <xf numFmtId="14" fontId="50" fillId="0" borderId="0" xfId="0" applyNumberFormat="1" applyFont="1" applyAlignment="1">
      <alignment horizontal="center"/>
    </xf>
    <xf numFmtId="0" fontId="50" fillId="0" borderId="0" xfId="0" applyFont="1" applyAlignment="1">
      <alignment horizontal="center"/>
    </xf>
    <xf numFmtId="0" fontId="4"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53" fillId="0" borderId="0" xfId="0" applyFont="1" applyAlignment="1">
      <alignment horizontal="center"/>
    </xf>
    <xf numFmtId="0" fontId="20" fillId="0" borderId="18" xfId="1" applyFont="1" applyBorder="1" applyAlignment="1" applyProtection="1">
      <alignment horizontal="center" vertical="center" wrapText="1"/>
      <protection locked="0"/>
    </xf>
    <xf numFmtId="0" fontId="20" fillId="16" borderId="15" xfId="1" applyFont="1" applyFill="1" applyBorder="1" applyAlignment="1" applyProtection="1">
      <alignment horizontal="center" vertical="center" wrapText="1"/>
      <protection locked="0"/>
    </xf>
    <xf numFmtId="0" fontId="4" fillId="0" borderId="28" xfId="0" applyFont="1" applyBorder="1" applyAlignment="1">
      <alignment horizontal="center" vertical="center"/>
    </xf>
    <xf numFmtId="0" fontId="0" fillId="0" borderId="0" xfId="0" applyAlignment="1">
      <alignment horizontal="left" textRotation="90"/>
    </xf>
    <xf numFmtId="14" fontId="57" fillId="17" borderId="0" xfId="2" applyNumberFormat="1" applyAlignment="1">
      <alignment horizontal="center"/>
    </xf>
    <xf numFmtId="0" fontId="58" fillId="0" borderId="0" xfId="0" applyFont="1" applyAlignment="1">
      <alignment horizontal="center"/>
    </xf>
    <xf numFmtId="0" fontId="8" fillId="0" borderId="0" xfId="0" applyFont="1" applyAlignment="1">
      <alignment wrapText="1"/>
    </xf>
    <xf numFmtId="0" fontId="8" fillId="0" borderId="0" xfId="0" applyFont="1" applyAlignment="1">
      <alignment horizontal="left" textRotation="90"/>
    </xf>
    <xf numFmtId="0" fontId="8" fillId="9" borderId="0" xfId="0" applyFont="1" applyFill="1" applyAlignment="1">
      <alignment horizontal="center"/>
    </xf>
    <xf numFmtId="14" fontId="53" fillId="0" borderId="0" xfId="0" applyNumberFormat="1" applyFont="1" applyAlignment="1">
      <alignment horizontal="center"/>
    </xf>
    <xf numFmtId="0" fontId="53" fillId="0" borderId="0" xfId="0" applyFont="1"/>
    <xf numFmtId="0" fontId="53" fillId="0" borderId="0" xfId="0" quotePrefix="1" applyFont="1" applyAlignment="1">
      <alignment horizontal="left"/>
    </xf>
    <xf numFmtId="0" fontId="0" fillId="8" borderId="0" xfId="0" applyFill="1"/>
    <xf numFmtId="0" fontId="2" fillId="10" borderId="2" xfId="0" applyFont="1" applyFill="1" applyBorder="1" applyAlignment="1">
      <alignment horizontal="center" vertical="center"/>
    </xf>
    <xf numFmtId="0" fontId="2" fillId="10" borderId="28" xfId="0" applyFont="1" applyFill="1" applyBorder="1" applyAlignment="1">
      <alignment horizontal="center" vertical="center"/>
    </xf>
    <xf numFmtId="0" fontId="2" fillId="11" borderId="6" xfId="0" applyFont="1" applyFill="1" applyBorder="1" applyAlignment="1">
      <alignment horizontal="center" vertical="center"/>
    </xf>
    <xf numFmtId="0" fontId="2" fillId="10" borderId="33" xfId="0" applyFont="1" applyFill="1" applyBorder="1" applyAlignment="1">
      <alignment horizontal="right" vertical="center"/>
    </xf>
    <xf numFmtId="0" fontId="53" fillId="18" borderId="0" xfId="0" applyFont="1" applyFill="1" applyAlignment="1">
      <alignment horizontal="center"/>
    </xf>
    <xf numFmtId="14" fontId="53" fillId="18" borderId="0" xfId="0" applyNumberFormat="1" applyFont="1" applyFill="1" applyAlignment="1">
      <alignment horizontal="center"/>
    </xf>
    <xf numFmtId="0" fontId="60" fillId="8" borderId="0" xfId="0" applyFont="1" applyFill="1" applyAlignment="1">
      <alignment horizontal="left"/>
    </xf>
    <xf numFmtId="0" fontId="50" fillId="0" borderId="0" xfId="0" applyFont="1" applyAlignment="1">
      <alignment horizontal="center" wrapText="1"/>
    </xf>
    <xf numFmtId="14" fontId="36" fillId="18" borderId="0" xfId="0" applyNumberFormat="1" applyFont="1" applyFill="1"/>
    <xf numFmtId="0" fontId="36" fillId="18" borderId="0" xfId="0" applyFont="1" applyFill="1" applyAlignment="1">
      <alignment horizontal="center"/>
    </xf>
    <xf numFmtId="0" fontId="61" fillId="0" borderId="0" xfId="0" applyFont="1" applyAlignment="1">
      <alignment horizontal="left"/>
    </xf>
    <xf numFmtId="0" fontId="6" fillId="18" borderId="0" xfId="0" applyFont="1" applyFill="1"/>
    <xf numFmtId="14" fontId="61" fillId="0" borderId="0" xfId="0" applyNumberFormat="1" applyFont="1"/>
    <xf numFmtId="0" fontId="61" fillId="0" borderId="0" xfId="0" applyFont="1" applyAlignment="1">
      <alignment horizontal="center"/>
    </xf>
    <xf numFmtId="0" fontId="36" fillId="18" borderId="0" xfId="0" applyFont="1" applyFill="1" applyAlignment="1">
      <alignment horizontal="left"/>
    </xf>
    <xf numFmtId="0" fontId="53" fillId="6" borderId="0" xfId="0" applyFont="1" applyFill="1" applyAlignment="1">
      <alignment wrapText="1"/>
    </xf>
    <xf numFmtId="0" fontId="3" fillId="8" borderId="5" xfId="0" applyFont="1" applyFill="1" applyBorder="1" applyAlignment="1">
      <alignment horizontal="center" vertical="center" wrapText="1"/>
    </xf>
    <xf numFmtId="14" fontId="8" fillId="0" borderId="0" xfId="0" applyNumberFormat="1" applyFont="1"/>
    <xf numFmtId="0" fontId="16" fillId="0" borderId="11" xfId="1" applyFont="1" applyBorder="1" applyAlignment="1" applyProtection="1">
      <alignment horizontal="center"/>
    </xf>
    <xf numFmtId="0" fontId="16" fillId="0" borderId="12" xfId="1" applyFont="1" applyBorder="1" applyAlignment="1" applyProtection="1">
      <alignment horizontal="center"/>
    </xf>
    <xf numFmtId="0" fontId="16" fillId="0" borderId="12" xfId="1" applyFont="1" applyBorder="1" applyProtection="1"/>
    <xf numFmtId="0" fontId="16" fillId="0" borderId="13" xfId="1" applyFont="1" applyBorder="1" applyProtection="1"/>
    <xf numFmtId="0" fontId="1" fillId="0" borderId="0" xfId="1" applyProtection="1"/>
    <xf numFmtId="0" fontId="7" fillId="0" borderId="0" xfId="1" applyFont="1" applyAlignment="1" applyProtection="1">
      <alignment horizontal="center" vertical="center"/>
    </xf>
    <xf numFmtId="0" fontId="44" fillId="13" borderId="14" xfId="1" applyFont="1" applyFill="1" applyBorder="1" applyAlignment="1" applyProtection="1">
      <alignment horizontal="left" vertical="center" wrapText="1"/>
    </xf>
    <xf numFmtId="0" fontId="32" fillId="13" borderId="14" xfId="1" applyFont="1" applyFill="1" applyBorder="1" applyAlignment="1" applyProtection="1">
      <alignment horizontal="left" vertical="center" wrapText="1"/>
    </xf>
    <xf numFmtId="0" fontId="32" fillId="13" borderId="0" xfId="1" applyFont="1" applyFill="1" applyAlignment="1" applyProtection="1">
      <alignment horizontal="center" vertical="center"/>
    </xf>
    <xf numFmtId="0" fontId="32" fillId="13" borderId="0" xfId="1" applyFont="1" applyFill="1" applyAlignment="1" applyProtection="1">
      <alignment vertical="center" wrapText="1"/>
    </xf>
    <xf numFmtId="0" fontId="17" fillId="16" borderId="29" xfId="1" applyFont="1" applyFill="1" applyBorder="1" applyAlignment="1" applyProtection="1">
      <alignment vertical="center"/>
    </xf>
    <xf numFmtId="0" fontId="17" fillId="16" borderId="30" xfId="1" applyFont="1" applyFill="1" applyBorder="1" applyAlignment="1" applyProtection="1">
      <alignment vertical="center"/>
    </xf>
    <xf numFmtId="0" fontId="17" fillId="16" borderId="30" xfId="1" applyFont="1" applyFill="1" applyBorder="1" applyAlignment="1" applyProtection="1">
      <alignment horizontal="right" vertical="center"/>
    </xf>
    <xf numFmtId="0" fontId="43" fillId="16" borderId="30" xfId="1" applyFont="1" applyFill="1" applyBorder="1" applyAlignment="1" applyProtection="1">
      <alignment horizontal="center" vertical="center"/>
    </xf>
    <xf numFmtId="0" fontId="34" fillId="16" borderId="30" xfId="1" applyFont="1" applyFill="1" applyBorder="1" applyAlignment="1" applyProtection="1">
      <alignment vertical="center"/>
    </xf>
    <xf numFmtId="0" fontId="1" fillId="0" borderId="0" xfId="1" applyAlignment="1" applyProtection="1">
      <alignment horizontal="center"/>
    </xf>
    <xf numFmtId="0" fontId="18" fillId="2" borderId="0" xfId="1" applyFont="1" applyFill="1" applyAlignment="1" applyProtection="1">
      <alignment horizontal="right" vertical="center" indent="1"/>
    </xf>
    <xf numFmtId="0" fontId="20" fillId="2" borderId="0" xfId="1" applyFont="1" applyFill="1" applyAlignment="1" applyProtection="1">
      <alignment horizontal="right" vertical="center" indent="1"/>
    </xf>
    <xf numFmtId="0" fontId="48" fillId="2" borderId="0" xfId="1" applyFont="1" applyFill="1" applyAlignment="1" applyProtection="1">
      <alignment vertical="center"/>
    </xf>
    <xf numFmtId="0" fontId="18" fillId="2" borderId="0" xfId="1" applyFont="1" applyFill="1" applyAlignment="1" applyProtection="1">
      <alignment horizontal="center" vertical="center"/>
    </xf>
    <xf numFmtId="0" fontId="18" fillId="2" borderId="0" xfId="1" applyFont="1" applyFill="1" applyAlignment="1" applyProtection="1">
      <alignment vertical="center"/>
    </xf>
    <xf numFmtId="0" fontId="31" fillId="0" borderId="0" xfId="1" applyFont="1" applyAlignment="1" applyProtection="1">
      <alignment horizontal="right" vertical="center"/>
    </xf>
    <xf numFmtId="14" fontId="31" fillId="0" borderId="0" xfId="1" applyNumberFormat="1" applyFont="1" applyAlignment="1" applyProtection="1">
      <alignment horizontal="right" vertical="center"/>
    </xf>
    <xf numFmtId="0" fontId="18" fillId="2" borderId="0" xfId="1" applyFont="1" applyFill="1" applyAlignment="1" applyProtection="1">
      <alignment horizontal="left" vertical="center"/>
    </xf>
    <xf numFmtId="0" fontId="18" fillId="2" borderId="0" xfId="1" applyFont="1" applyFill="1" applyAlignment="1" applyProtection="1">
      <alignment horizontal="left" vertical="center" indent="1"/>
    </xf>
    <xf numFmtId="0" fontId="20" fillId="2" borderId="0" xfId="1" applyFont="1" applyFill="1" applyAlignment="1" applyProtection="1">
      <alignment horizontal="center" vertical="center" wrapText="1"/>
    </xf>
    <xf numFmtId="0" fontId="20" fillId="0" borderId="0" xfId="1" applyFont="1" applyAlignment="1" applyProtection="1">
      <alignment vertical="top" wrapText="1"/>
    </xf>
    <xf numFmtId="0" fontId="21" fillId="12" borderId="0" xfId="1" applyFont="1" applyFill="1" applyAlignment="1" applyProtection="1">
      <alignment horizontal="center" vertical="center"/>
    </xf>
    <xf numFmtId="0" fontId="21" fillId="12" borderId="0" xfId="1" applyFont="1" applyFill="1" applyAlignment="1" applyProtection="1">
      <alignment horizontal="left" vertical="center" indent="1"/>
    </xf>
    <xf numFmtId="0" fontId="21" fillId="12" borderId="22" xfId="1" applyFont="1" applyFill="1" applyBorder="1" applyAlignment="1" applyProtection="1">
      <alignment horizontal="left" vertical="center"/>
    </xf>
    <xf numFmtId="0" fontId="21" fillId="12" borderId="0" xfId="1" applyFont="1" applyFill="1" applyAlignment="1" applyProtection="1">
      <alignment horizontal="left" vertical="center"/>
    </xf>
    <xf numFmtId="0" fontId="21" fillId="12" borderId="15" xfId="1" applyFont="1" applyFill="1" applyBorder="1" applyAlignment="1" applyProtection="1">
      <alignment horizontal="left" vertical="center"/>
    </xf>
    <xf numFmtId="0" fontId="21" fillId="12" borderId="0" xfId="1" applyFont="1" applyFill="1" applyAlignment="1" applyProtection="1">
      <alignment vertical="center"/>
    </xf>
    <xf numFmtId="0" fontId="22" fillId="2" borderId="0" xfId="1" applyFont="1" applyFill="1" applyAlignment="1" applyProtection="1">
      <alignment vertical="center"/>
    </xf>
    <xf numFmtId="0" fontId="23" fillId="2" borderId="0" xfId="1" applyFont="1" applyFill="1" applyAlignment="1" applyProtection="1">
      <alignment vertical="center"/>
    </xf>
    <xf numFmtId="0" fontId="38" fillId="14" borderId="0" xfId="0" applyFont="1" applyFill="1" applyAlignment="1" applyProtection="1">
      <alignment horizontal="center" vertical="center" wrapText="1"/>
    </xf>
    <xf numFmtId="0" fontId="21" fillId="12" borderId="0" xfId="1" applyFont="1" applyFill="1" applyAlignment="1" applyProtection="1">
      <alignment horizontal="center" vertical="center" wrapText="1"/>
    </xf>
    <xf numFmtId="0" fontId="21" fillId="12" borderId="22" xfId="1" applyFont="1" applyFill="1" applyBorder="1" applyAlignment="1" applyProtection="1">
      <alignment horizontal="center" vertical="center" wrapText="1"/>
    </xf>
    <xf numFmtId="0" fontId="21" fillId="12" borderId="31" xfId="1" applyFont="1" applyFill="1" applyBorder="1" applyAlignment="1" applyProtection="1">
      <alignment horizontal="center" vertical="center" wrapText="1"/>
    </xf>
    <xf numFmtId="0" fontId="21" fillId="12" borderId="15" xfId="1" applyFont="1" applyFill="1" applyBorder="1" applyAlignment="1" applyProtection="1">
      <alignment horizontal="center" vertical="center" wrapText="1"/>
    </xf>
    <xf numFmtId="0" fontId="20" fillId="0" borderId="16" xfId="1" applyFont="1" applyBorder="1" applyAlignment="1" applyProtection="1">
      <alignment horizontal="center" vertical="center" wrapText="1"/>
    </xf>
    <xf numFmtId="0" fontId="20" fillId="0" borderId="17" xfId="1" applyFont="1" applyBorder="1" applyAlignment="1" applyProtection="1">
      <alignment horizontal="center" vertical="center" wrapText="1"/>
    </xf>
    <xf numFmtId="0" fontId="20" fillId="0" borderId="17" xfId="1" applyFont="1" applyBorder="1" applyAlignment="1" applyProtection="1">
      <alignment vertical="center" wrapText="1"/>
    </xf>
    <xf numFmtId="0" fontId="23" fillId="0" borderId="17" xfId="1" applyFont="1" applyBorder="1" applyAlignment="1" applyProtection="1">
      <alignment horizontal="center" vertical="center" wrapText="1"/>
    </xf>
    <xf numFmtId="0" fontId="20" fillId="0" borderId="23" xfId="1" applyFont="1" applyBorder="1" applyAlignment="1" applyProtection="1">
      <alignment horizontal="center" vertical="center" wrapText="1"/>
    </xf>
    <xf numFmtId="0" fontId="20" fillId="0" borderId="32" xfId="1" applyFont="1" applyBorder="1" applyAlignment="1" applyProtection="1">
      <alignment horizontal="center" vertical="center" wrapText="1"/>
    </xf>
    <xf numFmtId="0" fontId="20" fillId="0" borderId="24" xfId="1" applyFont="1" applyBorder="1" applyAlignment="1" applyProtection="1">
      <alignment horizontal="center" vertical="center" wrapText="1"/>
    </xf>
    <xf numFmtId="0" fontId="24" fillId="0" borderId="0" xfId="1" applyFont="1" applyAlignment="1" applyProtection="1">
      <alignment horizontal="center" vertical="center" wrapText="1"/>
    </xf>
    <xf numFmtId="0" fontId="22" fillId="2" borderId="0" xfId="1" applyFont="1" applyFill="1" applyAlignment="1" applyProtection="1">
      <alignment wrapText="1"/>
    </xf>
    <xf numFmtId="0" fontId="23" fillId="2" borderId="0" xfId="1" applyFont="1" applyFill="1" applyAlignment="1" applyProtection="1">
      <alignment wrapText="1"/>
    </xf>
    <xf numFmtId="0" fontId="22" fillId="2" borderId="0" xfId="1" applyFont="1" applyFill="1" applyProtection="1"/>
    <xf numFmtId="0" fontId="23" fillId="2" borderId="0" xfId="1" applyFont="1" applyFill="1" applyProtection="1"/>
    <xf numFmtId="0" fontId="20" fillId="16" borderId="13" xfId="1" applyFont="1" applyFill="1" applyBorder="1" applyAlignment="1" applyProtection="1">
      <alignment horizontal="center" vertical="center" wrapText="1"/>
    </xf>
    <xf numFmtId="0" fontId="20" fillId="16" borderId="0" xfId="1" applyFont="1" applyFill="1" applyAlignment="1" applyProtection="1">
      <alignment horizontal="center" vertical="center" wrapText="1"/>
    </xf>
    <xf numFmtId="0" fontId="20" fillId="16" borderId="0" xfId="1" applyFont="1" applyFill="1" applyAlignment="1" applyProtection="1">
      <alignment vertical="center" wrapText="1"/>
    </xf>
    <xf numFmtId="0" fontId="23" fillId="16" borderId="0" xfId="1" applyFont="1" applyFill="1" applyAlignment="1" applyProtection="1">
      <alignment horizontal="left" vertical="center" wrapText="1"/>
    </xf>
    <xf numFmtId="0" fontId="20" fillId="16" borderId="22" xfId="1" applyFont="1" applyFill="1" applyBorder="1" applyAlignment="1" applyProtection="1">
      <alignment horizontal="center" vertical="center" wrapText="1"/>
    </xf>
    <xf numFmtId="0" fontId="20" fillId="16" borderId="31" xfId="1" applyFont="1" applyFill="1" applyBorder="1" applyAlignment="1" applyProtection="1">
      <alignment horizontal="center" vertical="center" wrapText="1"/>
    </xf>
    <xf numFmtId="0" fontId="20" fillId="16" borderId="15" xfId="1" applyFont="1" applyFill="1" applyBorder="1" applyAlignment="1" applyProtection="1">
      <alignment horizontal="center" vertical="center" wrapText="1"/>
    </xf>
    <xf numFmtId="0" fontId="20" fillId="0" borderId="17" xfId="1" applyFont="1" applyBorder="1" applyAlignment="1" applyProtection="1">
      <alignment horizontal="left" vertical="center"/>
    </xf>
    <xf numFmtId="0" fontId="22" fillId="2" borderId="0" xfId="1" applyFont="1" applyFill="1" applyAlignment="1" applyProtection="1">
      <alignment horizontal="center" vertical="center"/>
    </xf>
    <xf numFmtId="0" fontId="26" fillId="2" borderId="0" xfId="1" applyFont="1" applyFill="1" applyAlignment="1" applyProtection="1">
      <alignment horizontal="left" vertical="center" wrapText="1"/>
    </xf>
    <xf numFmtId="0" fontId="27" fillId="2" borderId="0" xfId="1" applyFont="1" applyFill="1" applyAlignment="1" applyProtection="1">
      <alignment horizontal="left" vertical="center" wrapText="1"/>
    </xf>
    <xf numFmtId="0" fontId="27" fillId="2" borderId="0" xfId="1" applyFont="1" applyFill="1" applyAlignment="1" applyProtection="1">
      <alignment horizontal="center" vertical="center" wrapText="1"/>
    </xf>
    <xf numFmtId="0" fontId="28" fillId="2" borderId="0" xfId="1" applyFont="1" applyFill="1" applyAlignment="1" applyProtection="1">
      <alignment vertical="center"/>
    </xf>
    <xf numFmtId="0" fontId="29" fillId="2" borderId="0" xfId="1" applyFont="1" applyFill="1" applyAlignment="1" applyProtection="1">
      <alignment horizontal="center" vertical="center"/>
    </xf>
    <xf numFmtId="0" fontId="29" fillId="2" borderId="0" xfId="1" applyFont="1" applyFill="1" applyProtection="1"/>
    <xf numFmtId="0" fontId="10" fillId="2" borderId="0" xfId="1" applyFont="1" applyFill="1" applyProtection="1"/>
    <xf numFmtId="0" fontId="51" fillId="9" borderId="0" xfId="1" applyFont="1" applyFill="1" applyAlignment="1" applyProtection="1">
      <alignment horizontal="left" vertical="center" readingOrder="1"/>
    </xf>
    <xf numFmtId="0" fontId="35" fillId="9" borderId="0" xfId="1" applyFont="1" applyFill="1" applyAlignment="1" applyProtection="1">
      <alignment horizontal="left" vertical="center" readingOrder="1"/>
    </xf>
    <xf numFmtId="0" fontId="30" fillId="9" borderId="0" xfId="1" applyFont="1" applyFill="1" applyAlignment="1" applyProtection="1">
      <alignment horizontal="left" vertical="center" readingOrder="1"/>
    </xf>
    <xf numFmtId="0" fontId="48" fillId="9" borderId="0" xfId="1" applyFont="1" applyFill="1" applyAlignment="1" applyProtection="1">
      <alignment horizontal="center" vertical="center"/>
    </xf>
    <xf numFmtId="0" fontId="48" fillId="9" borderId="0" xfId="1" applyFont="1" applyFill="1" applyAlignment="1" applyProtection="1">
      <alignment horizontal="center" vertical="center" readingOrder="1"/>
    </xf>
    <xf numFmtId="0" fontId="52" fillId="9" borderId="22" xfId="1" applyFont="1" applyFill="1" applyBorder="1" applyAlignment="1" applyProtection="1">
      <alignment vertical="center" readingOrder="1"/>
    </xf>
    <xf numFmtId="0" fontId="52" fillId="9" borderId="0" xfId="1" applyFont="1" applyFill="1" applyAlignment="1" applyProtection="1">
      <alignment vertical="center" readingOrder="1"/>
    </xf>
    <xf numFmtId="0" fontId="48" fillId="9" borderId="0" xfId="1" applyFont="1" applyFill="1" applyAlignment="1" applyProtection="1">
      <alignment vertical="center" readingOrder="1"/>
    </xf>
    <xf numFmtId="0" fontId="48" fillId="9" borderId="15" xfId="1" applyFont="1" applyFill="1" applyBorder="1" applyAlignment="1" applyProtection="1">
      <alignment vertical="center" readingOrder="1"/>
    </xf>
    <xf numFmtId="0" fontId="55" fillId="9" borderId="0" xfId="1" applyFont="1" applyFill="1" applyAlignment="1" applyProtection="1">
      <alignment horizontal="right" vertical="center"/>
    </xf>
    <xf numFmtId="0" fontId="1" fillId="0" borderId="0" xfId="1" applyAlignment="1" applyProtection="1">
      <alignment horizontal="center" vertical="center"/>
    </xf>
    <xf numFmtId="0" fontId="40" fillId="12" borderId="0" xfId="1" applyFont="1" applyFill="1" applyAlignment="1" applyProtection="1">
      <alignment vertical="center"/>
    </xf>
    <xf numFmtId="0" fontId="31" fillId="12" borderId="0" xfId="1" applyFont="1" applyFill="1" applyAlignment="1" applyProtection="1">
      <alignment horizontal="left" vertical="top" indent="1"/>
    </xf>
    <xf numFmtId="0" fontId="19" fillId="12" borderId="0" xfId="1" applyFont="1" applyFill="1" applyAlignment="1" applyProtection="1">
      <alignment horizontal="left" vertical="center" readingOrder="1"/>
    </xf>
    <xf numFmtId="0" fontId="1" fillId="0" borderId="0" xfId="1" applyAlignment="1" applyProtection="1">
      <alignment horizontal="center" vertical="top"/>
    </xf>
    <xf numFmtId="0" fontId="30" fillId="0" borderId="16" xfId="1" applyFont="1" applyBorder="1" applyAlignment="1" applyProtection="1">
      <alignment horizontal="center" vertical="center"/>
    </xf>
    <xf numFmtId="0" fontId="30" fillId="0" borderId="17" xfId="1" applyFont="1" applyBorder="1" applyAlignment="1" applyProtection="1">
      <alignment horizontal="center" vertical="center"/>
    </xf>
    <xf numFmtId="0" fontId="30" fillId="0" borderId="17" xfId="1" applyFont="1" applyBorder="1" applyAlignment="1" applyProtection="1">
      <alignment vertical="center"/>
    </xf>
    <xf numFmtId="0" fontId="30" fillId="0" borderId="17" xfId="1" applyFont="1" applyBorder="1" applyAlignment="1" applyProtection="1">
      <alignment horizontal="center" vertical="center" wrapText="1"/>
    </xf>
    <xf numFmtId="0" fontId="23" fillId="2" borderId="17" xfId="1" applyFont="1" applyFill="1" applyBorder="1" applyAlignment="1" applyProtection="1">
      <alignment horizontal="center" vertical="center" wrapText="1"/>
    </xf>
    <xf numFmtId="0" fontId="20" fillId="2" borderId="23" xfId="1" applyFont="1" applyFill="1" applyBorder="1" applyAlignment="1" applyProtection="1">
      <alignment horizontal="center" vertical="center"/>
    </xf>
    <xf numFmtId="0" fontId="20" fillId="2" borderId="32" xfId="1" applyFont="1" applyFill="1" applyBorder="1" applyAlignment="1" applyProtection="1">
      <alignment horizontal="center" vertical="center"/>
    </xf>
    <xf numFmtId="0" fontId="20" fillId="2" borderId="17" xfId="1" applyFont="1" applyFill="1" applyBorder="1" applyAlignment="1" applyProtection="1">
      <alignment horizontal="center" vertical="center"/>
    </xf>
    <xf numFmtId="0" fontId="20" fillId="2" borderId="24" xfId="1" applyFont="1" applyFill="1" applyBorder="1" applyAlignment="1" applyProtection="1">
      <alignment horizontal="center" vertical="center"/>
    </xf>
    <xf numFmtId="0" fontId="51" fillId="5" borderId="0" xfId="1" applyFont="1" applyFill="1" applyAlignment="1" applyProtection="1">
      <alignment horizontal="left" vertical="center" readingOrder="1"/>
    </xf>
    <xf numFmtId="0" fontId="35" fillId="5" borderId="0" xfId="1" applyFont="1" applyFill="1" applyAlignment="1" applyProtection="1">
      <alignment horizontal="left" vertical="center" readingOrder="1"/>
    </xf>
    <xf numFmtId="0" fontId="30" fillId="5" borderId="0" xfId="1" applyFont="1" applyFill="1" applyAlignment="1" applyProtection="1">
      <alignment horizontal="left" vertical="center" readingOrder="1"/>
    </xf>
    <xf numFmtId="0" fontId="48" fillId="5" borderId="0" xfId="1" applyFont="1" applyFill="1" applyAlignment="1" applyProtection="1">
      <alignment horizontal="center" vertical="center"/>
    </xf>
    <xf numFmtId="0" fontId="48" fillId="5" borderId="0" xfId="1" applyFont="1" applyFill="1" applyAlignment="1" applyProtection="1">
      <alignment horizontal="center" vertical="center" readingOrder="1"/>
    </xf>
    <xf numFmtId="0" fontId="52" fillId="5" borderId="22" xfId="1" applyFont="1" applyFill="1" applyBorder="1" applyAlignment="1" applyProtection="1">
      <alignment vertical="center" readingOrder="1"/>
    </xf>
    <xf numFmtId="0" fontId="52" fillId="5" borderId="0" xfId="1" applyFont="1" applyFill="1" applyAlignment="1" applyProtection="1">
      <alignment vertical="center" readingOrder="1"/>
    </xf>
    <xf numFmtId="0" fontId="48" fillId="5" borderId="0" xfId="1" applyFont="1" applyFill="1" applyAlignment="1" applyProtection="1">
      <alignment vertical="center" readingOrder="1"/>
    </xf>
    <xf numFmtId="0" fontId="48" fillId="5" borderId="15" xfId="1" applyFont="1" applyFill="1" applyBorder="1" applyAlignment="1" applyProtection="1">
      <alignment vertical="center" readingOrder="1"/>
    </xf>
    <xf numFmtId="0" fontId="56" fillId="5" borderId="0" xfId="1" applyFont="1" applyFill="1" applyAlignment="1" applyProtection="1">
      <alignment horizontal="right" vertical="center"/>
    </xf>
    <xf numFmtId="0" fontId="42" fillId="0" borderId="0" xfId="1" applyFont="1" applyAlignment="1" applyProtection="1">
      <alignment horizontal="center" vertical="center"/>
    </xf>
    <xf numFmtId="0" fontId="42" fillId="0" borderId="0" xfId="1" applyFont="1" applyProtection="1"/>
    <xf numFmtId="0" fontId="31" fillId="12" borderId="0" xfId="1" applyFont="1" applyFill="1" applyAlignment="1" applyProtection="1">
      <alignment horizontal="center" vertical="top"/>
    </xf>
    <xf numFmtId="0" fontId="41" fillId="13" borderId="0" xfId="1" applyFont="1" applyFill="1" applyAlignment="1" applyProtection="1">
      <alignment horizontal="left" vertical="center" readingOrder="1"/>
    </xf>
    <xf numFmtId="0" fontId="31" fillId="13" borderId="0" xfId="1" applyFont="1" applyFill="1" applyAlignment="1" applyProtection="1">
      <alignment horizontal="left" vertical="center" readingOrder="1"/>
    </xf>
    <xf numFmtId="0" fontId="49" fillId="13" borderId="0" xfId="1" applyFont="1" applyFill="1" applyAlignment="1" applyProtection="1">
      <alignment horizontal="left" vertical="center" readingOrder="1"/>
    </xf>
    <xf numFmtId="0" fontId="33" fillId="13" borderId="0" xfId="1" applyFont="1" applyFill="1" applyAlignment="1" applyProtection="1">
      <alignment horizontal="center" vertical="center"/>
    </xf>
    <xf numFmtId="0" fontId="33" fillId="13" borderId="0" xfId="1" applyFont="1" applyFill="1" applyAlignment="1" applyProtection="1">
      <alignment horizontal="center" vertical="center" readingOrder="1"/>
    </xf>
    <xf numFmtId="0" fontId="21" fillId="13" borderId="22" xfId="1" applyFont="1" applyFill="1" applyBorder="1" applyAlignment="1" applyProtection="1">
      <alignment vertical="center" readingOrder="1"/>
    </xf>
    <xf numFmtId="0" fontId="21" fillId="13" borderId="0" xfId="1" applyFont="1" applyFill="1" applyAlignment="1" applyProtection="1">
      <alignment vertical="center" readingOrder="1"/>
    </xf>
    <xf numFmtId="0" fontId="33" fillId="13" borderId="0" xfId="1" applyFont="1" applyFill="1" applyAlignment="1" applyProtection="1">
      <alignment vertical="center" readingOrder="1"/>
    </xf>
    <xf numFmtId="0" fontId="33" fillId="13" borderId="15" xfId="1" applyFont="1" applyFill="1" applyBorder="1" applyAlignment="1" applyProtection="1">
      <alignment vertical="center" readingOrder="1"/>
    </xf>
    <xf numFmtId="0" fontId="59" fillId="13" borderId="0" xfId="1" applyFont="1" applyFill="1" applyAlignment="1" applyProtection="1">
      <alignment horizontal="right" vertical="center"/>
    </xf>
    <xf numFmtId="0" fontId="0" fillId="0" borderId="0" xfId="0" applyProtection="1"/>
    <xf numFmtId="0" fontId="25" fillId="2" borderId="0" xfId="1" applyFont="1" applyFill="1" applyAlignment="1" applyProtection="1">
      <alignment horizontal="center" vertical="center" wrapText="1"/>
    </xf>
    <xf numFmtId="0" fontId="31" fillId="4" borderId="19" xfId="1" applyFont="1" applyFill="1" applyBorder="1" applyAlignment="1" applyProtection="1">
      <alignment horizontal="left" vertical="center"/>
    </xf>
    <xf numFmtId="0" fontId="31" fillId="4" borderId="20" xfId="1" applyFont="1" applyFill="1" applyBorder="1" applyAlignment="1" applyProtection="1">
      <alignment horizontal="left" vertical="center"/>
    </xf>
    <xf numFmtId="0" fontId="31" fillId="4" borderId="20" xfId="1" applyFont="1" applyFill="1" applyBorder="1" applyAlignment="1" applyProtection="1">
      <alignment horizontal="center" vertical="center"/>
    </xf>
    <xf numFmtId="0" fontId="31" fillId="4" borderId="21" xfId="1" applyFont="1" applyFill="1" applyBorder="1" applyAlignment="1" applyProtection="1">
      <alignment horizontal="left" vertical="center"/>
    </xf>
    <xf numFmtId="0" fontId="26" fillId="2" borderId="0" xfId="1" applyFont="1" applyFill="1" applyAlignment="1" applyProtection="1">
      <alignment vertical="center"/>
    </xf>
    <xf numFmtId="0" fontId="10" fillId="2" borderId="0" xfId="1" applyFont="1" applyFill="1" applyAlignment="1" applyProtection="1">
      <alignment horizontal="center" vertical="center"/>
    </xf>
    <xf numFmtId="0" fontId="28" fillId="2" borderId="0" xfId="1" applyFont="1" applyFill="1" applyAlignment="1" applyProtection="1">
      <alignment horizontal="right" vertical="center"/>
    </xf>
    <xf numFmtId="0" fontId="35" fillId="9" borderId="0" xfId="1" applyFont="1" applyFill="1" applyAlignment="1" applyProtection="1">
      <alignment vertical="center"/>
      <protection locked="0"/>
    </xf>
    <xf numFmtId="0" fontId="35" fillId="5" borderId="0" xfId="1" applyFont="1" applyFill="1" applyAlignment="1" applyProtection="1">
      <alignment vertical="center"/>
      <protection locked="0"/>
    </xf>
    <xf numFmtId="0" fontId="18" fillId="2" borderId="0" xfId="1" applyFont="1" applyFill="1" applyAlignment="1" applyProtection="1">
      <alignment vertical="center"/>
      <protection locked="0"/>
    </xf>
  </cellXfs>
  <cellStyles count="3">
    <cellStyle name="Good" xfId="2" builtinId="26"/>
    <cellStyle name="Normal" xfId="0" builtinId="0"/>
    <cellStyle name="Normal 2" xfId="1" xr:uid="{00000000-0005-0000-0000-000002000000}"/>
  </cellStyles>
  <dxfs count="16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i/>
      </font>
      <fill>
        <patternFill>
          <bgColor theme="4" tint="0.79998168889431442"/>
        </patternFill>
      </fill>
    </dxf>
    <dxf>
      <fill>
        <patternFill>
          <bgColor theme="0" tint="-0.14996795556505021"/>
        </patternFill>
      </fill>
    </dxf>
    <dxf>
      <font>
        <b/>
        <i/>
      </font>
      <fill>
        <patternFill>
          <bgColor theme="9"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auto="1"/>
        <name val="Arial"/>
        <scheme val="none"/>
      </font>
      <fill>
        <patternFill patternType="solid">
          <fgColor indexed="64"/>
          <bgColor theme="5" tint="0.79998168889431442"/>
        </patternFill>
      </fill>
      <alignment horizontal="general" vertical="bottom" textRotation="0" wrapText="1"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none">
          <fgColor indexed="64"/>
          <bgColor auto="1"/>
        </patternFill>
      </fill>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auto="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alignment horizontal="center"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rgb="FF92D050"/>
        </patternFill>
      </fill>
      <alignment horizontal="center" vertical="bottom" textRotation="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alignment horizontal="center" vertical="bottom" textRotation="0" indent="0" justifyLastLine="0" shrinkToFit="0" readingOrder="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indent="0" justifyLastLine="0" shrinkToFit="0" readingOrder="0"/>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FFE699"/>
      <color rgb="FFB4FFFF"/>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0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200025</xdr:colOff>
      <xdr:row>3</xdr:row>
      <xdr:rowOff>95251</xdr:rowOff>
    </xdr:from>
    <xdr:ext cx="5629275" cy="7981949"/>
    <xdr:sp macro="" textlink="">
      <xdr:nvSpPr>
        <xdr:cNvPr id="4" name="TextBox 3">
          <a:extLst>
            <a:ext uri="{FF2B5EF4-FFF2-40B4-BE49-F238E27FC236}">
              <a16:creationId xmlns:a16="http://schemas.microsoft.com/office/drawing/2014/main" id="{00000000-0008-0000-0100-000002000000}"/>
            </a:ext>
          </a:extLst>
        </xdr:cNvPr>
        <xdr:cNvSpPr txBox="1"/>
      </xdr:nvSpPr>
      <xdr:spPr>
        <a:xfrm>
          <a:off x="11210925" y="600076"/>
          <a:ext cx="5629275" cy="79819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lang="en-AU" sz="1100" b="1" u="sng">
              <a:solidFill>
                <a:schemeClr val="dk1"/>
              </a:solidFill>
              <a:effectLst/>
              <a:latin typeface="+mn-lt"/>
              <a:ea typeface="+mn-ea"/>
              <a:cs typeface="+mn-cs"/>
            </a:rPr>
            <a:t>Enrolment Guidelines</a:t>
          </a:r>
          <a:endParaRPr lang="en-AU">
            <a:effectLst/>
          </a:endParaRPr>
        </a:p>
        <a:p>
          <a:pPr algn="ctr"/>
          <a:endParaRPr lang="en-AU" b="1"/>
        </a:p>
        <a:p>
          <a:pPr algn="ctr"/>
          <a:r>
            <a:rPr lang="en-AU" b="1">
              <a:solidFill>
                <a:schemeClr val="accent5"/>
              </a:solidFill>
            </a:rPr>
            <a:t>B-MASCOMS v.4 Bachelor of Communications</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First</a:t>
          </a:r>
          <a:r>
            <a:rPr lang="en-AU" sz="1100" i="1" baseline="0">
              <a:solidFill>
                <a:schemeClr val="dk1"/>
              </a:solidFill>
              <a:effectLst/>
              <a:latin typeface="+mn-lt"/>
              <a:ea typeface="+mn-ea"/>
              <a:cs typeface="+mn-cs"/>
            </a:rPr>
            <a:t> &amp; </a:t>
          </a:r>
          <a:r>
            <a:rPr lang="en-AU" sz="1100" b="1" i="1" baseline="0">
              <a:solidFill>
                <a:schemeClr val="dk1"/>
              </a:solidFill>
              <a:effectLst/>
              <a:latin typeface="+mn-lt"/>
              <a:ea typeface="+mn-ea"/>
              <a:cs typeface="+mn-cs"/>
            </a:rPr>
            <a:t>Second Specialisations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r>
            <a:rPr lang="en-AU" sz="1000" b="1"/>
            <a:t>Course Structure </a:t>
          </a:r>
          <a:r>
            <a:rPr lang="en-AU" sz="1000" b="0"/>
            <a:t>(600 Credit Points)</a:t>
          </a:r>
        </a:p>
        <a:p>
          <a:r>
            <a:rPr lang="en-AU" sz="1000">
              <a:solidFill>
                <a:schemeClr val="dk1"/>
              </a:solidFill>
              <a:effectLst/>
              <a:latin typeface="+mn-lt"/>
              <a:ea typeface="+mn-ea"/>
              <a:cs typeface="+mn-cs"/>
            </a:rPr>
            <a:t>-&gt; 200CP</a:t>
          </a:r>
          <a:r>
            <a:rPr lang="en-AU" sz="1000" baseline="0">
              <a:solidFill>
                <a:schemeClr val="dk1"/>
              </a:solidFill>
              <a:effectLst/>
              <a:latin typeface="+mn-lt"/>
              <a:ea typeface="+mn-ea"/>
              <a:cs typeface="+mn-cs"/>
            </a:rPr>
            <a:t> of </a:t>
          </a:r>
          <a:r>
            <a:rPr lang="en-AU" sz="1000">
              <a:solidFill>
                <a:schemeClr val="dk1"/>
              </a:solidFill>
              <a:effectLst/>
              <a:latin typeface="+mn-lt"/>
              <a:ea typeface="+mn-ea"/>
              <a:cs typeface="+mn-cs"/>
            </a:rPr>
            <a:t>Core Units (Years 1, 2 &amp; 3)</a:t>
          </a:r>
          <a:endParaRPr lang="en-AU" sz="1000">
            <a:effectLst/>
          </a:endParaRPr>
        </a:p>
        <a:p>
          <a:r>
            <a:rPr lang="en-AU" sz="1000">
              <a:solidFill>
                <a:schemeClr val="dk1"/>
              </a:solidFill>
              <a:effectLst/>
              <a:latin typeface="+mn-lt"/>
              <a:ea typeface="+mn-ea"/>
              <a:cs typeface="+mn-cs"/>
            </a:rPr>
            <a:t>-&gt; 100CP of Year 1 Option Units (Year 1 only - see Recommended First Year Options below)</a:t>
          </a:r>
        </a:p>
        <a:p>
          <a:r>
            <a:rPr lang="en-AU" sz="1000">
              <a:solidFill>
                <a:schemeClr val="dk1"/>
              </a:solidFill>
              <a:effectLst/>
              <a:latin typeface="+mn-lt"/>
              <a:ea typeface="+mn-ea"/>
              <a:cs typeface="+mn-cs"/>
            </a:rPr>
            <a:t>-&gt; 100CP of First Specialisation (Years 2 &amp; 3)</a:t>
          </a:r>
          <a:endParaRPr lang="en-AU" sz="1000">
            <a:effectLst/>
          </a:endParaRPr>
        </a:p>
        <a:p>
          <a:pPr eaLnBrk="1" fontAlgn="auto" latinLnBrk="0" hangingPunct="1"/>
          <a:r>
            <a:rPr lang="en-AU" sz="1000">
              <a:solidFill>
                <a:schemeClr val="dk1"/>
              </a:solidFill>
              <a:effectLst/>
              <a:latin typeface="+mn-lt"/>
              <a:ea typeface="+mn-ea"/>
              <a:cs typeface="+mn-cs"/>
            </a:rPr>
            <a:t>-&gt; 100CP of Second Specialisation (Years 2 &amp; 3)</a:t>
          </a:r>
          <a:endParaRPr lang="en-AU" sz="1000">
            <a:effectLst/>
          </a:endParaRPr>
        </a:p>
        <a:p>
          <a:pPr eaLnBrk="1" fontAlgn="auto" latinLnBrk="0" hangingPunct="1"/>
          <a:r>
            <a:rPr lang="en-AU" sz="1000">
              <a:solidFill>
                <a:schemeClr val="dk1"/>
              </a:solidFill>
              <a:effectLst/>
              <a:latin typeface="+mn-lt"/>
              <a:ea typeface="+mn-ea"/>
              <a:cs typeface="+mn-cs"/>
            </a:rPr>
            <a:t>-&gt; 100CP of Electives (Years 2 &amp; 3)</a:t>
          </a:r>
          <a:endParaRPr lang="en-AU" sz="1000">
            <a:effectLst/>
          </a:endParaRPr>
        </a:p>
        <a:p>
          <a:endParaRPr lang="en-AU" sz="1000" b="0"/>
        </a:p>
        <a:p>
          <a:r>
            <a:rPr lang="en-AU" sz="1000" b="0"/>
            <a:t>This planner represents </a:t>
          </a:r>
          <a:r>
            <a:rPr lang="en-AU" sz="1000" b="1"/>
            <a:t>full-time study </a:t>
          </a:r>
          <a:r>
            <a:rPr lang="en-AU" sz="1000" b="0"/>
            <a:t>based on your study period of commencement. The standard full-time study load is </a:t>
          </a:r>
          <a:r>
            <a:rPr lang="en-AU" sz="1000" b="1"/>
            <a:t>100 credit points </a:t>
          </a:r>
          <a:r>
            <a:rPr lang="en-AU" sz="1000" b="0"/>
            <a:t>per semester. Units may not be offered in every study period and may not be available at the time that you wish to study them.</a:t>
          </a:r>
        </a:p>
        <a:p>
          <a:endParaRPr lang="en-AU" sz="1000" b="0"/>
        </a:p>
        <a:p>
          <a:r>
            <a:rPr lang="en-AU" sz="1000" b="0"/>
            <a:t>If you wish to enrol in a part-time load, please contact Curtin Connect or your Course Coordinator to develop an ad hoc study plan OR please select one or two units from the four listed for each study period.</a:t>
          </a:r>
        </a:p>
        <a:p>
          <a:endParaRPr lang="en-AU" sz="1000" b="0"/>
        </a:p>
        <a:p>
          <a:r>
            <a:rPr lang="en-AU" sz="1000" b="1"/>
            <a:t>Recommended First Year Options</a:t>
          </a:r>
        </a:p>
        <a:p>
          <a:r>
            <a:rPr lang="en-AU" sz="1000" i="0">
              <a:solidFill>
                <a:schemeClr val="dk1"/>
              </a:solidFill>
              <a:effectLst/>
              <a:latin typeface="+mn-lt"/>
              <a:ea typeface="+mn-ea"/>
              <a:cs typeface="+mn-cs"/>
            </a:rPr>
            <a:t>Based on your chosen specialisation,</a:t>
          </a:r>
          <a:r>
            <a:rPr lang="en-AU" sz="1000" i="0" baseline="0">
              <a:solidFill>
                <a:schemeClr val="dk1"/>
              </a:solidFill>
              <a:effectLst/>
              <a:latin typeface="+mn-lt"/>
              <a:ea typeface="+mn-ea"/>
              <a:cs typeface="+mn-cs"/>
            </a:rPr>
            <a:t> it </a:t>
          </a:r>
          <a:r>
            <a:rPr lang="en-AU" sz="1000" i="0">
              <a:solidFill>
                <a:schemeClr val="dk1"/>
              </a:solidFill>
              <a:effectLst/>
              <a:latin typeface="+mn-lt"/>
              <a:ea typeface="+mn-ea"/>
              <a:cs typeface="+mn-cs"/>
            </a:rPr>
            <a:t>is </a:t>
          </a:r>
          <a:r>
            <a:rPr lang="en-AU" sz="1000" b="1" i="0" u="sng">
              <a:solidFill>
                <a:schemeClr val="dk1"/>
              </a:solidFill>
              <a:effectLst/>
              <a:latin typeface="+mn-lt"/>
              <a:ea typeface="+mn-ea"/>
              <a:cs typeface="+mn-cs"/>
            </a:rPr>
            <a:t>highly recommended</a:t>
          </a:r>
          <a:r>
            <a:rPr lang="en-AU" sz="1000" i="0">
              <a:solidFill>
                <a:schemeClr val="dk1"/>
              </a:solidFill>
              <a:effectLst/>
              <a:latin typeface="+mn-lt"/>
              <a:ea typeface="+mn-ea"/>
              <a:cs typeface="+mn-cs"/>
            </a:rPr>
            <a:t> that you select the following units as part of your Year 1 Option</a:t>
          </a:r>
          <a:r>
            <a:rPr lang="en-AU" sz="1000" i="0" baseline="0">
              <a:solidFill>
                <a:schemeClr val="dk1"/>
              </a:solidFill>
              <a:effectLst/>
              <a:latin typeface="+mn-lt"/>
              <a:ea typeface="+mn-ea"/>
              <a:cs typeface="+mn-cs"/>
            </a:rPr>
            <a:t> units</a:t>
          </a:r>
          <a:r>
            <a:rPr lang="en-AU" sz="1000" i="0">
              <a:solidFill>
                <a:schemeClr val="dk1"/>
              </a:solidFill>
              <a:effectLst/>
              <a:latin typeface="+mn-lt"/>
              <a:ea typeface="+mn-ea"/>
              <a:cs typeface="+mn-cs"/>
            </a:rPr>
            <a:t>:</a:t>
          </a:r>
        </a:p>
        <a:p>
          <a:r>
            <a:rPr lang="en-AU" sz="1000" b="0" i="0"/>
            <a:t>- Corporate Screen Communication Specialisation: </a:t>
          </a:r>
          <a:r>
            <a:rPr lang="en-AU" sz="1000" b="0" i="0">
              <a:solidFill>
                <a:sysClr val="windowText" lastClr="000000"/>
              </a:solidFill>
            </a:rPr>
            <a:t>SPRO1000</a:t>
          </a:r>
        </a:p>
        <a:p>
          <a:r>
            <a:rPr lang="en-AU" sz="1000" b="0" i="0"/>
            <a:t>- Journalism Communication Specialisation: </a:t>
          </a:r>
          <a:r>
            <a:rPr lang="en-AU" sz="1000" b="0" i="0">
              <a:solidFill>
                <a:sysClr val="windowText" lastClr="000000"/>
              </a:solidFill>
            </a:rPr>
            <a:t>JOUR1002</a:t>
          </a:r>
        </a:p>
        <a:p>
          <a:r>
            <a:rPr lang="en-AU" sz="1000" b="0"/>
            <a:t>- Digital Experience Communication Specialisations: </a:t>
          </a:r>
          <a:r>
            <a:rPr lang="en-AU" sz="1000" b="0">
              <a:solidFill>
                <a:sysClr val="windowText" lastClr="000000"/>
              </a:solidFill>
            </a:rPr>
            <a:t>GRDE1004</a:t>
          </a:r>
          <a:r>
            <a:rPr lang="en-AU" sz="1000" b="0"/>
            <a:t> and </a:t>
          </a:r>
          <a:r>
            <a:rPr lang="en-AU" sz="1000" b="0">
              <a:solidFill>
                <a:sysClr val="windowText" lastClr="000000"/>
              </a:solidFill>
            </a:rPr>
            <a:t>GRDE1016</a:t>
          </a:r>
        </a:p>
        <a:p>
          <a:r>
            <a:rPr lang="en-AU" sz="1000" b="0"/>
            <a:t>- Graphic Communication Specialisation: </a:t>
          </a:r>
          <a:r>
            <a:rPr lang="en-AU" sz="1000" b="0">
              <a:solidFill>
                <a:sysClr val="windowText" lastClr="000000"/>
              </a:solidFill>
            </a:rPr>
            <a:t>GRDE1004</a:t>
          </a:r>
        </a:p>
        <a:p>
          <a:r>
            <a:rPr lang="en-AU" sz="1000" b="0"/>
            <a:t>- Marketing Communication Specialisation: </a:t>
          </a:r>
          <a:r>
            <a:rPr lang="en-AU" sz="1000" b="0">
              <a:solidFill>
                <a:sysClr val="windowText" lastClr="000000"/>
              </a:solidFill>
            </a:rPr>
            <a:t>MKTG1000</a:t>
          </a:r>
        </a:p>
        <a:p>
          <a:r>
            <a:rPr lang="en-AU" sz="1000" b="0"/>
            <a:t>- Photography Communication Specialisation: </a:t>
          </a:r>
          <a:r>
            <a:rPr lang="en-AU" sz="1000" b="0">
              <a:solidFill>
                <a:sysClr val="windowText" lastClr="000000"/>
              </a:solidFill>
            </a:rPr>
            <a:t>GRDE1004</a:t>
          </a:r>
        </a:p>
        <a:p>
          <a:r>
            <a:rPr lang="en-AU" sz="1000" b="0"/>
            <a:t>- Public Relations Communication Specialisation: </a:t>
          </a:r>
          <a:r>
            <a:rPr lang="en-AU" sz="1000" b="0">
              <a:solidFill>
                <a:sysClr val="windowText" lastClr="000000"/>
              </a:solidFill>
            </a:rPr>
            <a:t>PUBR2002</a:t>
          </a:r>
        </a:p>
        <a:p>
          <a:endParaRPr lang="en-AU" sz="1000" b="0"/>
        </a:p>
        <a:p>
          <a:r>
            <a:rPr lang="en-AU" sz="1000" b="1"/>
            <a:t>Pre-Masters Journalism Specialisation*</a:t>
          </a:r>
        </a:p>
        <a:p>
          <a:r>
            <a:rPr lang="en-AU" sz="1000" b="0"/>
            <a:t>The Pre-Masters Journalism Specialisation has detailed </a:t>
          </a:r>
          <a:r>
            <a:rPr lang="en-AU" sz="1000" b="0" baseline="0"/>
            <a:t>entry requirements, p</a:t>
          </a:r>
          <a:r>
            <a:rPr lang="en-AU" sz="1000" b="0"/>
            <a:t>lease refer</a:t>
          </a:r>
          <a:r>
            <a:rPr lang="en-AU" sz="1000" b="0" baseline="0"/>
            <a:t> to </a:t>
          </a:r>
          <a:r>
            <a:rPr lang="en-AU" sz="1000" b="0"/>
            <a:t>Handbook.</a:t>
          </a:r>
        </a:p>
        <a:p>
          <a:r>
            <a:rPr lang="en-AU" sz="1000" b="0"/>
            <a:t>( https://handbook.curtin.edu.au/courses/course-ug-pre-masters-journalism-specialisation--spup-jourlv1)</a:t>
          </a:r>
        </a:p>
        <a:p>
          <a:endParaRPr lang="en-AU" sz="1000" b="0"/>
        </a:p>
        <a:p>
          <a:r>
            <a:rPr lang="en-AU" sz="1000" b="1"/>
            <a:t>Notes for International Students</a:t>
          </a:r>
          <a:endParaRPr lang="en-AU" sz="1000" b="0"/>
        </a:p>
        <a:p>
          <a:r>
            <a:rPr lang="en-AU" sz="1000" b="0"/>
            <a:t>You are expected to study all of your units face-to-face for at least the first year of your course. It is your responsibility to ensure that you meet all conditions of your student visa.  </a:t>
          </a:r>
        </a:p>
        <a:p>
          <a:endParaRPr lang="en-AU" sz="1000" b="0"/>
        </a:p>
        <a:p>
          <a:r>
            <a:rPr lang="en-AU" sz="1000" b="1"/>
            <a:t>Need more support?</a:t>
          </a:r>
          <a:endParaRPr lang="en-AU" sz="1000" b="0"/>
        </a:p>
        <a:p>
          <a:r>
            <a:rPr lang="en-AU" sz="1000" b="0"/>
            <a:t>This planner is designed to be used in conjunction with the information provided by Curtin Connect on the Student Essentials webpages. If you have any questions regarding your enrolment, please contact Curtin Connect.</a:t>
          </a:r>
        </a:p>
        <a:p>
          <a:pPr marL="0" marR="0" lvl="0" indent="0" defTabSz="914400" eaLnBrk="1" fontAlgn="auto" latinLnBrk="0" hangingPunct="1">
            <a:lnSpc>
              <a:spcPct val="100000"/>
            </a:lnSpc>
            <a:spcBef>
              <a:spcPts val="0"/>
            </a:spcBef>
            <a:spcAft>
              <a:spcPts val="0"/>
            </a:spcAft>
            <a:buClrTx/>
            <a:buSzTx/>
            <a:buFontTx/>
            <a:buNone/>
            <a:tabLst/>
            <a:defRPr/>
          </a:pPr>
          <a:endParaRPr lang="en-AU" sz="1000" b="1" i="1">
            <a:solidFill>
              <a:schemeClr val="dk1"/>
            </a:solidFill>
            <a:effectLst/>
            <a:latin typeface="+mn-lt"/>
            <a:ea typeface="+mn-ea"/>
            <a:cs typeface="+mn-cs"/>
          </a:endParaRPr>
        </a:p>
        <a:p>
          <a:pPr algn="ctr"/>
          <a:r>
            <a:rPr lang="en-AU" sz="1000" b="1"/>
            <a:t>Note</a:t>
          </a:r>
          <a:r>
            <a:rPr lang="en-AU" sz="1000" b="0"/>
            <a:t>:</a:t>
          </a:r>
        </a:p>
        <a:p>
          <a:pPr algn="ctr"/>
          <a:r>
            <a:rPr lang="en-AU" sz="900" b="0"/>
            <a:t>CP = Credit Points; Sem1 = Semester 1; Sem2 = Semester 2;</a:t>
          </a:r>
        </a:p>
        <a:p>
          <a:pPr algn="ctr"/>
          <a:r>
            <a:rPr lang="en-AU" sz="900" b="0"/>
            <a:t>BEN = unit available face-to-face at Curtin University, Bentley Campus; FO = unit available Fully Online</a:t>
          </a:r>
        </a:p>
      </xdr:txBody>
    </xdr:sp>
    <xdr:clientData/>
  </xdr:oneCellAnchor>
  <xdr:oneCellAnchor>
    <xdr:from>
      <xdr:col>17</xdr:col>
      <xdr:colOff>666750</xdr:colOff>
      <xdr:row>2</xdr:row>
      <xdr:rowOff>334642</xdr:rowOff>
    </xdr:from>
    <xdr:ext cx="2419350"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192250" y="334642"/>
          <a:ext cx="2419350"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5" totalsRowShown="0" headerRowDxfId="160">
  <autoFilter ref="A4:H5" xr:uid="{00000000-0009-0000-0100-000003000000}"/>
  <tableColumns count="8">
    <tableColumn id="3" xr3:uid="{00000000-0010-0000-0000-000003000000}" name="Choose your Course" dataDxfId="159"/>
    <tableColumn id="1" xr3:uid="{00000000-0010-0000-0000-000001000000}" name="UDC" dataDxfId="158"/>
    <tableColumn id="2" xr3:uid="{00000000-0010-0000-0000-000002000000}" name="SM Version" dataDxfId="157"/>
    <tableColumn id="5" xr3:uid="{00000000-0010-0000-0000-000005000000}" name="SM Effective Date" dataDxfId="156"/>
    <tableColumn id="4" xr3:uid="{00000000-0010-0000-0000-000004000000}" name="Akari Iteration" dataDxfId="155"/>
    <tableColumn id="6" xr3:uid="{00000000-0010-0000-0000-000006000000}" name="Akari Effective Date" dataDxfId="154"/>
    <tableColumn id="7" xr3:uid="{00000000-0010-0000-0000-000007000000}" name="Credit Points" dataDxfId="153"/>
    <tableColumn id="8" xr3:uid="{00000000-0010-0000-0000-000008000000}" name="SM Availabilities" dataDxfId="152"/>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SPUCDECOM" displayName="TableSPUCDECOM" ref="A57:O64" totalsRowShown="0">
  <autoFilter ref="A57:O64" xr:uid="{00000000-0009-0000-0100-000009000000}"/>
  <sortState xmlns:xlrd2="http://schemas.microsoft.com/office/spreadsheetml/2017/richdata2" ref="A57:R64">
    <sortCondition ref="N10:N18"/>
  </sortState>
  <tableColumns count="15">
    <tableColumn id="1" xr3:uid="{00000000-0010-0000-0900-000001000000}" name="UDC" dataDxfId="84">
      <calculatedColumnFormula>TableSPUCDECOM[[#This Row],[Study Package Code]]</calculatedColumnFormula>
    </tableColumn>
    <tableColumn id="9" xr3:uid="{00000000-0010-0000-0900-000009000000}" name="V" dataDxfId="83">
      <calculatedColumnFormula>TableSPUCDECOM[[#This Row],[Ver]]</calculatedColumnFormula>
    </tableColumn>
    <tableColumn id="10" xr3:uid="{00000000-0010-0000-0900-00000A000000}" name="OUA Code"/>
    <tableColumn id="11" xr3:uid="{00000000-0010-0000-0900-00000B000000}" name="Unit Title" dataDxfId="82">
      <calculatedColumnFormula>TableSPUCDECOM[[#This Row],[Structure Line]]</calculatedColumnFormula>
    </tableColumn>
    <tableColumn id="12" xr3:uid="{00000000-0010-0000-0900-00000C000000}" name="CPs" dataDxfId="81">
      <calculatedColumnFormula>TableSPUCDECOM[[#This Row],[Credit Points]]</calculatedColumnFormula>
    </tableColumn>
    <tableColumn id="13" xr3:uid="{00000000-0010-0000-0900-00000D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14" xr3:uid="{00000000-0010-0000-0900-00000E000000}" name="Effective" dataDxfId="80"/>
    <tableColumn id="15" xr3:uid="{00000000-0010-0000-0900-00000F000000}" name="Discont." dataDxfId="79"/>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eSPUCGRCOM" displayName="TableSPUCGRCOM" ref="A66:O72" totalsRowShown="0">
  <autoFilter ref="A66:O72" xr:uid="{00000000-0009-0000-0100-00000A000000}"/>
  <sortState xmlns:xlrd2="http://schemas.microsoft.com/office/spreadsheetml/2017/richdata2" ref="A66:R73">
    <sortCondition ref="N10:N18"/>
  </sortState>
  <tableColumns count="15">
    <tableColumn id="1" xr3:uid="{00000000-0010-0000-0A00-000001000000}" name="UDC" dataDxfId="78">
      <calculatedColumnFormula>TableSPUCGRCOM[[#This Row],[Study Package Code]]</calculatedColumnFormula>
    </tableColumn>
    <tableColumn id="9" xr3:uid="{00000000-0010-0000-0A00-000009000000}" name="V" dataDxfId="77">
      <calculatedColumnFormula>TableSPUCGRCOM[[#This Row],[Ver]]</calculatedColumnFormula>
    </tableColumn>
    <tableColumn id="10" xr3:uid="{00000000-0010-0000-0A00-00000A000000}" name="OUA Code"/>
    <tableColumn id="11" xr3:uid="{00000000-0010-0000-0A00-00000B000000}" name="Unit Title" dataDxfId="76">
      <calculatedColumnFormula>TableSPUCGRCOM[[#This Row],[Structure Line]]</calculatedColumnFormula>
    </tableColumn>
    <tableColumn id="12" xr3:uid="{00000000-0010-0000-0A00-00000C000000}" name="CPs" dataDxfId="75">
      <calculatedColumnFormula>TableSPUCGRCOM[[#This Row],[Credit Points]]</calculatedColumnFormula>
    </tableColumn>
    <tableColumn id="13" xr3:uid="{00000000-0010-0000-0A00-00000D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14" xr3:uid="{00000000-0010-0000-0A00-00000E000000}" name="Effective" dataDxfId="74"/>
    <tableColumn id="15" xr3:uid="{00000000-0010-0000-0A00-00000F000000}" name="Discont." dataDxfId="7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SPUCMKCOM" displayName="TableSPUCMKCOM" ref="A74:O82" totalsRowShown="0">
  <autoFilter ref="A74:O82" xr:uid="{00000000-0009-0000-0100-00000B000000}"/>
  <sortState xmlns:xlrd2="http://schemas.microsoft.com/office/spreadsheetml/2017/richdata2" ref="A75:R82">
    <sortCondition ref="N10:N18"/>
  </sortState>
  <tableColumns count="15">
    <tableColumn id="1" xr3:uid="{00000000-0010-0000-0B00-000001000000}" name="UDC" dataDxfId="72">
      <calculatedColumnFormula>TableSPUCMKCOM[[#This Row],[Study Package Code]]</calculatedColumnFormula>
    </tableColumn>
    <tableColumn id="9" xr3:uid="{00000000-0010-0000-0B00-000009000000}" name="V" dataDxfId="71">
      <calculatedColumnFormula>TableSPUCMKCOM[[#This Row],[Ver]]</calculatedColumnFormula>
    </tableColumn>
    <tableColumn id="10" xr3:uid="{00000000-0010-0000-0B00-00000A000000}" name="OUA Code"/>
    <tableColumn id="11" xr3:uid="{00000000-0010-0000-0B00-00000B000000}" name="Unit Title" dataDxfId="70">
      <calculatedColumnFormula>TableSPUCMKCOM[[#This Row],[Structure Line]]</calculatedColumnFormula>
    </tableColumn>
    <tableColumn id="12" xr3:uid="{00000000-0010-0000-0B00-00000C000000}" name="CPs" dataDxfId="69">
      <calculatedColumnFormula>TableSPUCMKCOM[[#This Row],[Credit Points]]</calculatedColumnFormula>
    </tableColumn>
    <tableColumn id="13" xr3:uid="{00000000-0010-0000-0B00-00000D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tableColumn id="14" xr3:uid="{00000000-0010-0000-0B00-00000E000000}" name="Effective" dataDxfId="68"/>
    <tableColumn id="15" xr3:uid="{00000000-0010-0000-0B00-00000F000000}" name="Discont." dataDxfId="67"/>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SPUCPHCOM" displayName="TableSPUCPHCOM" ref="A84:O88" totalsRowShown="0">
  <autoFilter ref="A84:O88" xr:uid="{00000000-0009-0000-0100-00000C000000}"/>
  <sortState xmlns:xlrd2="http://schemas.microsoft.com/office/spreadsheetml/2017/richdata2" ref="A83:R90">
    <sortCondition ref="N10:N18"/>
  </sortState>
  <tableColumns count="15">
    <tableColumn id="1" xr3:uid="{00000000-0010-0000-0C00-000001000000}" name="UDC" dataDxfId="66">
      <calculatedColumnFormula>TableSPUCPHCOM[[#This Row],[Study Package Code]]</calculatedColumnFormula>
    </tableColumn>
    <tableColumn id="9" xr3:uid="{00000000-0010-0000-0C00-000009000000}" name="V" dataDxfId="65">
      <calculatedColumnFormula>TableSPUCPHCOM[[#This Row],[Ver]]</calculatedColumnFormula>
    </tableColumn>
    <tableColumn id="10" xr3:uid="{00000000-0010-0000-0C00-00000A000000}" name="OUA Code"/>
    <tableColumn id="11" xr3:uid="{00000000-0010-0000-0C00-00000B000000}" name="Unit Title" dataDxfId="64">
      <calculatedColumnFormula>TableSPUCPHCOM[[#This Row],[Structure Line]]</calculatedColumnFormula>
    </tableColumn>
    <tableColumn id="12" xr3:uid="{00000000-0010-0000-0C00-00000C000000}" name="CPs" dataDxfId="63">
      <calculatedColumnFormula>TableSPUCPHCOM[[#This Row],[Credit Points]]</calculatedColumnFormula>
    </tableColumn>
    <tableColumn id="13" xr3:uid="{00000000-0010-0000-0C00-00000D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62"/>
    <tableColumn id="15" xr3:uid="{00000000-0010-0000-0C00-00000F000000}" name="Discont." dataDxfId="6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SPUCPRCOM" displayName="TableSPUCPRCOM" ref="A90:O96" totalsRowShown="0">
  <autoFilter ref="A90:O96" xr:uid="{00000000-0009-0000-0100-00000E000000}"/>
  <sortState xmlns:xlrd2="http://schemas.microsoft.com/office/spreadsheetml/2017/richdata2" ref="A93:R100">
    <sortCondition ref="N10:N18"/>
  </sortState>
  <tableColumns count="15">
    <tableColumn id="1" xr3:uid="{00000000-0010-0000-0D00-000001000000}" name="UDC" dataDxfId="60">
      <calculatedColumnFormula>TableSPUCPRCOM[[#This Row],[Study Package Code]]</calculatedColumnFormula>
    </tableColumn>
    <tableColumn id="9" xr3:uid="{00000000-0010-0000-0D00-000009000000}" name="V" dataDxfId="59">
      <calculatedColumnFormula>TableSPUCPRCOM[[#This Row],[Ver]]</calculatedColumnFormula>
    </tableColumn>
    <tableColumn id="10" xr3:uid="{00000000-0010-0000-0D00-00000A000000}" name="OUA Code"/>
    <tableColumn id="11" xr3:uid="{00000000-0010-0000-0D00-00000B000000}" name="Unit Title" dataDxfId="58">
      <calculatedColumnFormula>TableSPUCPRCOM[[#This Row],[Structure Line]]</calculatedColumnFormula>
    </tableColumn>
    <tableColumn id="12" xr3:uid="{00000000-0010-0000-0D00-00000C000000}" name="CPs" dataDxfId="57">
      <calculatedColumnFormula>TableSPUCPRCOM[[#This Row],[Credit Points]]</calculatedColumnFormula>
    </tableColumn>
    <tableColumn id="13" xr3:uid="{00000000-0010-0000-0D00-00000D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56"/>
    <tableColumn id="15" xr3:uid="{00000000-0010-0000-0D00-00000F000000}" name="Discont." dataDxfId="55"/>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16" displayName="Table1516" ref="Q2:R32" totalsRowShown="0">
  <autoFilter ref="Q2:R32" xr:uid="{00000000-0009-0000-0100-00000F000000}"/>
  <tableColumns count="2">
    <tableColumn id="5" xr3:uid="{00000000-0010-0000-0E00-000005000000}" name="SPK"/>
    <tableColumn id="6" xr3:uid="{00000000-0010-0000-0E00-000006000000}" name="Ver"/>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51617" displayName="Table151617" ref="Q34:R38" totalsRowShown="0">
  <autoFilter ref="Q34:R38" xr:uid="{00000000-0009-0000-0100-000010000000}"/>
  <tableColumns count="2">
    <tableColumn id="5" xr3:uid="{00000000-0010-0000-0F00-000005000000}" name="SPK"/>
    <tableColumn id="6" xr3:uid="{00000000-0010-0000-0F00-000006000000}" name="Ver"/>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5161718" displayName="Table15161718" ref="Q40:R46" totalsRowShown="0">
  <autoFilter ref="Q40:R46" xr:uid="{00000000-0009-0000-0100-000011000000}"/>
  <tableColumns count="2">
    <tableColumn id="5" xr3:uid="{00000000-0010-0000-1000-000005000000}" name="SPK"/>
    <tableColumn id="6" xr3:uid="{00000000-0010-0000-1000-000006000000}" name="Ver"/>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516171819" displayName="Table1516171819" ref="Q48:R55" totalsRowShown="0">
  <autoFilter ref="Q48:R55" xr:uid="{00000000-0009-0000-0100-000012000000}"/>
  <tableColumns count="2">
    <tableColumn id="5" xr3:uid="{00000000-0010-0000-1100-000005000000}" name="SPK"/>
    <tableColumn id="6" xr3:uid="{00000000-0010-0000-1100-000006000000}" name="Ver"/>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516171820" displayName="Table1516171820" ref="Q57:R64" totalsRowShown="0">
  <autoFilter ref="Q57:R64" xr:uid="{00000000-0009-0000-0100-000013000000}"/>
  <tableColumns count="2">
    <tableColumn id="5" xr3:uid="{00000000-0010-0000-1200-000005000000}" name="SPK"/>
    <tableColumn id="6" xr3:uid="{00000000-0010-0000-1200-000006000000}" name="Ver"/>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28:C30" totalsRowShown="0" dataDxfId="151">
  <autoFilter ref="A28:C30" xr:uid="{00000000-0009-0000-0100-000004000000}"/>
  <tableColumns count="3">
    <tableColumn id="1" xr3:uid="{00000000-0010-0000-0100-000001000000}" name="Choose your commencing study period (drop-down list)" dataDxfId="150"/>
    <tableColumn id="2" xr3:uid="{00000000-0010-0000-0100-000002000000}" name="START" dataDxfId="149"/>
    <tableColumn id="3" xr3:uid="{00000000-0010-0000-0100-000003000000}" name="Next" dataDxfId="148"/>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1516171821" displayName="Table1516171821" ref="Q66:R72" totalsRowShown="0">
  <autoFilter ref="Q66:R72" xr:uid="{00000000-0009-0000-0100-000014000000}"/>
  <tableColumns count="2">
    <tableColumn id="5" xr3:uid="{00000000-0010-0000-1300-000005000000}" name="SPK"/>
    <tableColumn id="6" xr3:uid="{00000000-0010-0000-1300-000006000000}" name="Ver"/>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1516171822" displayName="Table1516171822" ref="Q74:R82" totalsRowShown="0">
  <autoFilter ref="Q74:R82" xr:uid="{00000000-0009-0000-0100-000015000000}"/>
  <tableColumns count="2">
    <tableColumn id="5" xr3:uid="{00000000-0010-0000-1400-000005000000}" name="SPK"/>
    <tableColumn id="6" xr3:uid="{00000000-0010-0000-1400-000006000000}" name="Ver"/>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1516171823" displayName="Table1516171823" ref="Q84:R88" totalsRowShown="0">
  <autoFilter ref="Q84:R88" xr:uid="{00000000-0009-0000-0100-000016000000}"/>
  <tableColumns count="2">
    <tableColumn id="5" xr3:uid="{00000000-0010-0000-1500-000005000000}" name="SPK"/>
    <tableColumn id="6" xr3:uid="{00000000-0010-0000-1500-000006000000}" name="Ver"/>
  </tableColumns>
  <tableStyleInfo name="TableStyleLight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1516171824" displayName="Table1516171824" ref="Q90:R96" totalsRowShown="0">
  <autoFilter ref="Q90:R96" xr:uid="{00000000-0009-0000-0100-000017000000}"/>
  <tableColumns count="2">
    <tableColumn id="5" xr3:uid="{00000000-0010-0000-1600-000005000000}" name="SPK"/>
    <tableColumn id="6" xr3:uid="{00000000-0010-0000-1600-000006000000}" name="Ver"/>
  </tableColumns>
  <tableStyleInfo name="TableStyleLight4"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SPUPJOURL" displayName="TableSPUPJOURL" ref="A98:O102" totalsRowShown="0">
  <autoFilter ref="A98:O102" xr:uid="{00000000-0009-0000-0100-000018000000}"/>
  <sortState xmlns:xlrd2="http://schemas.microsoft.com/office/spreadsheetml/2017/richdata2" ref="A100:R107">
    <sortCondition ref="N10:N18"/>
  </sortState>
  <tableColumns count="15">
    <tableColumn id="1" xr3:uid="{00000000-0010-0000-1700-000001000000}" name="UDC" dataDxfId="54">
      <calculatedColumnFormula>TableSPUPJOURL[[#This Row],[Study Package Code]]</calculatedColumnFormula>
    </tableColumn>
    <tableColumn id="9" xr3:uid="{00000000-0010-0000-1700-000009000000}" name="V" dataDxfId="53">
      <calculatedColumnFormula>TableSPUPJOURL[[#This Row],[Ver]]</calculatedColumnFormula>
    </tableColumn>
    <tableColumn id="10" xr3:uid="{00000000-0010-0000-1700-00000A000000}" name="OUA Code"/>
    <tableColumn id="11" xr3:uid="{00000000-0010-0000-1700-00000B000000}" name="Unit Title" dataDxfId="52">
      <calculatedColumnFormula>TableSPUPJOURL[[#This Row],[Structure Line]]</calculatedColumnFormula>
    </tableColumn>
    <tableColumn id="12" xr3:uid="{00000000-0010-0000-1700-00000C000000}" name="CPs" dataDxfId="51">
      <calculatedColumnFormula>TableSPUPJOURL[[#This Row],[Credit Points]]</calculatedColumnFormula>
    </tableColumn>
    <tableColumn id="13" xr3:uid="{00000000-0010-0000-1700-00000D000000}" name="No."/>
    <tableColumn id="2" xr3:uid="{00000000-0010-0000-1700-000002000000}" name="Component Type"/>
    <tableColumn id="3" xr3:uid="{00000000-0010-0000-1700-000003000000}" name="Year Level"/>
    <tableColumn id="4" xr3:uid="{00000000-0010-0000-1700-000004000000}" name="Study Period"/>
    <tableColumn id="5" xr3:uid="{00000000-0010-0000-1700-000005000000}" name="Study Package Code"/>
    <tableColumn id="6" xr3:uid="{00000000-0010-0000-1700-000006000000}" name="Ver"/>
    <tableColumn id="7" xr3:uid="{00000000-0010-0000-1700-000007000000}" name="Structure Line"/>
    <tableColumn id="8" xr3:uid="{00000000-0010-0000-1700-000008000000}" name="Credit Points"/>
    <tableColumn id="14" xr3:uid="{00000000-0010-0000-1700-00000E000000}" name="Effective" dataDxfId="50"/>
    <tableColumn id="15" xr3:uid="{00000000-0010-0000-1700-00000F000000}" name="Discont." dataDxfId="49"/>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151617182426" displayName="Table151617182426" ref="Q98:R102" totalsRowShown="0">
  <autoFilter ref="Q98:R102" xr:uid="{00000000-0009-0000-0100-000019000000}"/>
  <tableColumns count="2">
    <tableColumn id="5" xr3:uid="{00000000-0010-0000-1800-000005000000}" name="SPK"/>
    <tableColumn id="6" xr3:uid="{00000000-0010-0000-1800-000006000000}" name="Ver"/>
  </tableColumns>
  <tableStyleInfo name="TableStyleLight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9000000}" name="TableAvailabilities" displayName="TableAvailabilities" ref="A2:E60" totalsRowShown="0">
  <autoFilter ref="A2:E60" xr:uid="{00000000-0009-0000-0100-00000D000000}"/>
  <tableColumns count="5">
    <tableColumn id="1" xr3:uid="{00000000-0010-0000-1900-000001000000}" name="Row Labels"/>
    <tableColumn id="2" xr3:uid="{00000000-0010-0000-1900-000002000000}" name="Sem1 Internal" dataDxfId="48"/>
    <tableColumn id="3" xr3:uid="{00000000-0010-0000-1900-000003000000}" name="Sem1 Online" dataDxfId="47"/>
    <tableColumn id="4" xr3:uid="{00000000-0010-0000-1900-000004000000}" name="Sem2 Internal" dataDxfId="46"/>
    <tableColumn id="5" xr3:uid="{00000000-0010-0000-1900-000005000000}" name="Sem2 Online" dataDxfId="4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FirstSpecialisation" displayName="TableFirstSpecialisation" ref="A8:G12" totalsRowShown="0" dataDxfId="147">
  <autoFilter ref="A8:G12" xr:uid="{00000000-0009-0000-0100-000005000000}"/>
  <tableColumns count="7">
    <tableColumn id="1" xr3:uid="{00000000-0010-0000-0200-000001000000}" name="Choose your first Specialisation (drop-down list)" dataDxfId="146"/>
    <tableColumn id="2" xr3:uid="{00000000-0010-0000-0200-000002000000}" name="UDC" dataDxfId="145"/>
    <tableColumn id="3" xr3:uid="{00000000-0010-0000-0200-000003000000}" name="SM Version" dataDxfId="144"/>
    <tableColumn id="4" xr3:uid="{00000000-0010-0000-0200-000004000000}" name="SM Effective Date" dataDxfId="143"/>
    <tableColumn id="5" xr3:uid="{00000000-0010-0000-0200-000005000000}" name="Akari Iteration" dataDxfId="142"/>
    <tableColumn id="6" xr3:uid="{00000000-0010-0000-0200-000006000000}" name="Akari Effective Date" dataDxfId="141"/>
    <tableColumn id="7" xr3:uid="{00000000-0010-0000-0200-000007000000}" name="Credit Points" dataDxfId="140"/>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3000000}" name="TableSecondSpecialisation" displayName="TableSecondSpecialisation" ref="A15:G25" totalsRowShown="0" dataDxfId="139">
  <autoFilter ref="A15:G25" xr:uid="{00000000-0009-0000-0100-000021000000}"/>
  <tableColumns count="7">
    <tableColumn id="1" xr3:uid="{00000000-0010-0000-0300-000001000000}" name="Choose your second Specialisation (drop-down list)" dataDxfId="138"/>
    <tableColumn id="2" xr3:uid="{00000000-0010-0000-0300-000002000000}" name="UDC" dataDxfId="137"/>
    <tableColumn id="3" xr3:uid="{00000000-0010-0000-0300-000003000000}" name="SM Version" dataDxfId="136"/>
    <tableColumn id="4" xr3:uid="{00000000-0010-0000-0300-000004000000}" name="SM Effective Date" dataDxfId="135"/>
    <tableColumn id="5" xr3:uid="{00000000-0010-0000-0300-000005000000}" name="Akari Iteration" dataDxfId="134"/>
    <tableColumn id="6" xr3:uid="{00000000-0010-0000-0300-000006000000}" name="Akari Effective Date" dataDxfId="133"/>
    <tableColumn id="7" xr3:uid="{00000000-0010-0000-0300-000007000000}" name="Credit Points" dataDxfId="132"/>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U91" totalsRowShown="0" headerRowDxfId="131" dataDxfId="130">
  <autoFilter ref="A2:U91" xr:uid="{00000000-0009-0000-0100-000002000000}"/>
  <sortState xmlns:xlrd2="http://schemas.microsoft.com/office/spreadsheetml/2017/richdata2" ref="A3:U91">
    <sortCondition ref="A2:A91"/>
  </sortState>
  <tableColumns count="21">
    <tableColumn id="1" xr3:uid="{00000000-0010-0000-0400-000001000000}" name="UDC" dataDxfId="129"/>
    <tableColumn id="2" xr3:uid="{00000000-0010-0000-0400-000002000000}" name="Ver" dataDxfId="128"/>
    <tableColumn id="3" xr3:uid="{00000000-0010-0000-0400-000003000000}" name="OUA Cd" dataDxfId="127"/>
    <tableColumn id="4" xr3:uid="{00000000-0010-0000-0400-000004000000}" name="Title" dataDxfId="126"/>
    <tableColumn id="5" xr3:uid="{00000000-0010-0000-0400-000005000000}" name="Credits" dataDxfId="125"/>
    <tableColumn id="6" xr3:uid="{00000000-0010-0000-0400-000006000000}" name="Pre-reqs (Downloaded: 16/09/2024)" dataDxfId="124"/>
    <tableColumn id="12" xr3:uid="{00000000-0010-0000-0400-00000C000000}" name="S1INT" dataDxfId="123">
      <calculatedColumnFormula>IFERROR(IF(VLOOKUP(TableHandbook[[#This Row],[UDC]],TableAvailabilities[],2,FALSE)&gt;0,"Y",""),"")</calculatedColumnFormula>
    </tableColumn>
    <tableColumn id="13" xr3:uid="{00000000-0010-0000-0400-00000D000000}" name="S1FO" dataDxfId="122">
      <calculatedColumnFormula>IFERROR(IF(VLOOKUP(TableHandbook[[#This Row],[UDC]],TableAvailabilities[],3,FALSE)&gt;0,"Y",""),"")</calculatedColumnFormula>
    </tableColumn>
    <tableColumn id="14" xr3:uid="{00000000-0010-0000-0400-00000E000000}" name="S2INT" dataDxfId="121">
      <calculatedColumnFormula>IFERROR(IF(VLOOKUP(TableHandbook[[#This Row],[UDC]],TableAvailabilities[],4,FALSE)&gt;0,"Y",""),"")</calculatedColumnFormula>
    </tableColumn>
    <tableColumn id="15" xr3:uid="{00000000-0010-0000-0400-00000F000000}" name="S2FO" dataDxfId="120">
      <calculatedColumnFormula>IFERROR(IF(VLOOKUP(TableHandbook[[#This Row],[UDC]],TableAvailabilities[],5,FALSE)&gt;0,"Y",""),"")</calculatedColumnFormula>
    </tableColumn>
    <tableColumn id="16" xr3:uid="{00000000-0010-0000-0400-000010000000}" name="Notes" dataDxfId="119"/>
    <tableColumn id="8" xr3:uid="{00000000-0010-0000-0400-000008000000}" name="B-MASCOMS" dataDxfId="118">
      <calculatedColumnFormula>IFERROR(VLOOKUP(TableHandbook[[#This Row],[UDC]],TableBMASCOMS[],7,FALSE),"")</calculatedColumnFormula>
    </tableColumn>
    <tableColumn id="9" xr3:uid="{00000000-0010-0000-0400-000009000000}" name="SPUC-CSCOM" dataDxfId="117">
      <calculatedColumnFormula>IFERROR(VLOOKUP(TableHandbook[[#This Row],[UDC]],TableSPUCCSCOM[],7,FALSE),"")</calculatedColumnFormula>
    </tableColumn>
    <tableColumn id="19" xr3:uid="{00000000-0010-0000-0400-000013000000}" name="SPUC-JOURL" dataDxfId="116">
      <calculatedColumnFormula>IFERROR(VLOOKUP(TableHandbook[[#This Row],[UDC]],TableSPUCJOURL[],7,FALSE),"")</calculatedColumnFormula>
    </tableColumn>
    <tableColumn id="22" xr3:uid="{00000000-0010-0000-0400-000016000000}" name="SPUC-WMCOM" dataDxfId="115">
      <calculatedColumnFormula>IFERROR(VLOOKUP(TableHandbook[[#This Row],[UDC]],TableSPUCWMCOM[],7,FALSE),"")</calculatedColumnFormula>
    </tableColumn>
    <tableColumn id="23" xr3:uid="{00000000-0010-0000-0400-000017000000}" name="SPUC-DECOM" dataDxfId="114">
      <calculatedColumnFormula>IFERROR(VLOOKUP(TableHandbook[[#This Row],[UDC]],TableSPUCDECOM[],7,FALSE),"")</calculatedColumnFormula>
    </tableColumn>
    <tableColumn id="24" xr3:uid="{00000000-0010-0000-0400-000018000000}" name="SPUC-GRCOM" dataDxfId="113">
      <calculatedColumnFormula>IFERROR(VLOOKUP(TableHandbook[[#This Row],[UDC]],TableSPUCGRCOM[],7,FALSE),"")</calculatedColumnFormula>
    </tableColumn>
    <tableColumn id="7" xr3:uid="{00000000-0010-0000-0400-000007000000}" name="SPUP-JOURL" dataDxfId="112">
      <calculatedColumnFormula>IFERROR(VLOOKUP(TableHandbook[[#This Row],[UDC]],TableSPUPJOURL[],7,FALSE),"")</calculatedColumnFormula>
    </tableColumn>
    <tableColumn id="25" xr3:uid="{00000000-0010-0000-0400-000019000000}" name="SPUC-MKCOM" dataDxfId="111">
      <calculatedColumnFormula>IFERROR(VLOOKUP(TableHandbook[[#This Row],[UDC]],TableSPUCMKCOM[],7,FALSE),"")</calculatedColumnFormula>
    </tableColumn>
    <tableColumn id="26" xr3:uid="{00000000-0010-0000-0400-00001A000000}" name="SPUC-PHCOM" dataDxfId="110">
      <calculatedColumnFormula>IFERROR(VLOOKUP(TableHandbook[[#This Row],[UDC]],TableSPUCPHCOM[],7,FALSE),"")</calculatedColumnFormula>
    </tableColumn>
    <tableColumn id="27" xr3:uid="{00000000-0010-0000-0400-00001B000000}" name="SPUC-PRCOM" dataDxfId="109">
      <calculatedColumnFormula>IFERROR(VLOOKUP(TableHandbook[[#This Row],[UDC]],TableSPUCPRCOM[],7,FALSE),"")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BMASCOMS" displayName="TableBMASCOMS" ref="A2:O32" totalsRowShown="0">
  <autoFilter ref="A2:O32" xr:uid="{00000000-0009-0000-0100-000001000000}"/>
  <sortState xmlns:xlrd2="http://schemas.microsoft.com/office/spreadsheetml/2017/richdata2" ref="AD3:AU6">
    <sortCondition ref="AR2:AR6"/>
  </sortState>
  <tableColumns count="15">
    <tableColumn id="1" xr3:uid="{00000000-0010-0000-0500-000001000000}" name="UDC" dataDxfId="108">
      <calculatedColumnFormula>TableBMASCOMS[[#This Row],[Study Package Code]]</calculatedColumnFormula>
    </tableColumn>
    <tableColumn id="9" xr3:uid="{00000000-0010-0000-0500-000009000000}" name="V" dataDxfId="107">
      <calculatedColumnFormula>TableBMASCOMS[[#This Row],[Ver]]</calculatedColumnFormula>
    </tableColumn>
    <tableColumn id="10" xr3:uid="{00000000-0010-0000-0500-00000A000000}" name="OUA Code"/>
    <tableColumn id="11" xr3:uid="{00000000-0010-0000-0500-00000B000000}" name="Unit Title" dataDxfId="106">
      <calculatedColumnFormula>TableBMASCOMS[[#This Row],[Structure Line]]</calculatedColumnFormula>
    </tableColumn>
    <tableColumn id="12" xr3:uid="{00000000-0010-0000-0500-00000C000000}" name="CPs" dataDxfId="105">
      <calculatedColumnFormula>TableBMASCOMS[[#This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14" xr3:uid="{00000000-0010-0000-0500-00000E000000}" name="Effective" dataDxfId="104"/>
    <tableColumn id="15" xr3:uid="{00000000-0010-0000-0500-00000F000000}" name="Discont." dataDxfId="10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SPUCCSCOM" displayName="TableSPUCCSCOM" ref="A34:O38" totalsRowShown="0">
  <autoFilter ref="A34:O38" xr:uid="{00000000-0009-0000-0100-000006000000}"/>
  <sortState xmlns:xlrd2="http://schemas.microsoft.com/office/spreadsheetml/2017/richdata2" ref="AD11:AU18">
    <sortCondition ref="AQ10:AQ18"/>
  </sortState>
  <tableColumns count="15">
    <tableColumn id="1" xr3:uid="{00000000-0010-0000-0600-000001000000}" name="UDC" dataDxfId="102">
      <calculatedColumnFormula>TableSPUCCSCOM[[#This Row],[Study Package Code]]</calculatedColumnFormula>
    </tableColumn>
    <tableColumn id="9" xr3:uid="{00000000-0010-0000-0600-000009000000}" name="V" dataDxfId="101">
      <calculatedColumnFormula>TableSPUCCSCOM[[#This Row],[Ver]]</calculatedColumnFormula>
    </tableColumn>
    <tableColumn id="10" xr3:uid="{00000000-0010-0000-0600-00000A000000}" name="OUA Code"/>
    <tableColumn id="11" xr3:uid="{00000000-0010-0000-0600-00000B000000}" name="Unit Title" dataDxfId="100">
      <calculatedColumnFormula>TableSPUCCSCOM[[#This Row],[Structure Line]]</calculatedColumnFormula>
    </tableColumn>
    <tableColumn id="12" xr3:uid="{00000000-0010-0000-0600-00000C000000}" name="CPs" dataDxfId="99">
      <calculatedColumnFormula>TableSPUCCSCOM[[#This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tableColumn id="7" xr3:uid="{00000000-0010-0000-0600-000007000000}" name="Structure Line"/>
    <tableColumn id="8" xr3:uid="{00000000-0010-0000-0600-000008000000}" name="Credit Points"/>
    <tableColumn id="14" xr3:uid="{00000000-0010-0000-0600-00000E000000}" name="Effective" dataDxfId="98"/>
    <tableColumn id="15" xr3:uid="{00000000-0010-0000-0600-00000F000000}" name="Discont." dataDxfId="9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SPUCJOURL" displayName="TableSPUCJOURL" ref="A40:O46" totalsRowShown="0">
  <autoFilter ref="A40:O46" xr:uid="{00000000-0009-0000-0100-000007000000}"/>
  <sortState xmlns:xlrd2="http://schemas.microsoft.com/office/spreadsheetml/2017/richdata2" ref="A45:R52">
    <sortCondition ref="N10:N18"/>
  </sortState>
  <tableColumns count="15">
    <tableColumn id="1" xr3:uid="{00000000-0010-0000-0700-000001000000}" name="UDC" dataDxfId="96">
      <calculatedColumnFormula>TableSPUCJOURL[[#This Row],[Study Package Code]]</calculatedColumnFormula>
    </tableColumn>
    <tableColumn id="9" xr3:uid="{00000000-0010-0000-0700-000009000000}" name="V" dataDxfId="95">
      <calculatedColumnFormula>TableSPUCJOURL[[#This Row],[Ver]]</calculatedColumnFormula>
    </tableColumn>
    <tableColumn id="10" xr3:uid="{00000000-0010-0000-0700-00000A000000}" name="OUA Code"/>
    <tableColumn id="11" xr3:uid="{00000000-0010-0000-0700-00000B000000}" name="Unit Title" dataDxfId="94">
      <calculatedColumnFormula>TableSPUCJOURL[[#This Row],[Structure Line]]</calculatedColumnFormula>
    </tableColumn>
    <tableColumn id="12" xr3:uid="{00000000-0010-0000-0700-00000C000000}" name="CPs" dataDxfId="93">
      <calculatedColumnFormula>TableSPUCJOURL[[#This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14" xr3:uid="{00000000-0010-0000-0700-00000E000000}" name="Effective" dataDxfId="92"/>
    <tableColumn id="15" xr3:uid="{00000000-0010-0000-0700-00000F000000}" name="Discont." dataDxfId="91"/>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leSPUCWMCOM" displayName="TableSPUCWMCOM" ref="A48:O55" totalsRowShown="0">
  <autoFilter ref="A48:O55" xr:uid="{00000000-0009-0000-0100-000008000000}"/>
  <sortState xmlns:xlrd2="http://schemas.microsoft.com/office/spreadsheetml/2017/richdata2" ref="A51:R58">
    <sortCondition ref="N10:N18"/>
  </sortState>
  <tableColumns count="15">
    <tableColumn id="1" xr3:uid="{00000000-0010-0000-0800-000001000000}" name="UDC" dataDxfId="90">
      <calculatedColumnFormula>TableSPUCWMCOM[[#This Row],[Study Package Code]]</calculatedColumnFormula>
    </tableColumn>
    <tableColumn id="9" xr3:uid="{00000000-0010-0000-0800-000009000000}" name="V" dataDxfId="89">
      <calculatedColumnFormula>TableSPUCWMCOM[[#This Row],[Ver]]</calculatedColumnFormula>
    </tableColumn>
    <tableColumn id="10" xr3:uid="{00000000-0010-0000-0800-00000A000000}" name="OUA Code"/>
    <tableColumn id="11" xr3:uid="{00000000-0010-0000-0800-00000B000000}" name="Unit Title" dataDxfId="88">
      <calculatedColumnFormula>TableSPUCWMCOM[[#This Row],[Structure Line]]</calculatedColumnFormula>
    </tableColumn>
    <tableColumn id="12" xr3:uid="{00000000-0010-0000-0800-00000C000000}" name="CPs" dataDxfId="87">
      <calculatedColumnFormula>TableSPUCWMCOM[[#This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tableColumn id="7" xr3:uid="{00000000-0010-0000-0800-000007000000}" name="Structure Line"/>
    <tableColumn id="8" xr3:uid="{00000000-0010-0000-0800-000008000000}" name="Credit Points"/>
    <tableColumn id="14" xr3:uid="{00000000-0010-0000-0800-00000E000000}" name="Effective" dataDxfId="86"/>
    <tableColumn id="15" xr3:uid="{00000000-0010-0000-0800-00000F000000}" name="Discont." dataDxfId="8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18" Type="http://schemas.openxmlformats.org/officeDocument/2006/relationships/table" Target="../tables/table22.xml"/><Relationship Id="rId3" Type="http://schemas.openxmlformats.org/officeDocument/2006/relationships/table" Target="../tables/table7.xml"/><Relationship Id="rId21" Type="http://schemas.openxmlformats.org/officeDocument/2006/relationships/table" Target="../tables/table25.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table" Target="../tables/table6.xml"/><Relationship Id="rId16" Type="http://schemas.openxmlformats.org/officeDocument/2006/relationships/table" Target="../tables/table20.xml"/><Relationship Id="rId20" Type="http://schemas.openxmlformats.org/officeDocument/2006/relationships/table" Target="../tables/table24.xml"/><Relationship Id="rId1" Type="http://schemas.openxmlformats.org/officeDocument/2006/relationships/printerSettings" Target="../printerSettings/printerSettings4.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19" Type="http://schemas.openxmlformats.org/officeDocument/2006/relationships/table" Target="../tables/table23.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3"/>
  <sheetViews>
    <sheetView showGridLines="0" tabSelected="1" topLeftCell="A3" zoomScaleNormal="100" workbookViewId="0">
      <selection activeCell="D6" sqref="D6"/>
    </sheetView>
  </sheetViews>
  <sheetFormatPr defaultColWidth="9" defaultRowHeight="14.4" x14ac:dyDescent="0.3"/>
  <cols>
    <col min="1" max="1" width="12.8984375" style="108" customWidth="1"/>
    <col min="2" max="2" width="3.19921875" style="108" customWidth="1"/>
    <col min="3" max="3" width="5.8984375" style="108" customWidth="1"/>
    <col min="4" max="4" width="44.3984375" style="97" bestFit="1" customWidth="1"/>
    <col min="5" max="5" width="7.3984375" style="108" customWidth="1"/>
    <col min="6" max="6" width="28" style="97" customWidth="1"/>
    <col min="7" max="7" width="5.59765625" style="97" customWidth="1"/>
    <col min="8" max="11" width="4.59765625" style="97" customWidth="1"/>
    <col min="12" max="12" width="18.59765625" style="97" customWidth="1"/>
    <col min="13" max="13" width="2.5" style="97" hidden="1" customWidth="1"/>
    <col min="14" max="16384" width="9" style="97"/>
  </cols>
  <sheetData>
    <row r="1" spans="1:16" hidden="1" x14ac:dyDescent="0.3">
      <c r="A1" s="93" t="s">
        <v>0</v>
      </c>
      <c r="B1" s="94" t="s">
        <v>1</v>
      </c>
      <c r="C1" s="94" t="s">
        <v>2</v>
      </c>
      <c r="D1" s="95" t="s">
        <v>3</v>
      </c>
      <c r="E1" s="94"/>
      <c r="F1" s="95" t="s">
        <v>4</v>
      </c>
      <c r="G1" s="95" t="s">
        <v>5</v>
      </c>
      <c r="H1" s="96" t="s">
        <v>6</v>
      </c>
      <c r="I1" s="95"/>
      <c r="J1" s="95"/>
      <c r="K1" s="95"/>
      <c r="L1" s="95" t="s">
        <v>7</v>
      </c>
    </row>
    <row r="2" spans="1:16" hidden="1" x14ac:dyDescent="0.3">
      <c r="A2" s="98"/>
      <c r="B2" s="98">
        <v>2</v>
      </c>
      <c r="C2" s="98">
        <v>3</v>
      </c>
      <c r="D2" s="98">
        <v>4</v>
      </c>
      <c r="E2" s="98"/>
      <c r="F2" s="98">
        <v>6</v>
      </c>
      <c r="G2" s="98">
        <v>5</v>
      </c>
      <c r="H2" s="98">
        <v>7</v>
      </c>
      <c r="I2" s="98">
        <v>8</v>
      </c>
      <c r="J2" s="98">
        <v>9</v>
      </c>
      <c r="K2" s="98">
        <v>10</v>
      </c>
      <c r="L2" s="98"/>
    </row>
    <row r="3" spans="1:16" ht="39.9" customHeight="1" x14ac:dyDescent="0.3">
      <c r="A3" s="99" t="s">
        <v>8</v>
      </c>
      <c r="B3" s="100"/>
      <c r="C3" s="100"/>
      <c r="D3" s="100"/>
      <c r="E3" s="101"/>
      <c r="F3" s="102"/>
      <c r="G3" s="102"/>
      <c r="H3" s="102"/>
      <c r="I3" s="102"/>
      <c r="J3" s="102"/>
      <c r="K3" s="102"/>
      <c r="L3" s="102"/>
    </row>
    <row r="4" spans="1:16" ht="27" x14ac:dyDescent="0.3">
      <c r="A4" s="103"/>
      <c r="B4" s="104"/>
      <c r="C4" s="104"/>
      <c r="D4" s="105"/>
      <c r="E4" s="106" t="s">
        <v>9</v>
      </c>
      <c r="F4" s="104"/>
      <c r="G4" s="107"/>
      <c r="H4" s="107"/>
      <c r="I4" s="107"/>
      <c r="J4" s="107"/>
      <c r="K4" s="107"/>
      <c r="L4" s="107"/>
    </row>
    <row r="5" spans="1:16" ht="20.100000000000001" customHeight="1" x14ac:dyDescent="0.3">
      <c r="B5" s="109"/>
      <c r="C5" s="110" t="s">
        <v>10</v>
      </c>
      <c r="D5" s="111" t="s">
        <v>11</v>
      </c>
      <c r="E5" s="112"/>
      <c r="F5" s="110" t="s">
        <v>12</v>
      </c>
      <c r="G5" s="113" t="str">
        <f>IFERROR(CONCATENATE(VLOOKUP(D5,TableCourses[],2,FALSE)," ",VLOOKUP(D5,TableCourses[],3,FALSE)),"")</f>
        <v>B-MASCOMS v.4</v>
      </c>
      <c r="H5" s="113"/>
      <c r="I5" s="113"/>
      <c r="J5" s="113"/>
      <c r="K5" s="113"/>
      <c r="L5" s="114" t="e">
        <f>CONCATENATE(VLOOKUP(D5,TableCourses[],2,FALSE),VLOOKUP(D8,TableStudyPeriod[],2,FALSE))</f>
        <v>#N/A</v>
      </c>
    </row>
    <row r="6" spans="1:16" ht="20.100000000000001" customHeight="1" x14ac:dyDescent="0.3">
      <c r="B6" s="109"/>
      <c r="C6" s="110" t="s">
        <v>13</v>
      </c>
      <c r="D6" s="217" t="s">
        <v>66</v>
      </c>
      <c r="E6" s="112"/>
      <c r="F6" s="110" t="s">
        <v>15</v>
      </c>
      <c r="G6" s="113" t="str">
        <f>IFERROR(CONCATENATE(VLOOKUP(D6,TableFirstSpecialisation[],2,FALSE)," ",VLOOKUP(D6,TableFirstSpecialisation[],3,FALSE)),"")</f>
        <v/>
      </c>
      <c r="H6" s="113"/>
      <c r="I6" s="113"/>
      <c r="J6" s="113"/>
      <c r="K6" s="113"/>
      <c r="L6" s="114" t="e">
        <f>CONCATENATE(VLOOKUP(D6,TableFirstSpecialisation[],2,FALSE),VLOOKUP(D8,TableStudyPeriod[],2,FALSE))</f>
        <v>#N/A</v>
      </c>
    </row>
    <row r="7" spans="1:16" ht="20.100000000000001" customHeight="1" x14ac:dyDescent="0.3">
      <c r="B7" s="109"/>
      <c r="C7" s="110" t="s">
        <v>16</v>
      </c>
      <c r="D7" s="218" t="s">
        <v>84</v>
      </c>
      <c r="E7" s="112"/>
      <c r="F7" s="110" t="s">
        <v>16</v>
      </c>
      <c r="G7" s="113" t="str">
        <f>IFERROR(CONCATENATE(VLOOKUP(D7,TableSecondSpecialisation[],2,FALSE)," ",VLOOKUP(D7,TableSecondSpecialisation[],3,FALSE)),"")</f>
        <v/>
      </c>
      <c r="H7" s="113"/>
      <c r="I7" s="113"/>
      <c r="J7" s="113"/>
      <c r="K7" s="113"/>
      <c r="L7" s="115" t="e">
        <f>CONCATENATE(VLOOKUP(D7,TableSecondSpecialisation[],2,FALSE),VLOOKUP(D8,TableStudyPeriod[],2,FALSE))</f>
        <v>#N/A</v>
      </c>
    </row>
    <row r="8" spans="1:16" ht="20.100000000000001" customHeight="1" x14ac:dyDescent="0.3">
      <c r="A8" s="116"/>
      <c r="B8" s="117"/>
      <c r="C8" s="110" t="s">
        <v>18</v>
      </c>
      <c r="D8" s="219" t="s">
        <v>101</v>
      </c>
      <c r="E8" s="118"/>
      <c r="F8" s="110" t="s">
        <v>20</v>
      </c>
      <c r="G8" s="113" t="str">
        <f>IFERROR(VLOOKUP($D$5,TableCourses[],7,FALSE),"")</f>
        <v>600 credit points required</v>
      </c>
      <c r="H8" s="119"/>
      <c r="I8" s="119"/>
      <c r="J8" s="119"/>
      <c r="K8" s="119"/>
      <c r="L8" s="114" t="e">
        <f>RIGHT(VLOOKUP(D6,TableFirstSpecialisation[],2,FALSE),5)</f>
        <v>#N/A</v>
      </c>
    </row>
    <row r="9" spans="1:16" s="127" customFormat="1" ht="14.1" customHeight="1" x14ac:dyDescent="0.3">
      <c r="A9" s="120"/>
      <c r="B9" s="120"/>
      <c r="C9" s="120"/>
      <c r="D9" s="121"/>
      <c r="E9" s="120"/>
      <c r="F9" s="120"/>
      <c r="G9" s="120"/>
      <c r="H9" s="122" t="s">
        <v>21</v>
      </c>
      <c r="I9" s="123"/>
      <c r="J9" s="123"/>
      <c r="K9" s="124"/>
      <c r="L9" s="125"/>
      <c r="M9" s="126"/>
      <c r="N9" s="126"/>
      <c r="O9" s="126"/>
    </row>
    <row r="10" spans="1:16" s="127" customFormat="1" ht="22.8" x14ac:dyDescent="0.3">
      <c r="A10" s="120" t="s">
        <v>22</v>
      </c>
      <c r="B10" s="120"/>
      <c r="C10" s="120"/>
      <c r="D10" s="121" t="s">
        <v>3</v>
      </c>
      <c r="E10" s="128" t="s">
        <v>23</v>
      </c>
      <c r="F10" s="129" t="s">
        <v>24</v>
      </c>
      <c r="G10" s="120" t="s">
        <v>25</v>
      </c>
      <c r="H10" s="130" t="s">
        <v>26</v>
      </c>
      <c r="I10" s="131" t="s">
        <v>27</v>
      </c>
      <c r="J10" s="129" t="s">
        <v>28</v>
      </c>
      <c r="K10" s="132" t="s">
        <v>29</v>
      </c>
      <c r="L10" s="120" t="s">
        <v>30</v>
      </c>
      <c r="M10" s="126"/>
      <c r="N10" s="126"/>
      <c r="O10" s="126"/>
    </row>
    <row r="11" spans="1:16" s="142" customFormat="1" ht="20.100000000000001" customHeight="1" x14ac:dyDescent="0.25">
      <c r="A11" s="133" t="str">
        <f>IFERROR(IF(HLOOKUP($L$5,RangeUnitsets,M11,FALSE)=0,"",HLOOKUP($L$5,RangeUnitsets,M11,FALSE)),"")</f>
        <v/>
      </c>
      <c r="B11" s="134" t="str">
        <f>IFERROR(IF(VLOOKUP($A11,TableHandbook[],2,FALSE)=0,"",VLOOKUP($A11,TableHandbook[],2,FALSE)),"")</f>
        <v/>
      </c>
      <c r="C11" s="134" t="str">
        <f>IFERROR(IF(VLOOKUP($A11,TableHandbook[],3,FALSE)=0,"",VLOOKUP($A11,TableHandbook[],3,FALSE)),"")</f>
        <v/>
      </c>
      <c r="D11" s="135" t="str">
        <f>IFERROR(IF(VLOOKUP($A11,TableHandbook[],4,FALSE)=0,"",VLOOKUP($A11,TableHandbook[],4,FALSE)),"")</f>
        <v/>
      </c>
      <c r="E11" s="134" t="str">
        <f>IF(OR(A11="",A11="-"),"",VLOOKUP($D$8,TableStudyPeriod[],2,FALSE))</f>
        <v/>
      </c>
      <c r="F11" s="136" t="str">
        <f>IFERROR(IF(VLOOKUP($A11,TableHandbook[],6,FALSE)=0,"",VLOOKUP($A11,TableHandbook[],6,FALSE)),"")</f>
        <v/>
      </c>
      <c r="G11" s="134" t="str">
        <f>IFERROR(IF(VLOOKUP($A11,TableHandbook[],5,FALSE)=0,"",VLOOKUP($A11,TableHandbook[],5,FALSE)),"")</f>
        <v/>
      </c>
      <c r="H11" s="137" t="str">
        <f>IFERROR(VLOOKUP($A11,TableHandbook[],H$2,FALSE),"")</f>
        <v/>
      </c>
      <c r="I11" s="138" t="str">
        <f>IFERROR(VLOOKUP($A11,TableHandbook[],I$2,FALSE),"")</f>
        <v/>
      </c>
      <c r="J11" s="134" t="str">
        <f>IFERROR(VLOOKUP($A11,TableHandbook[],J$2,FALSE),"")</f>
        <v/>
      </c>
      <c r="K11" s="139" t="str">
        <f>IFERROR(VLOOKUP($A11,TableHandbook[],K$2,FALSE),"")</f>
        <v/>
      </c>
      <c r="L11" s="62"/>
      <c r="M11" s="140">
        <v>2</v>
      </c>
      <c r="N11" s="141"/>
      <c r="O11" s="141"/>
    </row>
    <row r="12" spans="1:16" s="142" customFormat="1" ht="20.100000000000001" customHeight="1" x14ac:dyDescent="0.25">
      <c r="A12" s="133" t="str">
        <f>IFERROR(IF(HLOOKUP($L$5,RangeUnitsets,M12,FALSE)=0,"",HLOOKUP($L$5,RangeUnitsets,M12,FALSE)),"")</f>
        <v/>
      </c>
      <c r="B12" s="134" t="str">
        <f>IFERROR(IF(VLOOKUP($A12,TableHandbook[],2,FALSE)=0,"",VLOOKUP($A12,TableHandbook[],2,FALSE)),"")</f>
        <v/>
      </c>
      <c r="C12" s="134" t="str">
        <f>IFERROR(IF(VLOOKUP($A12,TableHandbook[],3,FALSE)=0,"",VLOOKUP($A12,TableHandbook[],3,FALSE)),"")</f>
        <v/>
      </c>
      <c r="D12" s="135" t="str">
        <f>IFERROR(IF(VLOOKUP($A12,TableHandbook[],4,FALSE)=0,"",VLOOKUP($A12,TableHandbook[],4,FALSE)),"")</f>
        <v/>
      </c>
      <c r="E12" s="134" t="str">
        <f>IF(OR(A12="",A12="-"),"",E11)</f>
        <v/>
      </c>
      <c r="F12" s="136" t="str">
        <f>IFERROR(IF(VLOOKUP($A12,TableHandbook[],6,FALSE)=0,"",VLOOKUP($A12,TableHandbook[],6,FALSE)),"")</f>
        <v/>
      </c>
      <c r="G12" s="134" t="str">
        <f>IFERROR(IF(VLOOKUP($A12,TableHandbook[],5,FALSE)=0,"",VLOOKUP($A12,TableHandbook[],5,FALSE)),"")</f>
        <v/>
      </c>
      <c r="H12" s="137" t="str">
        <f>IFERROR(VLOOKUP($A12,TableHandbook[],H$2,FALSE),"")</f>
        <v/>
      </c>
      <c r="I12" s="138" t="str">
        <f>IFERROR(VLOOKUP($A12,TableHandbook[],I$2,FALSE),"")</f>
        <v/>
      </c>
      <c r="J12" s="134" t="str">
        <f>IFERROR(VLOOKUP($A12,TableHandbook[],J$2,FALSE),"")</f>
        <v/>
      </c>
      <c r="K12" s="139" t="str">
        <f>IFERROR(VLOOKUP($A12,TableHandbook[],K$2,FALSE),"")</f>
        <v/>
      </c>
      <c r="L12" s="62"/>
      <c r="M12" s="140">
        <v>3</v>
      </c>
      <c r="N12" s="141"/>
      <c r="O12" s="141"/>
    </row>
    <row r="13" spans="1:16" s="142" customFormat="1" ht="20.100000000000001" customHeight="1" x14ac:dyDescent="0.25">
      <c r="A13" s="133" t="str">
        <f>IFERROR(IF(HLOOKUP($L$5,RangeUnitsets,M13,FALSE)=0,"",HLOOKUP($L$5,RangeUnitsets,M13,FALSE)),"")</f>
        <v/>
      </c>
      <c r="B13" s="134" t="str">
        <f>IFERROR(IF(VLOOKUP($A13,TableHandbook[],2,FALSE)=0,"",VLOOKUP($A13,TableHandbook[],2,FALSE)),"")</f>
        <v/>
      </c>
      <c r="C13" s="134" t="str">
        <f>IFERROR(IF(VLOOKUP($A13,TableHandbook[],3,FALSE)=0,"",VLOOKUP($A13,TableHandbook[],3,FALSE)),"")</f>
        <v/>
      </c>
      <c r="D13" s="135" t="str">
        <f>IFERROR(IF(VLOOKUP($A13,TableHandbook[],4,FALSE)=0,"",VLOOKUP($A13,TableHandbook[],4,FALSE)),"")</f>
        <v/>
      </c>
      <c r="E13" s="134" t="str">
        <f t="shared" ref="E13:E14" si="0">IF(OR(A13="",A13="-"),"",E12)</f>
        <v/>
      </c>
      <c r="F13" s="136" t="str">
        <f>IFERROR(IF(VLOOKUP($A13,TableHandbook[],6,FALSE)=0,"",VLOOKUP($A13,TableHandbook[],6,FALSE)),"")</f>
        <v/>
      </c>
      <c r="G13" s="134" t="str">
        <f>IFERROR(IF(VLOOKUP($A13,TableHandbook[],5,FALSE)=0,"",VLOOKUP($A13,TableHandbook[],5,FALSE)),"")</f>
        <v/>
      </c>
      <c r="H13" s="137" t="str">
        <f>IFERROR(VLOOKUP($A13,TableHandbook[],H$2,FALSE),"")</f>
        <v/>
      </c>
      <c r="I13" s="138" t="str">
        <f>IFERROR(VLOOKUP($A13,TableHandbook[],I$2,FALSE),"")</f>
        <v/>
      </c>
      <c r="J13" s="134" t="str">
        <f>IFERROR(VLOOKUP($A13,TableHandbook[],J$2,FALSE),"")</f>
        <v/>
      </c>
      <c r="K13" s="139" t="str">
        <f>IFERROR(VLOOKUP($A13,TableHandbook[],K$2,FALSE),"")</f>
        <v/>
      </c>
      <c r="L13" s="62"/>
      <c r="M13" s="140">
        <v>4</v>
      </c>
      <c r="N13" s="141"/>
      <c r="O13" s="141"/>
    </row>
    <row r="14" spans="1:16" s="144" customFormat="1" ht="20.100000000000001" customHeight="1" x14ac:dyDescent="0.25">
      <c r="A14" s="133" t="str">
        <f>IFERROR(IF(HLOOKUP($L$5,RangeUnitsets,M14,FALSE)=0,"",HLOOKUP($L$5,RangeUnitsets,M14,FALSE)),"")</f>
        <v/>
      </c>
      <c r="B14" s="134" t="str">
        <f>IFERROR(IF(VLOOKUP($A14,TableHandbook[],2,FALSE)=0,"",VLOOKUP($A14,TableHandbook[],2,FALSE)),"")</f>
        <v/>
      </c>
      <c r="C14" s="134" t="str">
        <f>IFERROR(IF(VLOOKUP($A14,TableHandbook[],3,FALSE)=0,"",VLOOKUP($A14,TableHandbook[],3,FALSE)),"")</f>
        <v/>
      </c>
      <c r="D14" s="135" t="str">
        <f>IFERROR(IF(VLOOKUP($A14,TableHandbook[],4,FALSE)=0,"",VLOOKUP($A14,TableHandbook[],4,FALSE)),"")</f>
        <v/>
      </c>
      <c r="E14" s="134" t="str">
        <f t="shared" si="0"/>
        <v/>
      </c>
      <c r="F14" s="136" t="str">
        <f>IFERROR(IF(VLOOKUP($A14,TableHandbook[],6,FALSE)=0,"",VLOOKUP($A14,TableHandbook[],6,FALSE)),"")</f>
        <v/>
      </c>
      <c r="G14" s="134" t="str">
        <f>IFERROR(IF(VLOOKUP($A14,TableHandbook[],5,FALSE)=0,"",VLOOKUP($A14,TableHandbook[],5,FALSE)),"")</f>
        <v/>
      </c>
      <c r="H14" s="137" t="str">
        <f>IFERROR(VLOOKUP($A14,TableHandbook[],H$2,FALSE),"")</f>
        <v/>
      </c>
      <c r="I14" s="138" t="str">
        <f>IFERROR(VLOOKUP($A14,TableHandbook[],I$2,FALSE),"")</f>
        <v/>
      </c>
      <c r="J14" s="134" t="str">
        <f>IFERROR(VLOOKUP($A14,TableHandbook[],J$2,FALSE),"")</f>
        <v/>
      </c>
      <c r="K14" s="139" t="str">
        <f>IFERROR(VLOOKUP($A14,TableHandbook[],K$2,FALSE),"")</f>
        <v/>
      </c>
      <c r="L14" s="62"/>
      <c r="M14" s="140">
        <v>5</v>
      </c>
      <c r="N14" s="143"/>
      <c r="O14" s="143"/>
    </row>
    <row r="15" spans="1:16" s="142" customFormat="1" ht="5.0999999999999996" customHeight="1" x14ac:dyDescent="0.25">
      <c r="A15" s="145"/>
      <c r="B15" s="146"/>
      <c r="C15" s="146"/>
      <c r="D15" s="147"/>
      <c r="E15" s="146"/>
      <c r="F15" s="148"/>
      <c r="G15" s="146"/>
      <c r="H15" s="149"/>
      <c r="I15" s="150"/>
      <c r="J15" s="146"/>
      <c r="K15" s="151"/>
      <c r="L15" s="63"/>
      <c r="M15" s="140"/>
      <c r="N15" s="141"/>
      <c r="O15" s="141"/>
      <c r="P15" s="141"/>
    </row>
    <row r="16" spans="1:16" s="142" customFormat="1" ht="20.100000000000001" customHeight="1" x14ac:dyDescent="0.25">
      <c r="A16" s="133" t="str">
        <f>IFERROR(IF(HLOOKUP($L$5,RangeUnitsets,M16,FALSE)=0,"",HLOOKUP($L$5,RangeUnitsets,M16,FALSE)),"")</f>
        <v/>
      </c>
      <c r="B16" s="134" t="str">
        <f>IFERROR(IF(VLOOKUP($A16,TableHandbook[],2,FALSE)=0,"",VLOOKUP($A16,TableHandbook[],2,FALSE)),"")</f>
        <v/>
      </c>
      <c r="C16" s="134" t="str">
        <f>IFERROR(IF(VLOOKUP($A16,TableHandbook[],3,FALSE)=0,"",VLOOKUP($A16,TableHandbook[],3,FALSE)),"")</f>
        <v/>
      </c>
      <c r="D16" s="135" t="str">
        <f>IFERROR(IF(VLOOKUP($A16,TableHandbook[],4,FALSE)=0,"",VLOOKUP($A16,TableHandbook[],4,FALSE)),"")</f>
        <v/>
      </c>
      <c r="E16" s="134" t="str">
        <f>IF(OR(A16="",A16="-"),"",VLOOKUP($D$8,TableStudyPeriod[],3,FALSE))</f>
        <v/>
      </c>
      <c r="F16" s="136" t="str">
        <f>IFERROR(IF(VLOOKUP($A16,TableHandbook[],6,FALSE)=0,"",VLOOKUP($A16,TableHandbook[],6,FALSE)),"")</f>
        <v/>
      </c>
      <c r="G16" s="134" t="str">
        <f>IFERROR(IF(VLOOKUP($A16,TableHandbook[],5,FALSE)=0,"",VLOOKUP($A16,TableHandbook[],5,FALSE)),"")</f>
        <v/>
      </c>
      <c r="H16" s="137" t="str">
        <f>IFERROR(VLOOKUP($A16,TableHandbook[],H$2,FALSE),"")</f>
        <v/>
      </c>
      <c r="I16" s="138" t="str">
        <f>IFERROR(VLOOKUP($A16,TableHandbook[],I$2,FALSE),"")</f>
        <v/>
      </c>
      <c r="J16" s="134" t="str">
        <f>IFERROR(VLOOKUP($A16,TableHandbook[],J$2,FALSE),"")</f>
        <v/>
      </c>
      <c r="K16" s="139" t="str">
        <f>IFERROR(VLOOKUP($A16,TableHandbook[],K$2,FALSE),"")</f>
        <v/>
      </c>
      <c r="L16" s="62"/>
      <c r="M16" s="140">
        <v>6</v>
      </c>
      <c r="N16" s="141"/>
      <c r="O16" s="141"/>
    </row>
    <row r="17" spans="1:16" s="144" customFormat="1" ht="20.100000000000001" customHeight="1" x14ac:dyDescent="0.25">
      <c r="A17" s="133" t="str">
        <f>IFERROR(IF(HLOOKUP($L$5,RangeUnitsets,M17,FALSE)=0,"",HLOOKUP($L$5,RangeUnitsets,M17,FALSE)),"")</f>
        <v/>
      </c>
      <c r="B17" s="134" t="str">
        <f>IFERROR(IF(VLOOKUP($A17,TableHandbook[],2,FALSE)=0,"",VLOOKUP($A17,TableHandbook[],2,FALSE)),"")</f>
        <v/>
      </c>
      <c r="C17" s="134" t="str">
        <f>IFERROR(IF(VLOOKUP($A17,TableHandbook[],3,FALSE)=0,"",VLOOKUP($A17,TableHandbook[],3,FALSE)),"")</f>
        <v/>
      </c>
      <c r="D17" s="135" t="str">
        <f>IFERROR(IF(VLOOKUP($A17,TableHandbook[],4,FALSE)=0,"",VLOOKUP($A17,TableHandbook[],4,FALSE)),"")</f>
        <v/>
      </c>
      <c r="E17" s="134" t="str">
        <f>IF(OR(A17="",A17="-"),"",E16)</f>
        <v/>
      </c>
      <c r="F17" s="136" t="str">
        <f>IFERROR(IF(VLOOKUP($A17,TableHandbook[],6,FALSE)=0,"",VLOOKUP($A17,TableHandbook[],6,FALSE)),"")</f>
        <v/>
      </c>
      <c r="G17" s="134" t="str">
        <f>IFERROR(IF(VLOOKUP($A17,TableHandbook[],5,FALSE)=0,"",VLOOKUP($A17,TableHandbook[],5,FALSE)),"")</f>
        <v/>
      </c>
      <c r="H17" s="137" t="str">
        <f>IFERROR(VLOOKUP($A17,TableHandbook[],H$2,FALSE),"")</f>
        <v/>
      </c>
      <c r="I17" s="138" t="str">
        <f>IFERROR(VLOOKUP($A17,TableHandbook[],I$2,FALSE),"")</f>
        <v/>
      </c>
      <c r="J17" s="134" t="str">
        <f>IFERROR(VLOOKUP($A17,TableHandbook[],J$2,FALSE),"")</f>
        <v/>
      </c>
      <c r="K17" s="139" t="str">
        <f>IFERROR(VLOOKUP($A17,TableHandbook[],K$2,FALSE),"")</f>
        <v/>
      </c>
      <c r="L17" s="62"/>
      <c r="M17" s="140">
        <v>7</v>
      </c>
      <c r="N17" s="143"/>
      <c r="O17" s="143"/>
    </row>
    <row r="18" spans="1:16" s="142" customFormat="1" ht="20.100000000000001" customHeight="1" x14ac:dyDescent="0.25">
      <c r="A18" s="133" t="str">
        <f>IFERROR(IF(HLOOKUP($L$5,RangeUnitsets,M18,FALSE)=0,"",HLOOKUP($L$5,RangeUnitsets,M18,FALSE)),"")</f>
        <v/>
      </c>
      <c r="B18" s="134" t="str">
        <f>IFERROR(IF(VLOOKUP($A18,TableHandbook[],2,FALSE)=0,"",VLOOKUP($A18,TableHandbook[],2,FALSE)),"")</f>
        <v/>
      </c>
      <c r="C18" s="134" t="str">
        <f>IFERROR(IF(VLOOKUP($A18,TableHandbook[],3,FALSE)=0,"",VLOOKUP($A18,TableHandbook[],3,FALSE)),"")</f>
        <v/>
      </c>
      <c r="D18" s="135" t="str">
        <f>IFERROR(IF(VLOOKUP($A18,TableHandbook[],4,FALSE)=0,"",VLOOKUP($A18,TableHandbook[],4,FALSE)),"")</f>
        <v/>
      </c>
      <c r="E18" s="134" t="str">
        <f t="shared" ref="E18:E19" si="1">IF(OR(A18="",A18="-"),"",E17)</f>
        <v/>
      </c>
      <c r="F18" s="136" t="str">
        <f>IFERROR(IF(VLOOKUP($A18,TableHandbook[],6,FALSE)=0,"",VLOOKUP($A18,TableHandbook[],6,FALSE)),"")</f>
        <v/>
      </c>
      <c r="G18" s="134" t="str">
        <f>IFERROR(IF(VLOOKUP($A18,TableHandbook[],5,FALSE)=0,"",VLOOKUP($A18,TableHandbook[],5,FALSE)),"")</f>
        <v/>
      </c>
      <c r="H18" s="137" t="str">
        <f>IFERROR(VLOOKUP($A18,TableHandbook[],H$2,FALSE),"")</f>
        <v/>
      </c>
      <c r="I18" s="138" t="str">
        <f>IFERROR(VLOOKUP($A18,TableHandbook[],I$2,FALSE),"")</f>
        <v/>
      </c>
      <c r="J18" s="134" t="str">
        <f>IFERROR(VLOOKUP($A18,TableHandbook[],J$2,FALSE),"")</f>
        <v/>
      </c>
      <c r="K18" s="139" t="str">
        <f>IFERROR(VLOOKUP($A18,TableHandbook[],K$2,FALSE),"")</f>
        <v/>
      </c>
      <c r="L18" s="62"/>
      <c r="M18" s="140">
        <v>8</v>
      </c>
      <c r="N18" s="141"/>
      <c r="O18" s="141"/>
    </row>
    <row r="19" spans="1:16" s="144" customFormat="1" ht="20.100000000000001" customHeight="1" x14ac:dyDescent="0.25">
      <c r="A19" s="133" t="str">
        <f>IFERROR(IF(HLOOKUP($L$5,RangeUnitsets,M19,FALSE)=0,"",HLOOKUP($L$5,RangeUnitsets,M19,FALSE)),"")</f>
        <v/>
      </c>
      <c r="B19" s="134" t="str">
        <f>IFERROR(IF(VLOOKUP($A19,TableHandbook[],2,FALSE)=0,"",VLOOKUP($A19,TableHandbook[],2,FALSE)),"")</f>
        <v/>
      </c>
      <c r="C19" s="134" t="str">
        <f>IFERROR(IF(VLOOKUP($A19,TableHandbook[],3,FALSE)=0,"",VLOOKUP($A19,TableHandbook[],3,FALSE)),"")</f>
        <v/>
      </c>
      <c r="D19" s="152" t="str">
        <f>IFERROR(IF(VLOOKUP($A19,TableHandbook[],4,FALSE)=0,"",VLOOKUP($A19,TableHandbook[],4,FALSE)),"")</f>
        <v/>
      </c>
      <c r="E19" s="134" t="str">
        <f t="shared" si="1"/>
        <v/>
      </c>
      <c r="F19" s="136" t="str">
        <f>IFERROR(IF(VLOOKUP($A19,TableHandbook[],6,FALSE)=0,"",VLOOKUP($A19,TableHandbook[],6,FALSE)),"")</f>
        <v/>
      </c>
      <c r="G19" s="134" t="str">
        <f>IFERROR(IF(VLOOKUP($A19,TableHandbook[],5,FALSE)=0,"",VLOOKUP($A19,TableHandbook[],5,FALSE)),"")</f>
        <v/>
      </c>
      <c r="H19" s="137" t="str">
        <f>IFERROR(VLOOKUP($A19,TableHandbook[],H$2,FALSE),"")</f>
        <v/>
      </c>
      <c r="I19" s="138" t="str">
        <f>IFERROR(VLOOKUP($A19,TableHandbook[],I$2,FALSE),"")</f>
        <v/>
      </c>
      <c r="J19" s="134" t="str">
        <f>IFERROR(VLOOKUP($A19,TableHandbook[],J$2,FALSE),"")</f>
        <v/>
      </c>
      <c r="K19" s="139" t="str">
        <f>IFERROR(VLOOKUP($A19,TableHandbook[],K$2,FALSE),"")</f>
        <v/>
      </c>
      <c r="L19" s="62"/>
      <c r="M19" s="140">
        <v>9</v>
      </c>
      <c r="N19" s="143"/>
      <c r="O19" s="143"/>
    </row>
    <row r="20" spans="1:16" s="127" customFormat="1" ht="22.8" x14ac:dyDescent="0.3">
      <c r="A20" s="120" t="s">
        <v>31</v>
      </c>
      <c r="B20" s="120"/>
      <c r="C20" s="120"/>
      <c r="D20" s="121" t="s">
        <v>3</v>
      </c>
      <c r="E20" s="128" t="s">
        <v>23</v>
      </c>
      <c r="F20" s="129" t="s">
        <v>24</v>
      </c>
      <c r="G20" s="120" t="s">
        <v>25</v>
      </c>
      <c r="H20" s="130" t="str">
        <f>H$10</f>
        <v>Sem1 BEN</v>
      </c>
      <c r="I20" s="131" t="str">
        <f t="shared" ref="I20:L20" si="2">I$10</f>
        <v>Sem1 FO</v>
      </c>
      <c r="J20" s="129" t="str">
        <f t="shared" si="2"/>
        <v>Sem2 BEN</v>
      </c>
      <c r="K20" s="132" t="str">
        <f t="shared" si="2"/>
        <v>Sem2 FO</v>
      </c>
      <c r="L20" s="120" t="str">
        <f t="shared" si="2"/>
        <v>Notes / Progress</v>
      </c>
      <c r="M20" s="153"/>
      <c r="N20" s="126"/>
      <c r="O20" s="126"/>
    </row>
    <row r="21" spans="1:16" s="142" customFormat="1" ht="20.100000000000001" customHeight="1" x14ac:dyDescent="0.25">
      <c r="A21" s="133" t="str">
        <f>IFERROR(IF(HLOOKUP($L$5,RangeUnitsets,M21,FALSE)=0,"",HLOOKUP($L$5,RangeUnitsets,M21,FALSE)),"")</f>
        <v/>
      </c>
      <c r="B21" s="134" t="str">
        <f>IFERROR(IF(VLOOKUP($A21,TableHandbook[],2,FALSE)=0,"",VLOOKUP($A21,TableHandbook[],2,FALSE)),"")</f>
        <v/>
      </c>
      <c r="C21" s="134" t="str">
        <f>IFERROR(IF(VLOOKUP($A21,TableHandbook[],3,FALSE)=0,"",VLOOKUP($A21,TableHandbook[],3,FALSE)),"")</f>
        <v/>
      </c>
      <c r="D21" s="135" t="str">
        <f>IFERROR(IF(VLOOKUP($A21,TableHandbook[],4,FALSE)=0,"",VLOOKUP($A21,TableHandbook[],4,FALSE)),"")</f>
        <v/>
      </c>
      <c r="E21" s="134" t="str">
        <f>IF(OR(A21="",A21="-"),"",VLOOKUP($D$8,TableStudyPeriod[],2,FALSE))</f>
        <v/>
      </c>
      <c r="F21" s="136" t="str">
        <f>IFERROR(IF(VLOOKUP($A21,TableHandbook[],6,FALSE)=0,"",VLOOKUP($A21,TableHandbook[],6,FALSE)),"")</f>
        <v/>
      </c>
      <c r="G21" s="134" t="str">
        <f>IFERROR(IF(VLOOKUP($A21,TableHandbook[],5,FALSE)=0,"",VLOOKUP($A21,TableHandbook[],5,FALSE)),"")</f>
        <v/>
      </c>
      <c r="H21" s="137" t="str">
        <f>IFERROR(VLOOKUP($A21,TableHandbook[],H$2,FALSE),"")</f>
        <v/>
      </c>
      <c r="I21" s="138" t="str">
        <f>IFERROR(VLOOKUP($A21,TableHandbook[],I$2,FALSE),"")</f>
        <v/>
      </c>
      <c r="J21" s="134" t="str">
        <f>IFERROR(VLOOKUP($A21,TableHandbook[],J$2,FALSE),"")</f>
        <v/>
      </c>
      <c r="K21" s="139" t="str">
        <f>IFERROR(VLOOKUP($A21,TableHandbook[],K$2,FALSE),"")</f>
        <v/>
      </c>
      <c r="L21" s="62"/>
      <c r="M21" s="140">
        <v>10</v>
      </c>
      <c r="N21" s="141"/>
      <c r="O21" s="141"/>
    </row>
    <row r="22" spans="1:16" s="142" customFormat="1" ht="20.100000000000001" customHeight="1" x14ac:dyDescent="0.25">
      <c r="A22" s="133" t="str">
        <f>IFERROR(IF(HLOOKUP($L$5,RangeUnitsets,M22,FALSE)=0,"",HLOOKUP($L$5,RangeUnitsets,M22,FALSE)),"")</f>
        <v/>
      </c>
      <c r="B22" s="134" t="str">
        <f>IFERROR(IF(VLOOKUP($A22,TableHandbook[],2,FALSE)=0,"",VLOOKUP($A22,TableHandbook[],2,FALSE)),"")</f>
        <v/>
      </c>
      <c r="C22" s="134" t="str">
        <f>IFERROR(IF(VLOOKUP($A22,TableHandbook[],3,FALSE)=0,"",VLOOKUP($A22,TableHandbook[],3,FALSE)),"")</f>
        <v/>
      </c>
      <c r="D22" s="152" t="str">
        <f>IFERROR(IF(VLOOKUP($A22,TableHandbook[],4,FALSE)=0,"",VLOOKUP($A22,TableHandbook[],4,FALSE)),"")</f>
        <v/>
      </c>
      <c r="E22" s="134" t="str">
        <f>IF(OR(A22="",A22="-"),"",E21)</f>
        <v/>
      </c>
      <c r="F22" s="136" t="str">
        <f>IFERROR(IF(VLOOKUP($A22,TableHandbook[],6,FALSE)=0,"",VLOOKUP($A22,TableHandbook[],6,FALSE)),"")</f>
        <v/>
      </c>
      <c r="G22" s="134" t="str">
        <f>IFERROR(IF(VLOOKUP($A22,TableHandbook[],5,FALSE)=0,"",VLOOKUP($A22,TableHandbook[],5,FALSE)),"")</f>
        <v/>
      </c>
      <c r="H22" s="137" t="str">
        <f>IFERROR(VLOOKUP($A22,TableHandbook[],H$2,FALSE),"")</f>
        <v/>
      </c>
      <c r="I22" s="138" t="str">
        <f>IFERROR(VLOOKUP($A22,TableHandbook[],I$2,FALSE),"")</f>
        <v/>
      </c>
      <c r="J22" s="134" t="str">
        <f>IFERROR(VLOOKUP($A22,TableHandbook[],J$2,FALSE),"")</f>
        <v/>
      </c>
      <c r="K22" s="139" t="str">
        <f>IFERROR(VLOOKUP($A22,TableHandbook[],K$2,FALSE),"")</f>
        <v/>
      </c>
      <c r="L22" s="62"/>
      <c r="M22" s="140">
        <v>11</v>
      </c>
      <c r="N22" s="141"/>
      <c r="O22" s="141"/>
    </row>
    <row r="23" spans="1:16" s="142" customFormat="1" ht="20.100000000000001" customHeight="1" x14ac:dyDescent="0.25">
      <c r="A23" s="133" t="str">
        <f>IFERROR(IF(HLOOKUP($L$5,RangeUnitsets,M23,FALSE)=0,"",HLOOKUP($L$5,RangeUnitsets,M23,FALSE)),"")</f>
        <v/>
      </c>
      <c r="B23" s="134" t="str">
        <f>IFERROR(IF(VLOOKUP($A23,TableHandbook[],2,FALSE)=0,"",VLOOKUP($A23,TableHandbook[],2,FALSE)),"")</f>
        <v/>
      </c>
      <c r="C23" s="134" t="str">
        <f>IFERROR(IF(VLOOKUP($A23,TableHandbook[],3,FALSE)=0,"",VLOOKUP($A23,TableHandbook[],3,FALSE)),"")</f>
        <v/>
      </c>
      <c r="D23" s="152" t="str">
        <f>IFERROR(IF(VLOOKUP($A23,TableHandbook[],4,FALSE)=0,"",VLOOKUP($A23,TableHandbook[],4,FALSE)),"")</f>
        <v/>
      </c>
      <c r="E23" s="134" t="str">
        <f t="shared" ref="E23:E24" si="3">IF(OR(A23="",A23="-"),"",E22)</f>
        <v/>
      </c>
      <c r="F23" s="136" t="str">
        <f>IFERROR(IF(VLOOKUP($A23,TableHandbook[],6,FALSE)=0,"",VLOOKUP($A23,TableHandbook[],6,FALSE)),"")</f>
        <v/>
      </c>
      <c r="G23" s="134" t="str">
        <f>IFERROR(IF(VLOOKUP($A23,TableHandbook[],5,FALSE)=0,"",VLOOKUP($A23,TableHandbook[],5,FALSE)),"")</f>
        <v/>
      </c>
      <c r="H23" s="137" t="str">
        <f>IFERROR(VLOOKUP($A23,TableHandbook[],H$2,FALSE),"")</f>
        <v/>
      </c>
      <c r="I23" s="138" t="str">
        <f>IFERROR(VLOOKUP($A23,TableHandbook[],I$2,FALSE),"")</f>
        <v/>
      </c>
      <c r="J23" s="134" t="str">
        <f>IFERROR(VLOOKUP($A23,TableHandbook[],J$2,FALSE),"")</f>
        <v/>
      </c>
      <c r="K23" s="139" t="str">
        <f>IFERROR(VLOOKUP($A23,TableHandbook[],K$2,FALSE),"")</f>
        <v/>
      </c>
      <c r="L23" s="62"/>
      <c r="M23" s="140">
        <v>12</v>
      </c>
      <c r="N23" s="141"/>
      <c r="O23" s="141"/>
    </row>
    <row r="24" spans="1:16" s="142" customFormat="1" ht="20.100000000000001" customHeight="1" x14ac:dyDescent="0.25">
      <c r="A24" s="133" t="str">
        <f>IFERROR(IF(HLOOKUP($L$5,RangeUnitsets,M24,FALSE)=0,"",HLOOKUP($L$5,RangeUnitsets,M24,FALSE)),"")</f>
        <v/>
      </c>
      <c r="B24" s="134" t="str">
        <f>IFERROR(IF(VLOOKUP($A24,TableHandbook[],2,FALSE)=0,"",VLOOKUP($A24,TableHandbook[],2,FALSE)),"")</f>
        <v/>
      </c>
      <c r="C24" s="134" t="str">
        <f>IFERROR(IF(VLOOKUP($A24,TableHandbook[],3,FALSE)=0,"",VLOOKUP($A24,TableHandbook[],3,FALSE)),"")</f>
        <v/>
      </c>
      <c r="D24" s="152" t="str">
        <f>IFERROR(IF(VLOOKUP($A24,TableHandbook[],4,FALSE)=0,"",VLOOKUP($A24,TableHandbook[],4,FALSE)),"")</f>
        <v/>
      </c>
      <c r="E24" s="134" t="str">
        <f t="shared" si="3"/>
        <v/>
      </c>
      <c r="F24" s="136" t="str">
        <f>IFERROR(IF(VLOOKUP($A24,TableHandbook[],6,FALSE)=0,"",VLOOKUP($A24,TableHandbook[],6,FALSE)),"")</f>
        <v/>
      </c>
      <c r="G24" s="134" t="str">
        <f>IFERROR(IF(VLOOKUP($A24,TableHandbook[],5,FALSE)=0,"",VLOOKUP($A24,TableHandbook[],5,FALSE)),"")</f>
        <v/>
      </c>
      <c r="H24" s="137" t="str">
        <f>IFERROR(VLOOKUP($A24,TableHandbook[],H$2,FALSE),"")</f>
        <v/>
      </c>
      <c r="I24" s="138" t="str">
        <f>IFERROR(VLOOKUP($A24,TableHandbook[],I$2,FALSE),"")</f>
        <v/>
      </c>
      <c r="J24" s="134" t="str">
        <f>IFERROR(VLOOKUP($A24,TableHandbook[],J$2,FALSE),"")</f>
        <v/>
      </c>
      <c r="K24" s="139" t="str">
        <f>IFERROR(VLOOKUP($A24,TableHandbook[],K$2,FALSE),"")</f>
        <v/>
      </c>
      <c r="L24" s="62"/>
      <c r="M24" s="140">
        <v>13</v>
      </c>
      <c r="N24" s="141"/>
      <c r="O24" s="141"/>
    </row>
    <row r="25" spans="1:16" s="142" customFormat="1" ht="5.0999999999999996" customHeight="1" x14ac:dyDescent="0.25">
      <c r="A25" s="145"/>
      <c r="B25" s="146"/>
      <c r="C25" s="146"/>
      <c r="D25" s="147"/>
      <c r="E25" s="146"/>
      <c r="F25" s="148"/>
      <c r="G25" s="146"/>
      <c r="H25" s="149"/>
      <c r="I25" s="150"/>
      <c r="J25" s="146"/>
      <c r="K25" s="151"/>
      <c r="L25" s="63"/>
      <c r="M25" s="140"/>
      <c r="N25" s="141"/>
      <c r="O25" s="141"/>
      <c r="P25" s="141"/>
    </row>
    <row r="26" spans="1:16" s="142" customFormat="1" ht="20.100000000000001" customHeight="1" x14ac:dyDescent="0.25">
      <c r="A26" s="133" t="str">
        <f>IFERROR(IF(HLOOKUP($L$5,RangeUnitsets,M26,FALSE)=0,"",HLOOKUP($L$5,RangeUnitsets,M26,FALSE)),"")</f>
        <v/>
      </c>
      <c r="B26" s="134" t="str">
        <f>IFERROR(IF(VLOOKUP($A26,TableHandbook[],2,FALSE)=0,"",VLOOKUP($A26,TableHandbook[],2,FALSE)),"")</f>
        <v/>
      </c>
      <c r="C26" s="134" t="str">
        <f>IFERROR(IF(VLOOKUP($A26,TableHandbook[],3,FALSE)=0,"",VLOOKUP($A26,TableHandbook[],3,FALSE)),"")</f>
        <v/>
      </c>
      <c r="D26" s="152" t="str">
        <f>IFERROR(IF(VLOOKUP($A26,TableHandbook[],4,FALSE)=0,"",VLOOKUP($A26,TableHandbook[],4,FALSE)),"")</f>
        <v/>
      </c>
      <c r="E26" s="134" t="str">
        <f>IF(OR(A26="",A26="-"),"",VLOOKUP($D$8,TableStudyPeriod[],3,FALSE))</f>
        <v/>
      </c>
      <c r="F26" s="136" t="str">
        <f>IFERROR(IF(VLOOKUP($A26,TableHandbook[],6,FALSE)=0,"",VLOOKUP($A26,TableHandbook[],6,FALSE)),"")</f>
        <v/>
      </c>
      <c r="G26" s="134" t="str">
        <f>IFERROR(IF(VLOOKUP($A26,TableHandbook[],5,FALSE)=0,"",VLOOKUP($A26,TableHandbook[],5,FALSE)),"")</f>
        <v/>
      </c>
      <c r="H26" s="137" t="str">
        <f>IFERROR(VLOOKUP($A26,TableHandbook[],H$2,FALSE),"")</f>
        <v/>
      </c>
      <c r="I26" s="138" t="str">
        <f>IFERROR(VLOOKUP($A26,TableHandbook[],I$2,FALSE),"")</f>
        <v/>
      </c>
      <c r="J26" s="134" t="str">
        <f>IFERROR(VLOOKUP($A26,TableHandbook[],J$2,FALSE),"")</f>
        <v/>
      </c>
      <c r="K26" s="139" t="str">
        <f>IFERROR(VLOOKUP($A26,TableHandbook[],K$2,FALSE),"")</f>
        <v/>
      </c>
      <c r="L26" s="62"/>
      <c r="M26" s="140">
        <v>14</v>
      </c>
      <c r="N26" s="141"/>
      <c r="O26" s="141"/>
    </row>
    <row r="27" spans="1:16" s="142" customFormat="1" ht="20.100000000000001" customHeight="1" x14ac:dyDescent="0.25">
      <c r="A27" s="133" t="str">
        <f>IFERROR(IF(HLOOKUP($L$5,RangeUnitsets,M27,FALSE)=0,"",HLOOKUP($L$5,RangeUnitsets,M27,FALSE)),"")</f>
        <v/>
      </c>
      <c r="B27" s="134" t="str">
        <f>IFERROR(IF(VLOOKUP($A27,TableHandbook[],2,FALSE)=0,"",VLOOKUP($A27,TableHandbook[],2,FALSE)),"")</f>
        <v/>
      </c>
      <c r="C27" s="134" t="str">
        <f>IFERROR(IF(VLOOKUP($A27,TableHandbook[],3,FALSE)=0,"",VLOOKUP($A27,TableHandbook[],3,FALSE)),"")</f>
        <v/>
      </c>
      <c r="D27" s="152" t="str">
        <f>IFERROR(IF(VLOOKUP($A27,TableHandbook[],4,FALSE)=0,"",VLOOKUP($A27,TableHandbook[],4,FALSE)),"")</f>
        <v/>
      </c>
      <c r="E27" s="134" t="str">
        <f>IF(OR(A27="",A27="-"),"",E26)</f>
        <v/>
      </c>
      <c r="F27" s="136" t="str">
        <f>IFERROR(IF(VLOOKUP($A27,TableHandbook[],6,FALSE)=0,"",VLOOKUP($A27,TableHandbook[],6,FALSE)),"")</f>
        <v/>
      </c>
      <c r="G27" s="134" t="str">
        <f>IFERROR(IF(VLOOKUP($A27,TableHandbook[],5,FALSE)=0,"",VLOOKUP($A27,TableHandbook[],5,FALSE)),"")</f>
        <v/>
      </c>
      <c r="H27" s="137" t="str">
        <f>IFERROR(VLOOKUP($A27,TableHandbook[],H$2,FALSE),"")</f>
        <v/>
      </c>
      <c r="I27" s="138" t="str">
        <f>IFERROR(VLOOKUP($A27,TableHandbook[],I$2,FALSE),"")</f>
        <v/>
      </c>
      <c r="J27" s="134" t="str">
        <f>IFERROR(VLOOKUP($A27,TableHandbook[],J$2,FALSE),"")</f>
        <v/>
      </c>
      <c r="K27" s="139" t="str">
        <f>IFERROR(VLOOKUP($A27,TableHandbook[],K$2,FALSE),"")</f>
        <v/>
      </c>
      <c r="L27" s="62"/>
      <c r="M27" s="140">
        <v>15</v>
      </c>
      <c r="N27" s="141"/>
      <c r="O27" s="141"/>
    </row>
    <row r="28" spans="1:16" s="144" customFormat="1" ht="20.100000000000001" customHeight="1" x14ac:dyDescent="0.25">
      <c r="A28" s="133" t="str">
        <f>IFERROR(IF(HLOOKUP($L$5,RangeUnitsets,M28,FALSE)=0,"",HLOOKUP($L$5,RangeUnitsets,M28,FALSE)),"")</f>
        <v/>
      </c>
      <c r="B28" s="134" t="str">
        <f>IFERROR(IF(VLOOKUP($A28,TableHandbook[],2,FALSE)=0,"",VLOOKUP($A28,TableHandbook[],2,FALSE)),"")</f>
        <v/>
      </c>
      <c r="C28" s="134" t="str">
        <f>IFERROR(IF(VLOOKUP($A28,TableHandbook[],3,FALSE)=0,"",VLOOKUP($A28,TableHandbook[],3,FALSE)),"")</f>
        <v/>
      </c>
      <c r="D28" s="152" t="str">
        <f>IFERROR(IF(VLOOKUP($A28,TableHandbook[],4,FALSE)=0,"",VLOOKUP($A28,TableHandbook[],4,FALSE)),"")</f>
        <v/>
      </c>
      <c r="E28" s="134" t="str">
        <f t="shared" ref="E28:E29" si="4">IF(OR(A28="",A28="-"),"",E27)</f>
        <v/>
      </c>
      <c r="F28" s="136" t="str">
        <f>IFERROR(IF(VLOOKUP($A28,TableHandbook[],6,FALSE)=0,"",VLOOKUP($A28,TableHandbook[],6,FALSE)),"")</f>
        <v/>
      </c>
      <c r="G28" s="134" t="str">
        <f>IFERROR(IF(VLOOKUP($A28,TableHandbook[],5,FALSE)=0,"",VLOOKUP($A28,TableHandbook[],5,FALSE)),"")</f>
        <v/>
      </c>
      <c r="H28" s="137" t="str">
        <f>IFERROR(VLOOKUP($A28,TableHandbook[],H$2,FALSE),"")</f>
        <v/>
      </c>
      <c r="I28" s="138" t="str">
        <f>IFERROR(VLOOKUP($A28,TableHandbook[],I$2,FALSE),"")</f>
        <v/>
      </c>
      <c r="J28" s="134" t="str">
        <f>IFERROR(VLOOKUP($A28,TableHandbook[],J$2,FALSE),"")</f>
        <v/>
      </c>
      <c r="K28" s="139" t="str">
        <f>IFERROR(VLOOKUP($A28,TableHandbook[],K$2,FALSE),"")</f>
        <v/>
      </c>
      <c r="L28" s="62"/>
      <c r="M28" s="140">
        <v>16</v>
      </c>
      <c r="N28" s="143"/>
      <c r="O28" s="143"/>
    </row>
    <row r="29" spans="1:16" s="144" customFormat="1" ht="20.100000000000001" customHeight="1" x14ac:dyDescent="0.25">
      <c r="A29" s="133" t="str">
        <f>IFERROR(IF(HLOOKUP($L$5,RangeUnitsets,M29,FALSE)=0,"",HLOOKUP($L$5,RangeUnitsets,M29,FALSE)),"")</f>
        <v/>
      </c>
      <c r="B29" s="134" t="str">
        <f>IFERROR(IF(VLOOKUP($A29,TableHandbook[],2,FALSE)=0,"",VLOOKUP($A29,TableHandbook[],2,FALSE)),"")</f>
        <v/>
      </c>
      <c r="C29" s="134" t="str">
        <f>IFERROR(IF(VLOOKUP($A29,TableHandbook[],3,FALSE)=0,"",VLOOKUP($A29,TableHandbook[],3,FALSE)),"")</f>
        <v/>
      </c>
      <c r="D29" s="152" t="str">
        <f>IFERROR(IF(VLOOKUP($A29,TableHandbook[],4,FALSE)=0,"",VLOOKUP($A29,TableHandbook[],4,FALSE)),"")</f>
        <v/>
      </c>
      <c r="E29" s="134" t="str">
        <f t="shared" si="4"/>
        <v/>
      </c>
      <c r="F29" s="136" t="str">
        <f>IFERROR(IF(VLOOKUP($A29,TableHandbook[],6,FALSE)=0,"",VLOOKUP($A29,TableHandbook[],6,FALSE)),"")</f>
        <v/>
      </c>
      <c r="G29" s="134" t="str">
        <f>IFERROR(IF(VLOOKUP($A29,TableHandbook[],5,FALSE)=0,"",VLOOKUP($A29,TableHandbook[],5,FALSE)),"")</f>
        <v/>
      </c>
      <c r="H29" s="137" t="str">
        <f>IFERROR(VLOOKUP($A29,TableHandbook[],H$2,FALSE),"")</f>
        <v/>
      </c>
      <c r="I29" s="138" t="str">
        <f>IFERROR(VLOOKUP($A29,TableHandbook[],I$2,FALSE),"")</f>
        <v/>
      </c>
      <c r="J29" s="134" t="str">
        <f>IFERROR(VLOOKUP($A29,TableHandbook[],J$2,FALSE),"")</f>
        <v/>
      </c>
      <c r="K29" s="139" t="str">
        <f>IFERROR(VLOOKUP($A29,TableHandbook[],K$2,FALSE),"")</f>
        <v/>
      </c>
      <c r="L29" s="62"/>
      <c r="M29" s="140">
        <v>17</v>
      </c>
      <c r="N29" s="143"/>
      <c r="O29" s="143"/>
    </row>
    <row r="30" spans="1:16" s="127" customFormat="1" ht="22.8" x14ac:dyDescent="0.3">
      <c r="A30" s="120" t="s">
        <v>32</v>
      </c>
      <c r="B30" s="120"/>
      <c r="C30" s="120"/>
      <c r="D30" s="121" t="s">
        <v>3</v>
      </c>
      <c r="E30" s="129" t="s">
        <v>23</v>
      </c>
      <c r="F30" s="129" t="s">
        <v>24</v>
      </c>
      <c r="G30" s="120" t="s">
        <v>25</v>
      </c>
      <c r="H30" s="130" t="str">
        <f>H$10</f>
        <v>Sem1 BEN</v>
      </c>
      <c r="I30" s="131" t="str">
        <f t="shared" ref="I30:L30" si="5">I$10</f>
        <v>Sem1 FO</v>
      </c>
      <c r="J30" s="129" t="str">
        <f t="shared" si="5"/>
        <v>Sem2 BEN</v>
      </c>
      <c r="K30" s="132" t="str">
        <f t="shared" si="5"/>
        <v>Sem2 FO</v>
      </c>
      <c r="L30" s="120" t="str">
        <f t="shared" si="5"/>
        <v>Notes / Progress</v>
      </c>
      <c r="M30" s="153"/>
      <c r="N30" s="126"/>
      <c r="O30" s="126"/>
    </row>
    <row r="31" spans="1:16" s="142" customFormat="1" ht="20.100000000000001" customHeight="1" x14ac:dyDescent="0.25">
      <c r="A31" s="133" t="str">
        <f>IFERROR(IF(HLOOKUP($L$5,RangeUnitsets,M31,FALSE)=0,"",HLOOKUP($L$5,RangeUnitsets,M31,FALSE)),"")</f>
        <v/>
      </c>
      <c r="B31" s="134" t="str">
        <f>IFERROR(IF(VLOOKUP($A31,TableHandbook[],2,FALSE)=0,"",VLOOKUP($A31,TableHandbook[],2,FALSE)),"")</f>
        <v/>
      </c>
      <c r="C31" s="134" t="str">
        <f>IFERROR(IF(VLOOKUP($A31,TableHandbook[],3,FALSE)=0,"",VLOOKUP($A31,TableHandbook[],3,FALSE)),"")</f>
        <v/>
      </c>
      <c r="D31" s="135" t="str">
        <f>IFERROR(IF(VLOOKUP($A31,TableHandbook[],4,FALSE)=0,"",VLOOKUP($A31,TableHandbook[],4,FALSE)),"")</f>
        <v/>
      </c>
      <c r="E31" s="134" t="str">
        <f>IF(OR(A31="",A31="-"),"",VLOOKUP($D$8,TableStudyPeriod[],2,FALSE))</f>
        <v/>
      </c>
      <c r="F31" s="136" t="str">
        <f>IFERROR(IF(VLOOKUP($A31,TableHandbook[],6,FALSE)=0,"",VLOOKUP($A31,TableHandbook[],6,FALSE)),"")</f>
        <v/>
      </c>
      <c r="G31" s="134" t="str">
        <f>IFERROR(IF(VLOOKUP($A31,TableHandbook[],5,FALSE)=0,"",VLOOKUP($A31,TableHandbook[],5,FALSE)),"")</f>
        <v/>
      </c>
      <c r="H31" s="137" t="str">
        <f>IFERROR(VLOOKUP($A31,TableHandbook[],H$2,FALSE),"")</f>
        <v/>
      </c>
      <c r="I31" s="138" t="str">
        <f>IFERROR(VLOOKUP($A31,TableHandbook[],I$2,FALSE),"")</f>
        <v/>
      </c>
      <c r="J31" s="134" t="str">
        <f>IFERROR(VLOOKUP($A31,TableHandbook[],J$2,FALSE),"")</f>
        <v/>
      </c>
      <c r="K31" s="139" t="str">
        <f>IFERROR(VLOOKUP($A31,TableHandbook[],K$2,FALSE),"")</f>
        <v/>
      </c>
      <c r="L31" s="62"/>
      <c r="M31" s="140">
        <v>18</v>
      </c>
      <c r="N31" s="141"/>
      <c r="O31" s="141"/>
    </row>
    <row r="32" spans="1:16" s="142" customFormat="1" ht="20.100000000000001" customHeight="1" x14ac:dyDescent="0.25">
      <c r="A32" s="133" t="str">
        <f>IFERROR(IF(HLOOKUP($L$5,RangeUnitsets,M32,FALSE)=0,"",HLOOKUP($L$5,RangeUnitsets,M32,FALSE)),"")</f>
        <v/>
      </c>
      <c r="B32" s="134" t="str">
        <f>IFERROR(IF(VLOOKUP($A32,TableHandbook[],2,FALSE)=0,"",VLOOKUP($A32,TableHandbook[],2,FALSE)),"")</f>
        <v/>
      </c>
      <c r="C32" s="134" t="str">
        <f>IFERROR(IF(VLOOKUP($A32,TableHandbook[],3,FALSE)=0,"",VLOOKUP($A32,TableHandbook[],3,FALSE)),"")</f>
        <v/>
      </c>
      <c r="D32" s="152" t="str">
        <f>IFERROR(IF(VLOOKUP($A32,TableHandbook[],4,FALSE)=0,"",VLOOKUP($A32,TableHandbook[],4,FALSE)),"")</f>
        <v/>
      </c>
      <c r="E32" s="134" t="str">
        <f>IF(OR(A32="",A32="-"),"",E31)</f>
        <v/>
      </c>
      <c r="F32" s="136" t="str">
        <f>IFERROR(IF(VLOOKUP($A32,TableHandbook[],6,FALSE)=0,"",VLOOKUP($A32,TableHandbook[],6,FALSE)),"")</f>
        <v/>
      </c>
      <c r="G32" s="134" t="str">
        <f>IFERROR(IF(VLOOKUP($A32,TableHandbook[],5,FALSE)=0,"",VLOOKUP($A32,TableHandbook[],5,FALSE)),"")</f>
        <v/>
      </c>
      <c r="H32" s="137" t="str">
        <f>IFERROR(VLOOKUP($A32,TableHandbook[],H$2,FALSE),"")</f>
        <v/>
      </c>
      <c r="I32" s="138" t="str">
        <f>IFERROR(VLOOKUP($A32,TableHandbook[],I$2,FALSE),"")</f>
        <v/>
      </c>
      <c r="J32" s="134" t="str">
        <f>IFERROR(VLOOKUP($A32,TableHandbook[],J$2,FALSE),"")</f>
        <v/>
      </c>
      <c r="K32" s="139" t="str">
        <f>IFERROR(VLOOKUP($A32,TableHandbook[],K$2,FALSE),"")</f>
        <v/>
      </c>
      <c r="L32" s="62"/>
      <c r="M32" s="140">
        <v>19</v>
      </c>
      <c r="N32" s="141"/>
      <c r="O32" s="141"/>
    </row>
    <row r="33" spans="1:16" s="142" customFormat="1" ht="20.100000000000001" customHeight="1" x14ac:dyDescent="0.25">
      <c r="A33" s="133" t="str">
        <f>IFERROR(IF(HLOOKUP($L$5,RangeUnitsets,M33,FALSE)=0,"",HLOOKUP($L$5,RangeUnitsets,M33,FALSE)),"")</f>
        <v/>
      </c>
      <c r="B33" s="134" t="str">
        <f>IFERROR(IF(VLOOKUP($A33,TableHandbook[],2,FALSE)=0,"",VLOOKUP($A33,TableHandbook[],2,FALSE)),"")</f>
        <v/>
      </c>
      <c r="C33" s="134" t="str">
        <f>IFERROR(IF(VLOOKUP($A33,TableHandbook[],3,FALSE)=0,"",VLOOKUP($A33,TableHandbook[],3,FALSE)),"")</f>
        <v/>
      </c>
      <c r="D33" s="152" t="str">
        <f>IFERROR(IF(VLOOKUP($A33,TableHandbook[],4,FALSE)=0,"",VLOOKUP($A33,TableHandbook[],4,FALSE)),"")</f>
        <v/>
      </c>
      <c r="E33" s="134" t="str">
        <f t="shared" ref="E33:E34" si="6">IF(OR(A33="",A33="-"),"",E32)</f>
        <v/>
      </c>
      <c r="F33" s="136" t="str">
        <f>IFERROR(IF(VLOOKUP($A33,TableHandbook[],6,FALSE)=0,"",VLOOKUP($A33,TableHandbook[],6,FALSE)),"")</f>
        <v/>
      </c>
      <c r="G33" s="134" t="str">
        <f>IFERROR(IF(VLOOKUP($A33,TableHandbook[],5,FALSE)=0,"",VLOOKUP($A33,TableHandbook[],5,FALSE)),"")</f>
        <v/>
      </c>
      <c r="H33" s="137" t="str">
        <f>IFERROR(VLOOKUP($A33,TableHandbook[],H$2,FALSE),"")</f>
        <v/>
      </c>
      <c r="I33" s="138" t="str">
        <f>IFERROR(VLOOKUP($A33,TableHandbook[],I$2,FALSE),"")</f>
        <v/>
      </c>
      <c r="J33" s="134" t="str">
        <f>IFERROR(VLOOKUP($A33,TableHandbook[],J$2,FALSE),"")</f>
        <v/>
      </c>
      <c r="K33" s="139" t="str">
        <f>IFERROR(VLOOKUP($A33,TableHandbook[],K$2,FALSE),"")</f>
        <v/>
      </c>
      <c r="L33" s="62"/>
      <c r="M33" s="140">
        <v>20</v>
      </c>
      <c r="N33" s="141"/>
      <c r="O33" s="141"/>
    </row>
    <row r="34" spans="1:16" s="142" customFormat="1" ht="20.100000000000001" customHeight="1" x14ac:dyDescent="0.25">
      <c r="A34" s="133" t="str">
        <f>IFERROR(IF(HLOOKUP($L$5,RangeUnitsets,M34,FALSE)=0,"",HLOOKUP($L$5,RangeUnitsets,M34,FALSE)),"")</f>
        <v/>
      </c>
      <c r="B34" s="134" t="str">
        <f>IFERROR(IF(VLOOKUP($A34,TableHandbook[],2,FALSE)=0,"",VLOOKUP($A34,TableHandbook[],2,FALSE)),"")</f>
        <v/>
      </c>
      <c r="C34" s="134" t="str">
        <f>IFERROR(IF(VLOOKUP($A34,TableHandbook[],3,FALSE)=0,"",VLOOKUP($A34,TableHandbook[],3,FALSE)),"")</f>
        <v/>
      </c>
      <c r="D34" s="152" t="str">
        <f>IFERROR(IF(VLOOKUP($A34,TableHandbook[],4,FALSE)=0,"",VLOOKUP($A34,TableHandbook[],4,FALSE)),"")</f>
        <v/>
      </c>
      <c r="E34" s="134" t="str">
        <f t="shared" si="6"/>
        <v/>
      </c>
      <c r="F34" s="136" t="str">
        <f>IFERROR(IF(VLOOKUP($A34,TableHandbook[],6,FALSE)=0,"",VLOOKUP($A34,TableHandbook[],6,FALSE)),"")</f>
        <v/>
      </c>
      <c r="G34" s="134" t="str">
        <f>IFERROR(IF(VLOOKUP($A34,TableHandbook[],5,FALSE)=0,"",VLOOKUP($A34,TableHandbook[],5,FALSE)),"")</f>
        <v/>
      </c>
      <c r="H34" s="137" t="str">
        <f>IFERROR(VLOOKUP($A34,TableHandbook[],H$2,FALSE),"")</f>
        <v/>
      </c>
      <c r="I34" s="138" t="str">
        <f>IFERROR(VLOOKUP($A34,TableHandbook[],I$2,FALSE),"")</f>
        <v/>
      </c>
      <c r="J34" s="134" t="str">
        <f>IFERROR(VLOOKUP($A34,TableHandbook[],J$2,FALSE),"")</f>
        <v/>
      </c>
      <c r="K34" s="139" t="str">
        <f>IFERROR(VLOOKUP($A34,TableHandbook[],K$2,FALSE),"")</f>
        <v/>
      </c>
      <c r="L34" s="62"/>
      <c r="M34" s="140">
        <v>21</v>
      </c>
      <c r="N34" s="141"/>
      <c r="O34" s="141"/>
    </row>
    <row r="35" spans="1:16" s="142" customFormat="1" ht="5.0999999999999996" customHeight="1" x14ac:dyDescent="0.25">
      <c r="A35" s="145"/>
      <c r="B35" s="146"/>
      <c r="C35" s="146"/>
      <c r="D35" s="147"/>
      <c r="E35" s="146"/>
      <c r="F35" s="148"/>
      <c r="G35" s="146"/>
      <c r="H35" s="149"/>
      <c r="I35" s="150"/>
      <c r="J35" s="146"/>
      <c r="K35" s="151"/>
      <c r="L35" s="63"/>
      <c r="M35" s="140"/>
      <c r="N35" s="141"/>
      <c r="O35" s="141"/>
      <c r="P35" s="141"/>
    </row>
    <row r="36" spans="1:16" s="142" customFormat="1" ht="20.100000000000001" customHeight="1" x14ac:dyDescent="0.25">
      <c r="A36" s="133" t="str">
        <f>IFERROR(IF(HLOOKUP($L$5,RangeUnitsets,M36,FALSE)=0,"",HLOOKUP($L$5,RangeUnitsets,M36,FALSE)),"")</f>
        <v/>
      </c>
      <c r="B36" s="134" t="str">
        <f>IFERROR(IF(VLOOKUP($A36,TableHandbook[],2,FALSE)=0,"",VLOOKUP($A36,TableHandbook[],2,FALSE)),"")</f>
        <v/>
      </c>
      <c r="C36" s="134" t="str">
        <f>IFERROR(IF(VLOOKUP($A36,TableHandbook[],3,FALSE)=0,"",VLOOKUP($A36,TableHandbook[],3,FALSE)),"")</f>
        <v/>
      </c>
      <c r="D36" s="152" t="str">
        <f>IFERROR(IF(VLOOKUP($A36,TableHandbook[],4,FALSE)=0,"",VLOOKUP($A36,TableHandbook[],4,FALSE)),"")</f>
        <v/>
      </c>
      <c r="E36" s="134" t="str">
        <f>IF(OR(A36="",A36="-"),"",VLOOKUP($D$8,TableStudyPeriod[],3,FALSE))</f>
        <v/>
      </c>
      <c r="F36" s="136" t="str">
        <f>IFERROR(IF(VLOOKUP($A36,TableHandbook[],6,FALSE)=0,"",VLOOKUP($A36,TableHandbook[],6,FALSE)),"")</f>
        <v/>
      </c>
      <c r="G36" s="134" t="str">
        <f>IFERROR(IF(VLOOKUP($A36,TableHandbook[],5,FALSE)=0,"",VLOOKUP($A36,TableHandbook[],5,FALSE)),"")</f>
        <v/>
      </c>
      <c r="H36" s="137" t="str">
        <f>IFERROR(VLOOKUP($A36,TableHandbook[],H$2,FALSE),"")</f>
        <v/>
      </c>
      <c r="I36" s="138" t="str">
        <f>IFERROR(VLOOKUP($A36,TableHandbook[],I$2,FALSE),"")</f>
        <v/>
      </c>
      <c r="J36" s="134" t="str">
        <f>IFERROR(VLOOKUP($A36,TableHandbook[],J$2,FALSE),"")</f>
        <v/>
      </c>
      <c r="K36" s="139" t="str">
        <f>IFERROR(VLOOKUP($A36,TableHandbook[],K$2,FALSE),"")</f>
        <v/>
      </c>
      <c r="L36" s="62"/>
      <c r="M36" s="140">
        <v>22</v>
      </c>
      <c r="N36" s="141"/>
      <c r="O36" s="141"/>
    </row>
    <row r="37" spans="1:16" s="142" customFormat="1" ht="20.100000000000001" customHeight="1" x14ac:dyDescent="0.25">
      <c r="A37" s="133" t="str">
        <f>IFERROR(IF(HLOOKUP($L$5,RangeUnitsets,M37,FALSE)=0,"",HLOOKUP($L$5,RangeUnitsets,M37,FALSE)),"")</f>
        <v/>
      </c>
      <c r="B37" s="134" t="str">
        <f>IFERROR(IF(VLOOKUP($A37,TableHandbook[],2,FALSE)=0,"",VLOOKUP($A37,TableHandbook[],2,FALSE)),"")</f>
        <v/>
      </c>
      <c r="C37" s="134" t="str">
        <f>IFERROR(IF(VLOOKUP($A37,TableHandbook[],3,FALSE)=0,"",VLOOKUP($A37,TableHandbook[],3,FALSE)),"")</f>
        <v/>
      </c>
      <c r="D37" s="152" t="str">
        <f>IFERROR(IF(VLOOKUP($A37,TableHandbook[],4,FALSE)=0,"",VLOOKUP($A37,TableHandbook[],4,FALSE)),"")</f>
        <v/>
      </c>
      <c r="E37" s="134" t="str">
        <f>IF(OR(A37="",A37="-"),"",E36)</f>
        <v/>
      </c>
      <c r="F37" s="136" t="str">
        <f>IFERROR(IF(VLOOKUP($A37,TableHandbook[],6,FALSE)=0,"",VLOOKUP($A37,TableHandbook[],6,FALSE)),"")</f>
        <v/>
      </c>
      <c r="G37" s="134" t="str">
        <f>IFERROR(IF(VLOOKUP($A37,TableHandbook[],5,FALSE)=0,"",VLOOKUP($A37,TableHandbook[],5,FALSE)),"")</f>
        <v/>
      </c>
      <c r="H37" s="137" t="str">
        <f>IFERROR(VLOOKUP($A37,TableHandbook[],H$2,FALSE),"")</f>
        <v/>
      </c>
      <c r="I37" s="138" t="str">
        <f>IFERROR(VLOOKUP($A37,TableHandbook[],I$2,FALSE),"")</f>
        <v/>
      </c>
      <c r="J37" s="134" t="str">
        <f>IFERROR(VLOOKUP($A37,TableHandbook[],J$2,FALSE),"")</f>
        <v/>
      </c>
      <c r="K37" s="139" t="str">
        <f>IFERROR(VLOOKUP($A37,TableHandbook[],K$2,FALSE),"")</f>
        <v/>
      </c>
      <c r="L37" s="62"/>
      <c r="M37" s="140">
        <v>23</v>
      </c>
      <c r="N37" s="141"/>
      <c r="O37" s="141"/>
    </row>
    <row r="38" spans="1:16" s="144" customFormat="1" ht="20.100000000000001" customHeight="1" x14ac:dyDescent="0.25">
      <c r="A38" s="133" t="str">
        <f>IFERROR(IF(HLOOKUP($L$5,RangeUnitsets,M38,FALSE)=0,"",HLOOKUP($L$5,RangeUnitsets,M38,FALSE)),"")</f>
        <v/>
      </c>
      <c r="B38" s="134" t="str">
        <f>IFERROR(IF(VLOOKUP($A38,TableHandbook[],2,FALSE)=0,"",VLOOKUP($A38,TableHandbook[],2,FALSE)),"")</f>
        <v/>
      </c>
      <c r="C38" s="134" t="str">
        <f>IFERROR(IF(VLOOKUP($A38,TableHandbook[],3,FALSE)=0,"",VLOOKUP($A38,TableHandbook[],3,FALSE)),"")</f>
        <v/>
      </c>
      <c r="D38" s="152" t="str">
        <f>IFERROR(IF(VLOOKUP($A38,TableHandbook[],4,FALSE)=0,"",VLOOKUP($A38,TableHandbook[],4,FALSE)),"")</f>
        <v/>
      </c>
      <c r="E38" s="134" t="str">
        <f t="shared" ref="E38:E39" si="7">IF(OR(A38="",A38="-"),"",E37)</f>
        <v/>
      </c>
      <c r="F38" s="136" t="str">
        <f>IFERROR(IF(VLOOKUP($A38,TableHandbook[],6,FALSE)=0,"",VLOOKUP($A38,TableHandbook[],6,FALSE)),"")</f>
        <v/>
      </c>
      <c r="G38" s="134" t="str">
        <f>IFERROR(IF(VLOOKUP($A38,TableHandbook[],5,FALSE)=0,"",VLOOKUP($A38,TableHandbook[],5,FALSE)),"")</f>
        <v/>
      </c>
      <c r="H38" s="137" t="str">
        <f>IFERROR(VLOOKUP($A38,TableHandbook[],H$2,FALSE),"")</f>
        <v/>
      </c>
      <c r="I38" s="138" t="str">
        <f>IFERROR(VLOOKUP($A38,TableHandbook[],I$2,FALSE),"")</f>
        <v/>
      </c>
      <c r="J38" s="134" t="str">
        <f>IFERROR(VLOOKUP($A38,TableHandbook[],J$2,FALSE),"")</f>
        <v/>
      </c>
      <c r="K38" s="139" t="str">
        <f>IFERROR(VLOOKUP($A38,TableHandbook[],K$2,FALSE),"")</f>
        <v/>
      </c>
      <c r="L38" s="62"/>
      <c r="M38" s="140">
        <v>24</v>
      </c>
      <c r="N38" s="143"/>
      <c r="O38" s="143"/>
    </row>
    <row r="39" spans="1:16" s="144" customFormat="1" ht="20.100000000000001" customHeight="1" x14ac:dyDescent="0.25">
      <c r="A39" s="133" t="str">
        <f>IFERROR(IF(HLOOKUP($L$5,RangeUnitsets,M39,FALSE)=0,"",HLOOKUP($L$5,RangeUnitsets,M39,FALSE)),"")</f>
        <v/>
      </c>
      <c r="B39" s="134" t="str">
        <f>IFERROR(IF(VLOOKUP($A39,TableHandbook[],2,FALSE)=0,"",VLOOKUP($A39,TableHandbook[],2,FALSE)),"")</f>
        <v/>
      </c>
      <c r="C39" s="134" t="str">
        <f>IFERROR(IF(VLOOKUP($A39,TableHandbook[],3,FALSE)=0,"",VLOOKUP($A39,TableHandbook[],3,FALSE)),"")</f>
        <v/>
      </c>
      <c r="D39" s="152" t="str">
        <f>IFERROR(IF(VLOOKUP($A39,TableHandbook[],4,FALSE)=0,"",VLOOKUP($A39,TableHandbook[],4,FALSE)),"")</f>
        <v/>
      </c>
      <c r="E39" s="134" t="str">
        <f t="shared" si="7"/>
        <v/>
      </c>
      <c r="F39" s="136" t="str">
        <f>IFERROR(IF(VLOOKUP($A39,TableHandbook[],6,FALSE)=0,"",VLOOKUP($A39,TableHandbook[],6,FALSE)),"")</f>
        <v/>
      </c>
      <c r="G39" s="134" t="str">
        <f>IFERROR(IF(VLOOKUP($A39,TableHandbook[],5,FALSE)=0,"",VLOOKUP($A39,TableHandbook[],5,FALSE)),"")</f>
        <v/>
      </c>
      <c r="H39" s="137" t="str">
        <f>IFERROR(VLOOKUP($A39,TableHandbook[],H$2,FALSE),"")</f>
        <v/>
      </c>
      <c r="I39" s="138" t="str">
        <f>IFERROR(VLOOKUP($A39,TableHandbook[],I$2,FALSE),"")</f>
        <v/>
      </c>
      <c r="J39" s="134" t="str">
        <f>IFERROR(VLOOKUP($A39,TableHandbook[],J$2,FALSE),"")</f>
        <v/>
      </c>
      <c r="K39" s="139" t="str">
        <f>IFERROR(VLOOKUP($A39,TableHandbook[],K$2,FALSE),"")</f>
        <v/>
      </c>
      <c r="L39" s="62"/>
      <c r="M39" s="140">
        <v>25</v>
      </c>
      <c r="N39" s="143"/>
      <c r="O39" s="143"/>
    </row>
    <row r="40" spans="1:16" s="160" customFormat="1" ht="13.95" customHeight="1" x14ac:dyDescent="0.25">
      <c r="A40" s="154"/>
      <c r="B40" s="154"/>
      <c r="C40" s="154"/>
      <c r="D40" s="155"/>
      <c r="E40" s="156"/>
      <c r="F40" s="157"/>
      <c r="G40" s="157"/>
      <c r="H40" s="157"/>
      <c r="I40" s="157"/>
      <c r="J40" s="157"/>
      <c r="K40" s="157"/>
      <c r="L40" s="157"/>
      <c r="M40" s="158"/>
      <c r="N40" s="159"/>
      <c r="O40" s="159"/>
    </row>
    <row r="41" spans="1:16" ht="20.399999999999999" x14ac:dyDescent="0.3">
      <c r="A41" s="161" t="s">
        <v>33</v>
      </c>
      <c r="B41" s="162"/>
      <c r="C41" s="162"/>
      <c r="D41" s="163"/>
      <c r="E41" s="164"/>
      <c r="F41" s="165"/>
      <c r="G41" s="165"/>
      <c r="H41" s="166" t="str">
        <f>H$9</f>
        <v>2025 Availabilities</v>
      </c>
      <c r="I41" s="167"/>
      <c r="J41" s="168"/>
      <c r="K41" s="169"/>
      <c r="L41" s="170" t="e">
        <f>VLOOKUP(D6,TableFirstSpecialisation[],2,FALSE)</f>
        <v>#N/A</v>
      </c>
      <c r="M41" s="171"/>
    </row>
    <row r="42" spans="1:16" s="175" customFormat="1" ht="22.8" x14ac:dyDescent="0.3">
      <c r="A42" s="172" t="str">
        <f>D6</f>
        <v>Choose your first Specialisation (drop-down list)</v>
      </c>
      <c r="B42" s="173"/>
      <c r="C42" s="173"/>
      <c r="D42" s="174"/>
      <c r="E42" s="129"/>
      <c r="F42" s="120" t="s">
        <v>24</v>
      </c>
      <c r="G42" s="120" t="s">
        <v>25</v>
      </c>
      <c r="H42" s="130" t="str">
        <f>H$10</f>
        <v>Sem1 BEN</v>
      </c>
      <c r="I42" s="131" t="str">
        <f t="shared" ref="I42:L42" si="8">I$10</f>
        <v>Sem1 FO</v>
      </c>
      <c r="J42" s="129" t="str">
        <f t="shared" si="8"/>
        <v>Sem2 BEN</v>
      </c>
      <c r="K42" s="132" t="str">
        <f t="shared" si="8"/>
        <v>Sem2 FO</v>
      </c>
      <c r="L42" s="120" t="str">
        <f t="shared" si="8"/>
        <v>Notes / Progress</v>
      </c>
      <c r="M42" s="171"/>
    </row>
    <row r="43" spans="1:16" x14ac:dyDescent="0.3">
      <c r="A43" s="176" t="str">
        <f t="shared" ref="A43:A51" si="9">IFERROR(IF(HLOOKUP($L$41,RangeSpecialisations,M43,FALSE)=0,"",HLOOKUP($L$41,RangeSpecialisations,M43,FALSE)),"")</f>
        <v/>
      </c>
      <c r="B43" s="177" t="str">
        <f>IFERROR(IF(VLOOKUP($A43,TableHandbook[],2,FALSE)=0,"",VLOOKUP($A43,TableHandbook[],2,FALSE)),"")</f>
        <v/>
      </c>
      <c r="C43" s="177" t="str">
        <f>IFERROR(IF(VLOOKUP($A43,TableHandbook[],3,FALSE)=0,"",VLOOKUP($A43,TableHandbook[],3,FALSE)),"")</f>
        <v/>
      </c>
      <c r="D43" s="178" t="str">
        <f>IFERROR(IF(VLOOKUP($A43,TableHandbook[],4,FALSE)=0,"",VLOOKUP($A43,TableHandbook[],4,FALSE)),"")</f>
        <v/>
      </c>
      <c r="E43" s="179"/>
      <c r="F43" s="180" t="str">
        <f>IFERROR(IF(VLOOKUP($A43,TableHandbook[],6,FALSE)=0,"",VLOOKUP($A43,TableHandbook[],6,FALSE)),"")</f>
        <v/>
      </c>
      <c r="G43" s="179" t="str">
        <f>IFERROR(IF(VLOOKUP($A43,TableHandbook[],5,FALSE)=0,"",VLOOKUP($A43,TableHandbook[],5,FALSE)),"")</f>
        <v/>
      </c>
      <c r="H43" s="181" t="str">
        <f>IFERROR(VLOOKUP($A43,TableHandbook[],H$2,FALSE),"")</f>
        <v/>
      </c>
      <c r="I43" s="182" t="str">
        <f>IFERROR(VLOOKUP($A43,TableHandbook[],I$2,FALSE),"")</f>
        <v/>
      </c>
      <c r="J43" s="183" t="str">
        <f>IFERROR(VLOOKUP($A43,TableHandbook[],J$2,FALSE),"")</f>
        <v/>
      </c>
      <c r="K43" s="184" t="str">
        <f>IFERROR(VLOOKUP($A43,TableHandbook[],K$2,FALSE),"")</f>
        <v/>
      </c>
      <c r="L43" s="62"/>
      <c r="M43" s="140">
        <v>2</v>
      </c>
    </row>
    <row r="44" spans="1:16" x14ac:dyDescent="0.3">
      <c r="A44" s="176" t="str">
        <f t="shared" si="9"/>
        <v/>
      </c>
      <c r="B44" s="177" t="str">
        <f>IFERROR(IF(VLOOKUP($A44,TableHandbook[],2,FALSE)=0,"",VLOOKUP($A44,TableHandbook[],2,FALSE)),"")</f>
        <v/>
      </c>
      <c r="C44" s="177" t="str">
        <f>IFERROR(IF(VLOOKUP($A44,TableHandbook[],3,FALSE)=0,"",VLOOKUP($A44,TableHandbook[],3,FALSE)),"")</f>
        <v/>
      </c>
      <c r="D44" s="178" t="str">
        <f>IFERROR(IF(VLOOKUP($A44,TableHandbook[],4,FALSE)=0,"",VLOOKUP($A44,TableHandbook[],4,FALSE)),"")</f>
        <v/>
      </c>
      <c r="E44" s="179"/>
      <c r="F44" s="180" t="str">
        <f>IFERROR(IF(VLOOKUP($A44,TableHandbook[],6,FALSE)=0,"",VLOOKUP($A44,TableHandbook[],6,FALSE)),"")</f>
        <v/>
      </c>
      <c r="G44" s="179" t="str">
        <f>IFERROR(IF(VLOOKUP($A44,TableHandbook[],5,FALSE)=0,"",VLOOKUP($A44,TableHandbook[],5,FALSE)),"")</f>
        <v/>
      </c>
      <c r="H44" s="181" t="str">
        <f>IFERROR(VLOOKUP($A44,TableHandbook[],H$2,FALSE),"")</f>
        <v/>
      </c>
      <c r="I44" s="182" t="str">
        <f>IFERROR(VLOOKUP($A44,TableHandbook[],I$2,FALSE),"")</f>
        <v/>
      </c>
      <c r="J44" s="183" t="str">
        <f>IFERROR(VLOOKUP($A44,TableHandbook[],J$2,FALSE),"")</f>
        <v/>
      </c>
      <c r="K44" s="184" t="str">
        <f>IFERROR(VLOOKUP($A44,TableHandbook[],K$2,FALSE),"")</f>
        <v/>
      </c>
      <c r="L44" s="62"/>
      <c r="M44" s="140">
        <v>3</v>
      </c>
    </row>
    <row r="45" spans="1:16" x14ac:dyDescent="0.3">
      <c r="A45" s="176" t="str">
        <f t="shared" si="9"/>
        <v/>
      </c>
      <c r="B45" s="177" t="str">
        <f>IFERROR(IF(VLOOKUP($A45,TableHandbook[],2,FALSE)=0,"",VLOOKUP($A45,TableHandbook[],2,FALSE)),"")</f>
        <v/>
      </c>
      <c r="C45" s="177" t="str">
        <f>IFERROR(IF(VLOOKUP($A45,TableHandbook[],3,FALSE)=0,"",VLOOKUP($A45,TableHandbook[],3,FALSE)),"")</f>
        <v/>
      </c>
      <c r="D45" s="178" t="str">
        <f>IFERROR(IF(VLOOKUP($A45,TableHandbook[],4,FALSE)=0,"",VLOOKUP($A45,TableHandbook[],4,FALSE)),"")</f>
        <v/>
      </c>
      <c r="E45" s="179"/>
      <c r="F45" s="180" t="str">
        <f>IFERROR(IF(VLOOKUP($A45,TableHandbook[],6,FALSE)=0,"",VLOOKUP($A45,TableHandbook[],6,FALSE)),"")</f>
        <v/>
      </c>
      <c r="G45" s="179" t="str">
        <f>IFERROR(IF(VLOOKUP($A45,TableHandbook[],5,FALSE)=0,"",VLOOKUP($A45,TableHandbook[],5,FALSE)),"")</f>
        <v/>
      </c>
      <c r="H45" s="181" t="str">
        <f>IFERROR(VLOOKUP($A45,TableHandbook[],H$2,FALSE),"")</f>
        <v/>
      </c>
      <c r="I45" s="182" t="str">
        <f>IFERROR(VLOOKUP($A45,TableHandbook[],I$2,FALSE),"")</f>
        <v/>
      </c>
      <c r="J45" s="183" t="str">
        <f>IFERROR(VLOOKUP($A45,TableHandbook[],J$2,FALSE),"")</f>
        <v/>
      </c>
      <c r="K45" s="184" t="str">
        <f>IFERROR(VLOOKUP($A45,TableHandbook[],K$2,FALSE),"")</f>
        <v/>
      </c>
      <c r="L45" s="62"/>
      <c r="M45" s="140">
        <v>4</v>
      </c>
    </row>
    <row r="46" spans="1:16" x14ac:dyDescent="0.3">
      <c r="A46" s="176" t="str">
        <f t="shared" si="9"/>
        <v/>
      </c>
      <c r="B46" s="177" t="str">
        <f>IFERROR(IF(VLOOKUP($A46,TableHandbook[],2,FALSE)=0,"",VLOOKUP($A46,TableHandbook[],2,FALSE)),"")</f>
        <v/>
      </c>
      <c r="C46" s="177" t="str">
        <f>IFERROR(IF(VLOOKUP($A46,TableHandbook[],3,FALSE)=0,"",VLOOKUP($A46,TableHandbook[],3,FALSE)),"")</f>
        <v/>
      </c>
      <c r="D46" s="178" t="str">
        <f>IFERROR(IF(VLOOKUP($A46,TableHandbook[],4,FALSE)=0,"",VLOOKUP($A46,TableHandbook[],4,FALSE)),"")</f>
        <v/>
      </c>
      <c r="E46" s="179"/>
      <c r="F46" s="180" t="str">
        <f>IFERROR(IF(VLOOKUP($A46,TableHandbook[],6,FALSE)=0,"",VLOOKUP($A46,TableHandbook[],6,FALSE)),"")</f>
        <v/>
      </c>
      <c r="G46" s="179" t="str">
        <f>IFERROR(IF(VLOOKUP($A46,TableHandbook[],5,FALSE)=0,"",VLOOKUP($A46,TableHandbook[],5,FALSE)),"")</f>
        <v/>
      </c>
      <c r="H46" s="181" t="str">
        <f>IFERROR(VLOOKUP($A46,TableHandbook[],H$2,FALSE),"")</f>
        <v/>
      </c>
      <c r="I46" s="182" t="str">
        <f>IFERROR(VLOOKUP($A46,TableHandbook[],I$2,FALSE),"")</f>
        <v/>
      </c>
      <c r="J46" s="183" t="str">
        <f>IFERROR(VLOOKUP($A46,TableHandbook[],J$2,FALSE),"")</f>
        <v/>
      </c>
      <c r="K46" s="184" t="str">
        <f>IFERROR(VLOOKUP($A46,TableHandbook[],K$2,FALSE),"")</f>
        <v/>
      </c>
      <c r="L46" s="62"/>
      <c r="M46" s="140">
        <v>5</v>
      </c>
    </row>
    <row r="47" spans="1:16" x14ac:dyDescent="0.3">
      <c r="A47" s="176" t="str">
        <f t="shared" si="9"/>
        <v/>
      </c>
      <c r="B47" s="177" t="str">
        <f>IFERROR(IF(VLOOKUP($A47,TableHandbook[],2,FALSE)=0,"",VLOOKUP($A47,TableHandbook[],2,FALSE)),"")</f>
        <v/>
      </c>
      <c r="C47" s="177" t="str">
        <f>IFERROR(IF(VLOOKUP($A47,TableHandbook[],3,FALSE)=0,"",VLOOKUP($A47,TableHandbook[],3,FALSE)),"")</f>
        <v/>
      </c>
      <c r="D47" s="178" t="str">
        <f>IFERROR(IF(VLOOKUP($A47,TableHandbook[],4,FALSE)=0,"",VLOOKUP($A47,TableHandbook[],4,FALSE)),"")</f>
        <v/>
      </c>
      <c r="E47" s="179"/>
      <c r="F47" s="180" t="str">
        <f>IFERROR(IF(VLOOKUP($A47,TableHandbook[],6,FALSE)=0,"",VLOOKUP($A47,TableHandbook[],6,FALSE)),"")</f>
        <v/>
      </c>
      <c r="G47" s="179" t="str">
        <f>IFERROR(IF(VLOOKUP($A47,TableHandbook[],5,FALSE)=0,"",VLOOKUP($A47,TableHandbook[],5,FALSE)),"")</f>
        <v/>
      </c>
      <c r="H47" s="181" t="str">
        <f>IFERROR(VLOOKUP($A47,TableHandbook[],H$2,FALSE),"")</f>
        <v/>
      </c>
      <c r="I47" s="182" t="str">
        <f>IFERROR(VLOOKUP($A47,TableHandbook[],I$2,FALSE),"")</f>
        <v/>
      </c>
      <c r="J47" s="183" t="str">
        <f>IFERROR(VLOOKUP($A47,TableHandbook[],J$2,FALSE),"")</f>
        <v/>
      </c>
      <c r="K47" s="184" t="str">
        <f>IFERROR(VLOOKUP($A47,TableHandbook[],K$2,FALSE),"")</f>
        <v/>
      </c>
      <c r="L47" s="62"/>
      <c r="M47" s="140">
        <v>6</v>
      </c>
    </row>
    <row r="48" spans="1:16" x14ac:dyDescent="0.3">
      <c r="A48" s="176" t="str">
        <f t="shared" si="9"/>
        <v/>
      </c>
      <c r="B48" s="177" t="str">
        <f>IFERROR(IF(VLOOKUP($A48,TableHandbook[],2,FALSE)=0,"",VLOOKUP($A48,TableHandbook[],2,FALSE)),"")</f>
        <v/>
      </c>
      <c r="C48" s="177" t="str">
        <f>IFERROR(IF(VLOOKUP($A48,TableHandbook[],3,FALSE)=0,"",VLOOKUP($A48,TableHandbook[],3,FALSE)),"")</f>
        <v/>
      </c>
      <c r="D48" s="178" t="str">
        <f>IFERROR(IF(VLOOKUP($A48,TableHandbook[],4,FALSE)=0,"",VLOOKUP($A48,TableHandbook[],4,FALSE)),"")</f>
        <v/>
      </c>
      <c r="E48" s="179"/>
      <c r="F48" s="180" t="str">
        <f>IFERROR(IF(VLOOKUP($A48,TableHandbook[],6,FALSE)=0,"",VLOOKUP($A48,TableHandbook[],6,FALSE)),"")</f>
        <v/>
      </c>
      <c r="G48" s="179" t="str">
        <f>IFERROR(IF(VLOOKUP($A48,TableHandbook[],5,FALSE)=0,"",VLOOKUP($A48,TableHandbook[],5,FALSE)),"")</f>
        <v/>
      </c>
      <c r="H48" s="181" t="str">
        <f>IFERROR(VLOOKUP($A48,TableHandbook[],H$2,FALSE),"")</f>
        <v/>
      </c>
      <c r="I48" s="182" t="str">
        <f>IFERROR(VLOOKUP($A48,TableHandbook[],I$2,FALSE),"")</f>
        <v/>
      </c>
      <c r="J48" s="183" t="str">
        <f>IFERROR(VLOOKUP($A48,TableHandbook[],J$2,FALSE),"")</f>
        <v/>
      </c>
      <c r="K48" s="184" t="str">
        <f>IFERROR(VLOOKUP($A48,TableHandbook[],K$2,FALSE),"")</f>
        <v/>
      </c>
      <c r="L48" s="62"/>
      <c r="M48" s="140">
        <v>7</v>
      </c>
    </row>
    <row r="49" spans="1:15" x14ac:dyDescent="0.3">
      <c r="A49" s="176" t="str">
        <f t="shared" si="9"/>
        <v/>
      </c>
      <c r="B49" s="177" t="str">
        <f>IFERROR(IF(VLOOKUP($A49,TableHandbook[],2,FALSE)=0,"",VLOOKUP($A49,TableHandbook[],2,FALSE)),"")</f>
        <v/>
      </c>
      <c r="C49" s="177" t="str">
        <f>IFERROR(IF(VLOOKUP($A49,TableHandbook[],3,FALSE)=0,"",VLOOKUP($A49,TableHandbook[],3,FALSE)),"")</f>
        <v/>
      </c>
      <c r="D49" s="178" t="str">
        <f>IFERROR(IF(VLOOKUP($A49,TableHandbook[],4,FALSE)=0,"",VLOOKUP($A49,TableHandbook[],4,FALSE)),"")</f>
        <v/>
      </c>
      <c r="E49" s="179"/>
      <c r="F49" s="180" t="str">
        <f>IFERROR(IF(VLOOKUP($A49,TableHandbook[],6,FALSE)=0,"",VLOOKUP($A49,TableHandbook[],6,FALSE)),"")</f>
        <v/>
      </c>
      <c r="G49" s="179" t="str">
        <f>IFERROR(IF(VLOOKUP($A49,TableHandbook[],5,FALSE)=0,"",VLOOKUP($A49,TableHandbook[],5,FALSE)),"")</f>
        <v/>
      </c>
      <c r="H49" s="181" t="str">
        <f>IFERROR(VLOOKUP($A49,TableHandbook[],H$2,FALSE),"")</f>
        <v/>
      </c>
      <c r="I49" s="182" t="str">
        <f>IFERROR(VLOOKUP($A49,TableHandbook[],I$2,FALSE),"")</f>
        <v/>
      </c>
      <c r="J49" s="183" t="str">
        <f>IFERROR(VLOOKUP($A49,TableHandbook[],J$2,FALSE),"")</f>
        <v/>
      </c>
      <c r="K49" s="184" t="str">
        <f>IFERROR(VLOOKUP($A49,TableHandbook[],K$2,FALSE),"")</f>
        <v/>
      </c>
      <c r="L49" s="62"/>
      <c r="M49" s="140">
        <v>8</v>
      </c>
    </row>
    <row r="50" spans="1:15" x14ac:dyDescent="0.3">
      <c r="A50" s="176" t="str">
        <f t="shared" si="9"/>
        <v/>
      </c>
      <c r="B50" s="177" t="str">
        <f>IFERROR(IF(VLOOKUP($A50,TableHandbook[],2,FALSE)=0,"",VLOOKUP($A50,TableHandbook[],2,FALSE)),"")</f>
        <v/>
      </c>
      <c r="C50" s="177" t="str">
        <f>IFERROR(IF(VLOOKUP($A50,TableHandbook[],3,FALSE)=0,"",VLOOKUP($A50,TableHandbook[],3,FALSE)),"")</f>
        <v/>
      </c>
      <c r="D50" s="178" t="str">
        <f>IFERROR(IF(VLOOKUP($A50,TableHandbook[],4,FALSE)=0,"",VLOOKUP($A50,TableHandbook[],4,FALSE)),"")</f>
        <v/>
      </c>
      <c r="E50" s="179"/>
      <c r="F50" s="180" t="str">
        <f>IFERROR(IF(VLOOKUP($A50,TableHandbook[],6,FALSE)=0,"",VLOOKUP($A50,TableHandbook[],6,FALSE)),"")</f>
        <v/>
      </c>
      <c r="G50" s="179" t="str">
        <f>IFERROR(IF(VLOOKUP($A50,TableHandbook[],5,FALSE)=0,"",VLOOKUP($A50,TableHandbook[],5,FALSE)),"")</f>
        <v/>
      </c>
      <c r="H50" s="181" t="str">
        <f>IFERROR(VLOOKUP($A50,TableHandbook[],H$2,FALSE),"")</f>
        <v/>
      </c>
      <c r="I50" s="182" t="str">
        <f>IFERROR(VLOOKUP($A50,TableHandbook[],I$2,FALSE),"")</f>
        <v/>
      </c>
      <c r="J50" s="183" t="str">
        <f>IFERROR(VLOOKUP($A50,TableHandbook[],J$2,FALSE),"")</f>
        <v/>
      </c>
      <c r="K50" s="184" t="str">
        <f>IFERROR(VLOOKUP($A50,TableHandbook[],K$2,FALSE),"")</f>
        <v/>
      </c>
      <c r="L50" s="62"/>
      <c r="M50" s="140">
        <v>9</v>
      </c>
    </row>
    <row r="51" spans="1:15" x14ac:dyDescent="0.3">
      <c r="A51" s="176" t="str">
        <f t="shared" si="9"/>
        <v/>
      </c>
      <c r="B51" s="177" t="str">
        <f>IFERROR(IF(VLOOKUP($A51,TableHandbook[],2,FALSE)=0,"",VLOOKUP($A51,TableHandbook[],2,FALSE)),"")</f>
        <v/>
      </c>
      <c r="C51" s="177" t="str">
        <f>IFERROR(IF(VLOOKUP($A51,TableHandbook[],3,FALSE)=0,"",VLOOKUP($A51,TableHandbook[],3,FALSE)),"")</f>
        <v/>
      </c>
      <c r="D51" s="178" t="str">
        <f>IFERROR(IF(VLOOKUP($A51,TableHandbook[],4,FALSE)=0,"",VLOOKUP($A51,TableHandbook[],4,FALSE)),"")</f>
        <v/>
      </c>
      <c r="E51" s="179"/>
      <c r="F51" s="180" t="str">
        <f>IFERROR(IF(VLOOKUP($A51,TableHandbook[],6,FALSE)=0,"",VLOOKUP($A51,TableHandbook[],6,FALSE)),"")</f>
        <v/>
      </c>
      <c r="G51" s="179" t="str">
        <f>IFERROR(IF(VLOOKUP($A51,TableHandbook[],5,FALSE)=0,"",VLOOKUP($A51,TableHandbook[],5,FALSE)),"")</f>
        <v/>
      </c>
      <c r="H51" s="181" t="str">
        <f>IFERROR(VLOOKUP($A51,TableHandbook[],H$2,FALSE),"")</f>
        <v/>
      </c>
      <c r="I51" s="182" t="str">
        <f>IFERROR(VLOOKUP($A51,TableHandbook[],I$2,FALSE),"")</f>
        <v/>
      </c>
      <c r="J51" s="183" t="str">
        <f>IFERROR(VLOOKUP($A51,TableHandbook[],J$2,FALSE),"")</f>
        <v/>
      </c>
      <c r="K51" s="184" t="str">
        <f>IFERROR(VLOOKUP($A51,TableHandbook[],K$2,FALSE),"")</f>
        <v/>
      </c>
      <c r="L51" s="62"/>
      <c r="M51" s="140">
        <v>10</v>
      </c>
    </row>
    <row r="52" spans="1:15" s="160" customFormat="1" ht="13.95" customHeight="1" x14ac:dyDescent="0.25">
      <c r="A52" s="154"/>
      <c r="B52" s="154"/>
      <c r="C52" s="154"/>
      <c r="D52" s="155"/>
      <c r="E52" s="156"/>
      <c r="F52" s="157"/>
      <c r="G52" s="157"/>
      <c r="H52" s="157"/>
      <c r="I52" s="157"/>
      <c r="J52" s="157"/>
      <c r="K52" s="157"/>
      <c r="L52" s="157"/>
      <c r="M52" s="158"/>
      <c r="N52" s="159"/>
      <c r="O52" s="159"/>
    </row>
    <row r="53" spans="1:15" s="196" customFormat="1" ht="20.399999999999999" x14ac:dyDescent="0.35">
      <c r="A53" s="185" t="s">
        <v>34</v>
      </c>
      <c r="B53" s="186"/>
      <c r="C53" s="186"/>
      <c r="D53" s="187"/>
      <c r="E53" s="188"/>
      <c r="F53" s="189"/>
      <c r="G53" s="189"/>
      <c r="H53" s="190" t="str">
        <f>H$9</f>
        <v>2025 Availabilities</v>
      </c>
      <c r="I53" s="191"/>
      <c r="J53" s="192"/>
      <c r="K53" s="193"/>
      <c r="L53" s="194" t="e">
        <f>VLOOKUP(D7,TableSecondSpecialisation[],2,FALSE)</f>
        <v>#N/A</v>
      </c>
      <c r="M53" s="195"/>
    </row>
    <row r="54" spans="1:15" s="175" customFormat="1" ht="22.8" x14ac:dyDescent="0.3">
      <c r="A54" s="172" t="str">
        <f>D7</f>
        <v>Choose your second Specialisation (drop-down list)</v>
      </c>
      <c r="B54" s="173"/>
      <c r="C54" s="173"/>
      <c r="D54" s="174"/>
      <c r="E54" s="197"/>
      <c r="F54" s="120" t="s">
        <v>24</v>
      </c>
      <c r="G54" s="120" t="s">
        <v>25</v>
      </c>
      <c r="H54" s="130" t="str">
        <f>H$10</f>
        <v>Sem1 BEN</v>
      </c>
      <c r="I54" s="131" t="str">
        <f t="shared" ref="I54:L54" si="10">I$10</f>
        <v>Sem1 FO</v>
      </c>
      <c r="J54" s="129" t="str">
        <f t="shared" si="10"/>
        <v>Sem2 BEN</v>
      </c>
      <c r="K54" s="132" t="str">
        <f t="shared" si="10"/>
        <v>Sem2 FO</v>
      </c>
      <c r="L54" s="120" t="str">
        <f t="shared" si="10"/>
        <v>Notes / Progress</v>
      </c>
      <c r="M54" s="171"/>
    </row>
    <row r="55" spans="1:15" x14ac:dyDescent="0.3">
      <c r="A55" s="176" t="str">
        <f t="shared" ref="A55:A69" si="11">IFERROR(IF(HLOOKUP($L$53,RangeSpecialisations,M55,FALSE)=0,"",HLOOKUP($L$53,RangeSpecialisations,M55,FALSE)),"")</f>
        <v/>
      </c>
      <c r="B55" s="177" t="str">
        <f>IFERROR(IF(VLOOKUP($A55,TableHandbook[],2,FALSE)=0,"",VLOOKUP($A55,TableHandbook[],2,FALSE)),"")</f>
        <v/>
      </c>
      <c r="C55" s="177" t="str">
        <f>IFERROR(IF(VLOOKUP($A55,TableHandbook[],3,FALSE)=0,"",VLOOKUP($A55,TableHandbook[],3,FALSE)),"")</f>
        <v/>
      </c>
      <c r="D55" s="178" t="str">
        <f>IFERROR(IF(VLOOKUP($A55,TableHandbook[],4,FALSE)=0,"",VLOOKUP($A55,TableHandbook[],4,FALSE)),"")</f>
        <v/>
      </c>
      <c r="E55" s="179"/>
      <c r="F55" s="180" t="str">
        <f>IFERROR(IF(VLOOKUP($A55,TableHandbook[],6,FALSE)=0,"",VLOOKUP($A55,TableHandbook[],6,FALSE)),"")</f>
        <v/>
      </c>
      <c r="G55" s="179" t="str">
        <f>IFERROR(IF(VLOOKUP($A55,TableHandbook[],5,FALSE)=0,"",VLOOKUP($A55,TableHandbook[],5,FALSE)),"")</f>
        <v/>
      </c>
      <c r="H55" s="181" t="str">
        <f>IFERROR(VLOOKUP($A55,TableHandbook[],H$2,FALSE),"")</f>
        <v/>
      </c>
      <c r="I55" s="182" t="str">
        <f>IFERROR(VLOOKUP($A55,TableHandbook[],I$2,FALSE),"")</f>
        <v/>
      </c>
      <c r="J55" s="183" t="str">
        <f>IFERROR(VLOOKUP($A55,TableHandbook[],J$2,FALSE),"")</f>
        <v/>
      </c>
      <c r="K55" s="184" t="str">
        <f>IFERROR(VLOOKUP($A55,TableHandbook[],K$2,FALSE),"")</f>
        <v/>
      </c>
      <c r="L55" s="62"/>
      <c r="M55" s="140">
        <v>2</v>
      </c>
    </row>
    <row r="56" spans="1:15" x14ac:dyDescent="0.3">
      <c r="A56" s="176" t="str">
        <f t="shared" si="11"/>
        <v/>
      </c>
      <c r="B56" s="177" t="str">
        <f>IFERROR(IF(VLOOKUP($A56,TableHandbook[],2,FALSE)=0,"",VLOOKUP($A56,TableHandbook[],2,FALSE)),"")</f>
        <v/>
      </c>
      <c r="C56" s="177" t="str">
        <f>IFERROR(IF(VLOOKUP($A56,TableHandbook[],3,FALSE)=0,"",VLOOKUP($A56,TableHandbook[],3,FALSE)),"")</f>
        <v/>
      </c>
      <c r="D56" s="178" t="str">
        <f>IFERROR(IF(VLOOKUP($A56,TableHandbook[],4,FALSE)=0,"",VLOOKUP($A56,TableHandbook[],4,FALSE)),"")</f>
        <v/>
      </c>
      <c r="E56" s="179"/>
      <c r="F56" s="180" t="str">
        <f>IFERROR(IF(VLOOKUP($A56,TableHandbook[],6,FALSE)=0,"",VLOOKUP($A56,TableHandbook[],6,FALSE)),"")</f>
        <v/>
      </c>
      <c r="G56" s="179" t="str">
        <f>IFERROR(IF(VLOOKUP($A56,TableHandbook[],5,FALSE)=0,"",VLOOKUP($A56,TableHandbook[],5,FALSE)),"")</f>
        <v/>
      </c>
      <c r="H56" s="181" t="str">
        <f>IFERROR(VLOOKUP($A56,TableHandbook[],H$2,FALSE),"")</f>
        <v/>
      </c>
      <c r="I56" s="182" t="str">
        <f>IFERROR(VLOOKUP($A56,TableHandbook[],I$2,FALSE),"")</f>
        <v/>
      </c>
      <c r="J56" s="183" t="str">
        <f>IFERROR(VLOOKUP($A56,TableHandbook[],J$2,FALSE),"")</f>
        <v/>
      </c>
      <c r="K56" s="184" t="str">
        <f>IFERROR(VLOOKUP($A56,TableHandbook[],K$2,FALSE),"")</f>
        <v/>
      </c>
      <c r="L56" s="62"/>
      <c r="M56" s="140">
        <v>3</v>
      </c>
    </row>
    <row r="57" spans="1:15" x14ac:dyDescent="0.3">
      <c r="A57" s="176" t="str">
        <f t="shared" si="11"/>
        <v/>
      </c>
      <c r="B57" s="177" t="str">
        <f>IFERROR(IF(VLOOKUP($A57,TableHandbook[],2,FALSE)=0,"",VLOOKUP($A57,TableHandbook[],2,FALSE)),"")</f>
        <v/>
      </c>
      <c r="C57" s="177" t="str">
        <f>IFERROR(IF(VLOOKUP($A57,TableHandbook[],3,FALSE)=0,"",VLOOKUP($A57,TableHandbook[],3,FALSE)),"")</f>
        <v/>
      </c>
      <c r="D57" s="178" t="str">
        <f>IFERROR(IF(VLOOKUP($A57,TableHandbook[],4,FALSE)=0,"",VLOOKUP($A57,TableHandbook[],4,FALSE)),"")</f>
        <v/>
      </c>
      <c r="E57" s="179"/>
      <c r="F57" s="180" t="str">
        <f>IFERROR(IF(VLOOKUP($A57,TableHandbook[],6,FALSE)=0,"",VLOOKUP($A57,TableHandbook[],6,FALSE)),"")</f>
        <v/>
      </c>
      <c r="G57" s="179" t="str">
        <f>IFERROR(IF(VLOOKUP($A57,TableHandbook[],5,FALSE)=0,"",VLOOKUP($A57,TableHandbook[],5,FALSE)),"")</f>
        <v/>
      </c>
      <c r="H57" s="181" t="str">
        <f>IFERROR(VLOOKUP($A57,TableHandbook[],H$2,FALSE),"")</f>
        <v/>
      </c>
      <c r="I57" s="182" t="str">
        <f>IFERROR(VLOOKUP($A57,TableHandbook[],I$2,FALSE),"")</f>
        <v/>
      </c>
      <c r="J57" s="183" t="str">
        <f>IFERROR(VLOOKUP($A57,TableHandbook[],J$2,FALSE),"")</f>
        <v/>
      </c>
      <c r="K57" s="184" t="str">
        <f>IFERROR(VLOOKUP($A57,TableHandbook[],K$2,FALSE),"")</f>
        <v/>
      </c>
      <c r="L57" s="62"/>
      <c r="M57" s="140">
        <v>4</v>
      </c>
    </row>
    <row r="58" spans="1:15" x14ac:dyDescent="0.3">
      <c r="A58" s="176" t="str">
        <f t="shared" si="11"/>
        <v/>
      </c>
      <c r="B58" s="177" t="str">
        <f>IFERROR(IF(VLOOKUP($A58,TableHandbook[],2,FALSE)=0,"",VLOOKUP($A58,TableHandbook[],2,FALSE)),"")</f>
        <v/>
      </c>
      <c r="C58" s="177" t="str">
        <f>IFERROR(IF(VLOOKUP($A58,TableHandbook[],3,FALSE)=0,"",VLOOKUP($A58,TableHandbook[],3,FALSE)),"")</f>
        <v/>
      </c>
      <c r="D58" s="178" t="str">
        <f>IFERROR(IF(VLOOKUP($A58,TableHandbook[],4,FALSE)=0,"",VLOOKUP($A58,TableHandbook[],4,FALSE)),"")</f>
        <v/>
      </c>
      <c r="E58" s="179"/>
      <c r="F58" s="180" t="str">
        <f>IFERROR(IF(VLOOKUP($A58,TableHandbook[],6,FALSE)=0,"",VLOOKUP($A58,TableHandbook[],6,FALSE)),"")</f>
        <v/>
      </c>
      <c r="G58" s="179" t="str">
        <f>IFERROR(IF(VLOOKUP($A58,TableHandbook[],5,FALSE)=0,"",VLOOKUP($A58,TableHandbook[],5,FALSE)),"")</f>
        <v/>
      </c>
      <c r="H58" s="181" t="str">
        <f>IFERROR(VLOOKUP($A58,TableHandbook[],H$2,FALSE),"")</f>
        <v/>
      </c>
      <c r="I58" s="182" t="str">
        <f>IFERROR(VLOOKUP($A58,TableHandbook[],I$2,FALSE),"")</f>
        <v/>
      </c>
      <c r="J58" s="183" t="str">
        <f>IFERROR(VLOOKUP($A58,TableHandbook[],J$2,FALSE),"")</f>
        <v/>
      </c>
      <c r="K58" s="184" t="str">
        <f>IFERROR(VLOOKUP($A58,TableHandbook[],K$2,FALSE),"")</f>
        <v/>
      </c>
      <c r="L58" s="62"/>
      <c r="M58" s="140">
        <v>5</v>
      </c>
    </row>
    <row r="59" spans="1:15" x14ac:dyDescent="0.3">
      <c r="A59" s="176" t="str">
        <f t="shared" si="11"/>
        <v/>
      </c>
      <c r="B59" s="177" t="str">
        <f>IFERROR(IF(VLOOKUP($A59,TableHandbook[],2,FALSE)=0,"",VLOOKUP($A59,TableHandbook[],2,FALSE)),"")</f>
        <v/>
      </c>
      <c r="C59" s="177" t="str">
        <f>IFERROR(IF(VLOOKUP($A59,TableHandbook[],3,FALSE)=0,"",VLOOKUP($A59,TableHandbook[],3,FALSE)),"")</f>
        <v/>
      </c>
      <c r="D59" s="178" t="str">
        <f>IFERROR(IF(VLOOKUP($A59,TableHandbook[],4,FALSE)=0,"",VLOOKUP($A59,TableHandbook[],4,FALSE)),"")</f>
        <v/>
      </c>
      <c r="E59" s="179"/>
      <c r="F59" s="180" t="str">
        <f>IFERROR(IF(VLOOKUP($A59,TableHandbook[],6,FALSE)=0,"",VLOOKUP($A59,TableHandbook[],6,FALSE)),"")</f>
        <v/>
      </c>
      <c r="G59" s="179" t="str">
        <f>IFERROR(IF(VLOOKUP($A59,TableHandbook[],5,FALSE)=0,"",VLOOKUP($A59,TableHandbook[],5,FALSE)),"")</f>
        <v/>
      </c>
      <c r="H59" s="181" t="str">
        <f>IFERROR(VLOOKUP($A59,TableHandbook[],H$2,FALSE),"")</f>
        <v/>
      </c>
      <c r="I59" s="182" t="str">
        <f>IFERROR(VLOOKUP($A59,TableHandbook[],I$2,FALSE),"")</f>
        <v/>
      </c>
      <c r="J59" s="183" t="str">
        <f>IFERROR(VLOOKUP($A59,TableHandbook[],J$2,FALSE),"")</f>
        <v/>
      </c>
      <c r="K59" s="184" t="str">
        <f>IFERROR(VLOOKUP($A59,TableHandbook[],K$2,FALSE),"")</f>
        <v/>
      </c>
      <c r="L59" s="62"/>
      <c r="M59" s="140">
        <v>6</v>
      </c>
    </row>
    <row r="60" spans="1:15" x14ac:dyDescent="0.3">
      <c r="A60" s="176" t="str">
        <f t="shared" si="11"/>
        <v/>
      </c>
      <c r="B60" s="177" t="str">
        <f>IFERROR(IF(VLOOKUP($A60,TableHandbook[],2,FALSE)=0,"",VLOOKUP($A60,TableHandbook[],2,FALSE)),"")</f>
        <v/>
      </c>
      <c r="C60" s="177" t="str">
        <f>IFERROR(IF(VLOOKUP($A60,TableHandbook[],3,FALSE)=0,"",VLOOKUP($A60,TableHandbook[],3,FALSE)),"")</f>
        <v/>
      </c>
      <c r="D60" s="178" t="str">
        <f>IFERROR(IF(VLOOKUP($A60,TableHandbook[],4,FALSE)=0,"",VLOOKUP($A60,TableHandbook[],4,FALSE)),"")</f>
        <v/>
      </c>
      <c r="E60" s="179"/>
      <c r="F60" s="180" t="str">
        <f>IFERROR(IF(VLOOKUP($A60,TableHandbook[],6,FALSE)=0,"",VLOOKUP($A60,TableHandbook[],6,FALSE)),"")</f>
        <v/>
      </c>
      <c r="G60" s="179" t="str">
        <f>IFERROR(IF(VLOOKUP($A60,TableHandbook[],5,FALSE)=0,"",VLOOKUP($A60,TableHandbook[],5,FALSE)),"")</f>
        <v/>
      </c>
      <c r="H60" s="181" t="str">
        <f>IFERROR(VLOOKUP($A60,TableHandbook[],H$2,FALSE),"")</f>
        <v/>
      </c>
      <c r="I60" s="182" t="str">
        <f>IFERROR(VLOOKUP($A60,TableHandbook[],I$2,FALSE),"")</f>
        <v/>
      </c>
      <c r="J60" s="183" t="str">
        <f>IFERROR(VLOOKUP($A60,TableHandbook[],J$2,FALSE),"")</f>
        <v/>
      </c>
      <c r="K60" s="184" t="str">
        <f>IFERROR(VLOOKUP($A60,TableHandbook[],K$2,FALSE),"")</f>
        <v/>
      </c>
      <c r="L60" s="62"/>
      <c r="M60" s="140">
        <v>7</v>
      </c>
    </row>
    <row r="61" spans="1:15" x14ac:dyDescent="0.3">
      <c r="A61" s="176" t="str">
        <f t="shared" si="11"/>
        <v/>
      </c>
      <c r="B61" s="177" t="str">
        <f>IFERROR(IF(VLOOKUP($A61,TableHandbook[],2,FALSE)=0,"",VLOOKUP($A61,TableHandbook[],2,FALSE)),"")</f>
        <v/>
      </c>
      <c r="C61" s="177" t="str">
        <f>IFERROR(IF(VLOOKUP($A61,TableHandbook[],3,FALSE)=0,"",VLOOKUP($A61,TableHandbook[],3,FALSE)),"")</f>
        <v/>
      </c>
      <c r="D61" s="178" t="str">
        <f>IFERROR(IF(VLOOKUP($A61,TableHandbook[],4,FALSE)=0,"",VLOOKUP($A61,TableHandbook[],4,FALSE)),"")</f>
        <v/>
      </c>
      <c r="E61" s="179"/>
      <c r="F61" s="180" t="str">
        <f>IFERROR(IF(VLOOKUP($A61,TableHandbook[],6,FALSE)=0,"",VLOOKUP($A61,TableHandbook[],6,FALSE)),"")</f>
        <v/>
      </c>
      <c r="G61" s="179" t="str">
        <f>IFERROR(IF(VLOOKUP($A61,TableHandbook[],5,FALSE)=0,"",VLOOKUP($A61,TableHandbook[],5,FALSE)),"")</f>
        <v/>
      </c>
      <c r="H61" s="181" t="str">
        <f>IFERROR(VLOOKUP($A61,TableHandbook[],H$2,FALSE),"")</f>
        <v/>
      </c>
      <c r="I61" s="182" t="str">
        <f>IFERROR(VLOOKUP($A61,TableHandbook[],I$2,FALSE),"")</f>
        <v/>
      </c>
      <c r="J61" s="183" t="str">
        <f>IFERROR(VLOOKUP($A61,TableHandbook[],J$2,FALSE),"")</f>
        <v/>
      </c>
      <c r="K61" s="184" t="str">
        <f>IFERROR(VLOOKUP($A61,TableHandbook[],K$2,FALSE),"")</f>
        <v/>
      </c>
      <c r="L61" s="62"/>
      <c r="M61" s="140">
        <v>8</v>
      </c>
    </row>
    <row r="62" spans="1:15" x14ac:dyDescent="0.3">
      <c r="A62" s="176" t="str">
        <f t="shared" si="11"/>
        <v/>
      </c>
      <c r="B62" s="177" t="str">
        <f>IFERROR(IF(VLOOKUP($A62,TableHandbook[],2,FALSE)=0,"",VLOOKUP($A62,TableHandbook[],2,FALSE)),"")</f>
        <v/>
      </c>
      <c r="C62" s="177" t="str">
        <f>IFERROR(IF(VLOOKUP($A62,TableHandbook[],3,FALSE)=0,"",VLOOKUP($A62,TableHandbook[],3,FALSE)),"")</f>
        <v/>
      </c>
      <c r="D62" s="178" t="str">
        <f>IFERROR(IF(VLOOKUP($A62,TableHandbook[],4,FALSE)=0,"",VLOOKUP($A62,TableHandbook[],4,FALSE)),"")</f>
        <v/>
      </c>
      <c r="E62" s="179"/>
      <c r="F62" s="180" t="str">
        <f>IFERROR(IF(VLOOKUP($A62,TableHandbook[],6,FALSE)=0,"",VLOOKUP($A62,TableHandbook[],6,FALSE)),"")</f>
        <v/>
      </c>
      <c r="G62" s="179" t="str">
        <f>IFERROR(IF(VLOOKUP($A62,TableHandbook[],5,FALSE)=0,"",VLOOKUP($A62,TableHandbook[],5,FALSE)),"")</f>
        <v/>
      </c>
      <c r="H62" s="181" t="str">
        <f>IFERROR(VLOOKUP($A62,TableHandbook[],H$2,FALSE),"")</f>
        <v/>
      </c>
      <c r="I62" s="182" t="str">
        <f>IFERROR(VLOOKUP($A62,TableHandbook[],I$2,FALSE),"")</f>
        <v/>
      </c>
      <c r="J62" s="183" t="str">
        <f>IFERROR(VLOOKUP($A62,TableHandbook[],J$2,FALSE),"")</f>
        <v/>
      </c>
      <c r="K62" s="184" t="str">
        <f>IFERROR(VLOOKUP($A62,TableHandbook[],K$2,FALSE),"")</f>
        <v/>
      </c>
      <c r="L62" s="62"/>
      <c r="M62" s="140">
        <v>9</v>
      </c>
    </row>
    <row r="63" spans="1:15" x14ac:dyDescent="0.3">
      <c r="A63" s="176" t="str">
        <f t="shared" si="11"/>
        <v/>
      </c>
      <c r="B63" s="177" t="str">
        <f>IFERROR(IF(VLOOKUP($A63,TableHandbook[],2,FALSE)=0,"",VLOOKUP($A63,TableHandbook[],2,FALSE)),"")</f>
        <v/>
      </c>
      <c r="C63" s="177" t="str">
        <f>IFERROR(IF(VLOOKUP($A63,TableHandbook[],3,FALSE)=0,"",VLOOKUP($A63,TableHandbook[],3,FALSE)),"")</f>
        <v/>
      </c>
      <c r="D63" s="178" t="str">
        <f>IFERROR(IF(VLOOKUP($A63,TableHandbook[],4,FALSE)=0,"",VLOOKUP($A63,TableHandbook[],4,FALSE)),"")</f>
        <v/>
      </c>
      <c r="E63" s="179"/>
      <c r="F63" s="180" t="str">
        <f>IFERROR(IF(VLOOKUP($A63,TableHandbook[],6,FALSE)=0,"",VLOOKUP($A63,TableHandbook[],6,FALSE)),"")</f>
        <v/>
      </c>
      <c r="G63" s="179" t="str">
        <f>IFERROR(IF(VLOOKUP($A63,TableHandbook[],5,FALSE)=0,"",VLOOKUP($A63,TableHandbook[],5,FALSE)),"")</f>
        <v/>
      </c>
      <c r="H63" s="181" t="str">
        <f>IFERROR(VLOOKUP($A63,TableHandbook[],H$2,FALSE),"")</f>
        <v/>
      </c>
      <c r="I63" s="182" t="str">
        <f>IFERROR(VLOOKUP($A63,TableHandbook[],I$2,FALSE),"")</f>
        <v/>
      </c>
      <c r="J63" s="183" t="str">
        <f>IFERROR(VLOOKUP($A63,TableHandbook[],J$2,FALSE),"")</f>
        <v/>
      </c>
      <c r="K63" s="184" t="str">
        <f>IFERROR(VLOOKUP($A63,TableHandbook[],K$2,FALSE),"")</f>
        <v/>
      </c>
      <c r="L63" s="62"/>
      <c r="M63" s="140">
        <v>10</v>
      </c>
    </row>
    <row r="64" spans="1:15" x14ac:dyDescent="0.3">
      <c r="A64" s="176" t="str">
        <f t="shared" si="11"/>
        <v/>
      </c>
      <c r="B64" s="177" t="str">
        <f>IFERROR(IF(VLOOKUP($A64,TableHandbook[],2,FALSE)=0,"",VLOOKUP($A64,TableHandbook[],2,FALSE)),"")</f>
        <v/>
      </c>
      <c r="C64" s="177" t="str">
        <f>IFERROR(IF(VLOOKUP($A64,TableHandbook[],3,FALSE)=0,"",VLOOKUP($A64,TableHandbook[],3,FALSE)),"")</f>
        <v/>
      </c>
      <c r="D64" s="178" t="str">
        <f>IFERROR(IF(VLOOKUP($A64,TableHandbook[],4,FALSE)=0,"",VLOOKUP($A64,TableHandbook[],4,FALSE)),"")</f>
        <v/>
      </c>
      <c r="E64" s="179"/>
      <c r="F64" s="180" t="str">
        <f>IFERROR(IF(VLOOKUP($A64,TableHandbook[],6,FALSE)=0,"",VLOOKUP($A64,TableHandbook[],6,FALSE)),"")</f>
        <v/>
      </c>
      <c r="G64" s="179" t="str">
        <f>IFERROR(IF(VLOOKUP($A64,TableHandbook[],5,FALSE)=0,"",VLOOKUP($A64,TableHandbook[],5,FALSE)),"")</f>
        <v/>
      </c>
      <c r="H64" s="181" t="str">
        <f>IFERROR(VLOOKUP($A64,TableHandbook[],H$2,FALSE),"")</f>
        <v/>
      </c>
      <c r="I64" s="182" t="str">
        <f>IFERROR(VLOOKUP($A64,TableHandbook[],I$2,FALSE),"")</f>
        <v/>
      </c>
      <c r="J64" s="183" t="str">
        <f>IFERROR(VLOOKUP($A64,TableHandbook[],J$2,FALSE),"")</f>
        <v/>
      </c>
      <c r="K64" s="184" t="str">
        <f>IFERROR(VLOOKUP($A64,TableHandbook[],K$2,FALSE),"")</f>
        <v/>
      </c>
      <c r="L64" s="62"/>
      <c r="M64" s="140">
        <v>11</v>
      </c>
    </row>
    <row r="65" spans="1:15" x14ac:dyDescent="0.3">
      <c r="A65" s="176" t="str">
        <f t="shared" si="11"/>
        <v/>
      </c>
      <c r="B65" s="177" t="str">
        <f>IFERROR(IF(VLOOKUP($A65,TableHandbook[],2,FALSE)=0,"",VLOOKUP($A65,TableHandbook[],2,FALSE)),"")</f>
        <v/>
      </c>
      <c r="C65" s="177" t="str">
        <f>IFERROR(IF(VLOOKUP($A65,TableHandbook[],3,FALSE)=0,"",VLOOKUP($A65,TableHandbook[],3,FALSE)),"")</f>
        <v/>
      </c>
      <c r="D65" s="178" t="str">
        <f>IFERROR(IF(VLOOKUP($A65,TableHandbook[],4,FALSE)=0,"",VLOOKUP($A65,TableHandbook[],4,FALSE)),"")</f>
        <v/>
      </c>
      <c r="E65" s="179"/>
      <c r="F65" s="180" t="str">
        <f>IFERROR(IF(VLOOKUP($A65,TableHandbook[],6,FALSE)=0,"",VLOOKUP($A65,TableHandbook[],6,FALSE)),"")</f>
        <v/>
      </c>
      <c r="G65" s="179" t="str">
        <f>IFERROR(IF(VLOOKUP($A65,TableHandbook[],5,FALSE)=0,"",VLOOKUP($A65,TableHandbook[],5,FALSE)),"")</f>
        <v/>
      </c>
      <c r="H65" s="181" t="str">
        <f>IFERROR(VLOOKUP($A65,TableHandbook[],H$2,FALSE),"")</f>
        <v/>
      </c>
      <c r="I65" s="182" t="str">
        <f>IFERROR(VLOOKUP($A65,TableHandbook[],I$2,FALSE),"")</f>
        <v/>
      </c>
      <c r="J65" s="183" t="str">
        <f>IFERROR(VLOOKUP($A65,TableHandbook[],J$2,FALSE),"")</f>
        <v/>
      </c>
      <c r="K65" s="184" t="str">
        <f>IFERROR(VLOOKUP($A65,TableHandbook[],K$2,FALSE),"")</f>
        <v/>
      </c>
      <c r="L65" s="62"/>
      <c r="M65" s="140">
        <v>12</v>
      </c>
    </row>
    <row r="66" spans="1:15" x14ac:dyDescent="0.3">
      <c r="A66" s="176" t="str">
        <f t="shared" si="11"/>
        <v/>
      </c>
      <c r="B66" s="177" t="str">
        <f>IFERROR(IF(VLOOKUP($A66,TableHandbook[],2,FALSE)=0,"",VLOOKUP($A66,TableHandbook[],2,FALSE)),"")</f>
        <v/>
      </c>
      <c r="C66" s="177" t="str">
        <f>IFERROR(IF(VLOOKUP($A66,TableHandbook[],3,FALSE)=0,"",VLOOKUP($A66,TableHandbook[],3,FALSE)),"")</f>
        <v/>
      </c>
      <c r="D66" s="178" t="str">
        <f>IFERROR(IF(VLOOKUP($A66,TableHandbook[],4,FALSE)=0,"",VLOOKUP($A66,TableHandbook[],4,FALSE)),"")</f>
        <v/>
      </c>
      <c r="E66" s="179"/>
      <c r="F66" s="180" t="str">
        <f>IFERROR(IF(VLOOKUP($A66,TableHandbook[],6,FALSE)=0,"",VLOOKUP($A66,TableHandbook[],6,FALSE)),"")</f>
        <v/>
      </c>
      <c r="G66" s="179" t="str">
        <f>IFERROR(IF(VLOOKUP($A66,TableHandbook[],5,FALSE)=0,"",VLOOKUP($A66,TableHandbook[],5,FALSE)),"")</f>
        <v/>
      </c>
      <c r="H66" s="181" t="str">
        <f>IFERROR(VLOOKUP($A66,TableHandbook[],H$2,FALSE),"")</f>
        <v/>
      </c>
      <c r="I66" s="182" t="str">
        <f>IFERROR(VLOOKUP($A66,TableHandbook[],I$2,FALSE),"")</f>
        <v/>
      </c>
      <c r="J66" s="183" t="str">
        <f>IFERROR(VLOOKUP($A66,TableHandbook[],J$2,FALSE),"")</f>
        <v/>
      </c>
      <c r="K66" s="184" t="str">
        <f>IFERROR(VLOOKUP($A66,TableHandbook[],K$2,FALSE),"")</f>
        <v/>
      </c>
      <c r="L66" s="62"/>
      <c r="M66" s="140">
        <v>13</v>
      </c>
    </row>
    <row r="67" spans="1:15" x14ac:dyDescent="0.3">
      <c r="A67" s="176" t="str">
        <f t="shared" si="11"/>
        <v/>
      </c>
      <c r="B67" s="177" t="str">
        <f>IFERROR(IF(VLOOKUP($A67,TableHandbook[],2,FALSE)=0,"",VLOOKUP($A67,TableHandbook[],2,FALSE)),"")</f>
        <v/>
      </c>
      <c r="C67" s="177" t="str">
        <f>IFERROR(IF(VLOOKUP($A67,TableHandbook[],3,FALSE)=0,"",VLOOKUP($A67,TableHandbook[],3,FALSE)),"")</f>
        <v/>
      </c>
      <c r="D67" s="178" t="str">
        <f>IFERROR(IF(VLOOKUP($A67,TableHandbook[],4,FALSE)=0,"",VLOOKUP($A67,TableHandbook[],4,FALSE)),"")</f>
        <v/>
      </c>
      <c r="E67" s="179"/>
      <c r="F67" s="180" t="str">
        <f>IFERROR(IF(VLOOKUP($A67,TableHandbook[],6,FALSE)=0,"",VLOOKUP($A67,TableHandbook[],6,FALSE)),"")</f>
        <v/>
      </c>
      <c r="G67" s="179" t="str">
        <f>IFERROR(IF(VLOOKUP($A67,TableHandbook[],5,FALSE)=0,"",VLOOKUP($A67,TableHandbook[],5,FALSE)),"")</f>
        <v/>
      </c>
      <c r="H67" s="181" t="str">
        <f>IFERROR(VLOOKUP($A67,TableHandbook[],H$2,FALSE),"")</f>
        <v/>
      </c>
      <c r="I67" s="182" t="str">
        <f>IFERROR(VLOOKUP($A67,TableHandbook[],I$2,FALSE),"")</f>
        <v/>
      </c>
      <c r="J67" s="183" t="str">
        <f>IFERROR(VLOOKUP($A67,TableHandbook[],J$2,FALSE),"")</f>
        <v/>
      </c>
      <c r="K67" s="184" t="str">
        <f>IFERROR(VLOOKUP($A67,TableHandbook[],K$2,FALSE),"")</f>
        <v/>
      </c>
      <c r="L67" s="62"/>
      <c r="M67" s="140">
        <v>14</v>
      </c>
    </row>
    <row r="68" spans="1:15" x14ac:dyDescent="0.3">
      <c r="A68" s="176" t="str">
        <f t="shared" si="11"/>
        <v/>
      </c>
      <c r="B68" s="177" t="str">
        <f>IFERROR(IF(VLOOKUP($A68,TableHandbook[],2,FALSE)=0,"",VLOOKUP($A68,TableHandbook[],2,FALSE)),"")</f>
        <v/>
      </c>
      <c r="C68" s="177" t="str">
        <f>IFERROR(IF(VLOOKUP($A68,TableHandbook[],3,FALSE)=0,"",VLOOKUP($A68,TableHandbook[],3,FALSE)),"")</f>
        <v/>
      </c>
      <c r="D68" s="178" t="str">
        <f>IFERROR(IF(VLOOKUP($A68,TableHandbook[],4,FALSE)=0,"",VLOOKUP($A68,TableHandbook[],4,FALSE)),"")</f>
        <v/>
      </c>
      <c r="E68" s="179"/>
      <c r="F68" s="180" t="str">
        <f>IFERROR(IF(VLOOKUP($A68,TableHandbook[],6,FALSE)=0,"",VLOOKUP($A68,TableHandbook[],6,FALSE)),"")</f>
        <v/>
      </c>
      <c r="G68" s="179" t="str">
        <f>IFERROR(IF(VLOOKUP($A68,TableHandbook[],5,FALSE)=0,"",VLOOKUP($A68,TableHandbook[],5,FALSE)),"")</f>
        <v/>
      </c>
      <c r="H68" s="181" t="str">
        <f>IFERROR(VLOOKUP($A68,TableHandbook[],H$2,FALSE),"")</f>
        <v/>
      </c>
      <c r="I68" s="182" t="str">
        <f>IFERROR(VLOOKUP($A68,TableHandbook[],I$2,FALSE),"")</f>
        <v/>
      </c>
      <c r="J68" s="183" t="str">
        <f>IFERROR(VLOOKUP($A68,TableHandbook[],J$2,FALSE),"")</f>
        <v/>
      </c>
      <c r="K68" s="184" t="str">
        <f>IFERROR(VLOOKUP($A68,TableHandbook[],K$2,FALSE),"")</f>
        <v/>
      </c>
      <c r="L68" s="62"/>
      <c r="M68" s="140">
        <v>15</v>
      </c>
    </row>
    <row r="69" spans="1:15" x14ac:dyDescent="0.3">
      <c r="A69" s="176" t="str">
        <f t="shared" si="11"/>
        <v/>
      </c>
      <c r="B69" s="177" t="str">
        <f>IFERROR(IF(VLOOKUP($A69,TableHandbook[],2,FALSE)=0,"",VLOOKUP($A69,TableHandbook[],2,FALSE)),"")</f>
        <v/>
      </c>
      <c r="C69" s="177" t="str">
        <f>IFERROR(IF(VLOOKUP($A69,TableHandbook[],3,FALSE)=0,"",VLOOKUP($A69,TableHandbook[],3,FALSE)),"")</f>
        <v/>
      </c>
      <c r="D69" s="178" t="str">
        <f>IFERROR(IF(VLOOKUP($A69,TableHandbook[],4,FALSE)=0,"",VLOOKUP($A69,TableHandbook[],4,FALSE)),"")</f>
        <v/>
      </c>
      <c r="E69" s="179"/>
      <c r="F69" s="180" t="str">
        <f>IFERROR(IF(VLOOKUP($A69,TableHandbook[],6,FALSE)=0,"",VLOOKUP($A69,TableHandbook[],6,FALSE)),"")</f>
        <v/>
      </c>
      <c r="G69" s="179" t="str">
        <f>IFERROR(IF(VLOOKUP($A69,TableHandbook[],5,FALSE)=0,"",VLOOKUP($A69,TableHandbook[],5,FALSE)),"")</f>
        <v/>
      </c>
      <c r="H69" s="181" t="str">
        <f>IFERROR(VLOOKUP($A69,TableHandbook[],H$2,FALSE),"")</f>
        <v/>
      </c>
      <c r="I69" s="182" t="str">
        <f>IFERROR(VLOOKUP($A69,TableHandbook[],I$2,FALSE),"")</f>
        <v/>
      </c>
      <c r="J69" s="183" t="str">
        <f>IFERROR(VLOOKUP($A69,TableHandbook[],J$2,FALSE),"")</f>
        <v/>
      </c>
      <c r="K69" s="184" t="str">
        <f>IFERROR(VLOOKUP($A69,TableHandbook[],K$2,FALSE),"")</f>
        <v/>
      </c>
      <c r="L69" s="62"/>
      <c r="M69" s="140">
        <v>16</v>
      </c>
    </row>
    <row r="70" spans="1:15" s="160" customFormat="1" ht="13.95" customHeight="1" x14ac:dyDescent="0.25">
      <c r="A70" s="154"/>
      <c r="B70" s="154"/>
      <c r="C70" s="154"/>
      <c r="D70" s="155"/>
      <c r="E70" s="156"/>
      <c r="F70" s="157"/>
      <c r="G70" s="157"/>
      <c r="H70" s="157"/>
      <c r="I70" s="157"/>
      <c r="J70" s="157"/>
      <c r="K70" s="157"/>
      <c r="L70" s="157"/>
      <c r="M70" s="158"/>
      <c r="N70" s="159"/>
      <c r="O70" s="159"/>
    </row>
    <row r="71" spans="1:15" ht="20.399999999999999" x14ac:dyDescent="0.3">
      <c r="A71" s="198" t="s">
        <v>35</v>
      </c>
      <c r="B71" s="199"/>
      <c r="C71" s="199"/>
      <c r="D71" s="200" t="s">
        <v>36</v>
      </c>
      <c r="E71" s="201"/>
      <c r="F71" s="202"/>
      <c r="G71" s="202"/>
      <c r="H71" s="203" t="str">
        <f>H$9</f>
        <v>2025 Availabilities</v>
      </c>
      <c r="I71" s="204"/>
      <c r="J71" s="205"/>
      <c r="K71" s="206"/>
      <c r="L71" s="207" t="s">
        <v>37</v>
      </c>
      <c r="M71" s="171"/>
    </row>
    <row r="72" spans="1:15" s="175" customFormat="1" ht="22.8" x14ac:dyDescent="0.3">
      <c r="A72" s="172"/>
      <c r="B72" s="173"/>
      <c r="C72" s="173"/>
      <c r="D72" s="121" t="s">
        <v>3</v>
      </c>
      <c r="E72" s="129"/>
      <c r="F72" s="120" t="s">
        <v>24</v>
      </c>
      <c r="G72" s="120" t="s">
        <v>25</v>
      </c>
      <c r="H72" s="130" t="str">
        <f>H$10</f>
        <v>Sem1 BEN</v>
      </c>
      <c r="I72" s="131" t="str">
        <f t="shared" ref="I72:L72" si="12">I$10</f>
        <v>Sem1 FO</v>
      </c>
      <c r="J72" s="129" t="str">
        <f t="shared" si="12"/>
        <v>Sem2 BEN</v>
      </c>
      <c r="K72" s="132" t="str">
        <f t="shared" si="12"/>
        <v>Sem2 FO</v>
      </c>
      <c r="L72" s="120" t="str">
        <f t="shared" si="12"/>
        <v>Notes / Progress</v>
      </c>
      <c r="M72" s="171"/>
    </row>
    <row r="73" spans="1:15" x14ac:dyDescent="0.3">
      <c r="A73" s="176" t="str">
        <f t="shared" ref="A73:A79" si="13">IFERROR(IF(HLOOKUP($L$71,RangeY1Options,M73,FALSE)=0,"",HLOOKUP($L$71,RangeY1Options,M73,FALSE)),"")</f>
        <v>GRDE1004</v>
      </c>
      <c r="B73" s="177">
        <f>IFERROR(IF(VLOOKUP($A73,TableHandbook[],2,FALSE)=0,"",VLOOKUP($A73,TableHandbook[],2,FALSE)),"")</f>
        <v>2</v>
      </c>
      <c r="C73" s="177" t="str">
        <f>IFERROR(IF(VLOOKUP($A73,TableHandbook[],3,FALSE)=0,"",VLOOKUP($A73,TableHandbook[],3,FALSE)),"")</f>
        <v/>
      </c>
      <c r="D73" s="178" t="str">
        <f>IFERROR(IF(VLOOKUP($A73,TableHandbook[],4,FALSE)=0,"",VLOOKUP($A73,TableHandbook[],4,FALSE)),"")</f>
        <v>Design Computing</v>
      </c>
      <c r="E73" s="179"/>
      <c r="F73" s="180" t="str">
        <f>IFERROR(IF(VLOOKUP($A73,TableHandbook[],6,FALSE)=0,"",VLOOKUP($A73,TableHandbook[],6,FALSE)),"")</f>
        <v>None</v>
      </c>
      <c r="G73" s="179">
        <f>IFERROR(IF(VLOOKUP($A73,TableHandbook[],5,FALSE)=0,"",VLOOKUP($A73,TableHandbook[],5,FALSE)),"")</f>
        <v>25</v>
      </c>
      <c r="H73" s="181" t="str">
        <f>IFERROR(VLOOKUP($A73,TableHandbook[],H$2,FALSE),"")</f>
        <v>Y</v>
      </c>
      <c r="I73" s="182" t="str">
        <f>IFERROR(VLOOKUP($A73,TableHandbook[],I$2,FALSE),"")</f>
        <v/>
      </c>
      <c r="J73" s="183" t="str">
        <f>IFERROR(VLOOKUP($A73,TableHandbook[],J$2,FALSE),"")</f>
        <v>Y</v>
      </c>
      <c r="K73" s="184" t="str">
        <f>IFERROR(VLOOKUP($A73,TableHandbook[],K$2,FALSE),"")</f>
        <v/>
      </c>
      <c r="L73" s="62"/>
      <c r="M73" s="140">
        <v>2</v>
      </c>
    </row>
    <row r="74" spans="1:15" x14ac:dyDescent="0.3">
      <c r="A74" s="176" t="str">
        <f t="shared" si="13"/>
        <v>GRDE1016</v>
      </c>
      <c r="B74" s="177">
        <f>IFERROR(IF(VLOOKUP($A74,TableHandbook[],2,FALSE)=0,"",VLOOKUP($A74,TableHandbook[],2,FALSE)),"")</f>
        <v>2</v>
      </c>
      <c r="C74" s="177" t="str">
        <f>IFERROR(IF(VLOOKUP($A74,TableHandbook[],3,FALSE)=0,"",VLOOKUP($A74,TableHandbook[],3,FALSE)),"")</f>
        <v/>
      </c>
      <c r="D74" s="178" t="str">
        <f>IFERROR(IF(VLOOKUP($A74,TableHandbook[],4,FALSE)=0,"",VLOOKUP($A74,TableHandbook[],4,FALSE)),"")</f>
        <v>Digital Design 1</v>
      </c>
      <c r="E74" s="179"/>
      <c r="F74" s="180" t="str">
        <f>IFERROR(IF(VLOOKUP($A74,TableHandbook[],6,FALSE)=0,"",VLOOKUP($A74,TableHandbook[],6,FALSE)),"")</f>
        <v>None</v>
      </c>
      <c r="G74" s="179">
        <f>IFERROR(IF(VLOOKUP($A74,TableHandbook[],5,FALSE)=0,"",VLOOKUP($A74,TableHandbook[],5,FALSE)),"")</f>
        <v>25</v>
      </c>
      <c r="H74" s="181" t="str">
        <f>IFERROR(VLOOKUP($A74,TableHandbook[],H$2,FALSE),"")</f>
        <v>Y</v>
      </c>
      <c r="I74" s="182" t="str">
        <f>IFERROR(VLOOKUP($A74,TableHandbook[],I$2,FALSE),"")</f>
        <v/>
      </c>
      <c r="J74" s="183" t="str">
        <f>IFERROR(VLOOKUP($A74,TableHandbook[],J$2,FALSE),"")</f>
        <v>Y</v>
      </c>
      <c r="K74" s="184" t="str">
        <f>IFERROR(VLOOKUP($A74,TableHandbook[],K$2,FALSE),"")</f>
        <v/>
      </c>
      <c r="L74" s="62"/>
      <c r="M74" s="140">
        <v>3</v>
      </c>
    </row>
    <row r="75" spans="1:15" x14ac:dyDescent="0.3">
      <c r="A75" s="176" t="str">
        <f t="shared" si="13"/>
        <v>JOUR1002</v>
      </c>
      <c r="B75" s="177">
        <f>IFERROR(IF(VLOOKUP($A75,TableHandbook[],2,FALSE)=0,"",VLOOKUP($A75,TableHandbook[],2,FALSE)),"")</f>
        <v>1</v>
      </c>
      <c r="C75" s="177" t="str">
        <f>IFERROR(IF(VLOOKUP($A75,TableHandbook[],3,FALSE)=0,"",VLOOKUP($A75,TableHandbook[],3,FALSE)),"")</f>
        <v/>
      </c>
      <c r="D75" s="178" t="str">
        <f>IFERROR(IF(VLOOKUP($A75,TableHandbook[],4,FALSE)=0,"",VLOOKUP($A75,TableHandbook[],4,FALSE)),"")</f>
        <v>Introduction to Journalism</v>
      </c>
      <c r="E75" s="179"/>
      <c r="F75" s="180" t="str">
        <f>IFERROR(IF(VLOOKUP($A75,TableHandbook[],6,FALSE)=0,"",VLOOKUP($A75,TableHandbook[],6,FALSE)),"")</f>
        <v>None</v>
      </c>
      <c r="G75" s="179">
        <f>IFERROR(IF(VLOOKUP($A75,TableHandbook[],5,FALSE)=0,"",VLOOKUP($A75,TableHandbook[],5,FALSE)),"")</f>
        <v>25</v>
      </c>
      <c r="H75" s="181" t="str">
        <f>IFERROR(VLOOKUP($A75,TableHandbook[],H$2,FALSE),"")</f>
        <v>Y</v>
      </c>
      <c r="I75" s="182" t="str">
        <f>IFERROR(VLOOKUP($A75,TableHandbook[],I$2,FALSE),"")</f>
        <v/>
      </c>
      <c r="J75" s="183" t="str">
        <f>IFERROR(VLOOKUP($A75,TableHandbook[],J$2,FALSE),"")</f>
        <v>Y</v>
      </c>
      <c r="K75" s="184" t="str">
        <f>IFERROR(VLOOKUP($A75,TableHandbook[],K$2,FALSE),"")</f>
        <v/>
      </c>
      <c r="L75" s="62"/>
      <c r="M75" s="140">
        <v>4</v>
      </c>
    </row>
    <row r="76" spans="1:15" x14ac:dyDescent="0.3">
      <c r="A76" s="176" t="str">
        <f t="shared" si="13"/>
        <v>MKTG1000</v>
      </c>
      <c r="B76" s="177">
        <f>IFERROR(IF(VLOOKUP($A76,TableHandbook[],2,FALSE)=0,"",VLOOKUP($A76,TableHandbook[],2,FALSE)),"")</f>
        <v>1</v>
      </c>
      <c r="C76" s="177" t="str">
        <f>IFERROR(IF(VLOOKUP($A76,TableHandbook[],3,FALSE)=0,"",VLOOKUP($A76,TableHandbook[],3,FALSE)),"")</f>
        <v/>
      </c>
      <c r="D76" s="178" t="str">
        <f>IFERROR(IF(VLOOKUP($A76,TableHandbook[],4,FALSE)=0,"",VLOOKUP($A76,TableHandbook[],4,FALSE)),"")</f>
        <v>Discovering Marketing</v>
      </c>
      <c r="E76" s="179"/>
      <c r="F76" s="180" t="str">
        <f>IFERROR(IF(VLOOKUP($A76,TableHandbook[],6,FALSE)=0,"",VLOOKUP($A76,TableHandbook[],6,FALSE)),"")</f>
        <v>None</v>
      </c>
      <c r="G76" s="179">
        <f>IFERROR(IF(VLOOKUP($A76,TableHandbook[],5,FALSE)=0,"",VLOOKUP($A76,TableHandbook[],5,FALSE)),"")</f>
        <v>25</v>
      </c>
      <c r="H76" s="181" t="str">
        <f>IFERROR(VLOOKUP($A76,TableHandbook[],H$2,FALSE),"")</f>
        <v>Y</v>
      </c>
      <c r="I76" s="182" t="str">
        <f>IFERROR(VLOOKUP($A76,TableHandbook[],I$2,FALSE),"")</f>
        <v>Y</v>
      </c>
      <c r="J76" s="183" t="str">
        <f>IFERROR(VLOOKUP($A76,TableHandbook[],J$2,FALSE),"")</f>
        <v>Y</v>
      </c>
      <c r="K76" s="184" t="str">
        <f>IFERROR(VLOOKUP($A76,TableHandbook[],K$2,FALSE),"")</f>
        <v>Y</v>
      </c>
      <c r="L76" s="62"/>
      <c r="M76" s="140">
        <v>5</v>
      </c>
    </row>
    <row r="77" spans="1:15" x14ac:dyDescent="0.3">
      <c r="A77" s="176" t="str">
        <f t="shared" si="13"/>
        <v>PUBR2002</v>
      </c>
      <c r="B77" s="177">
        <f>IFERROR(IF(VLOOKUP($A77,TableHandbook[],2,FALSE)=0,"",VLOOKUP($A77,TableHandbook[],2,FALSE)),"")</f>
        <v>3</v>
      </c>
      <c r="C77" s="177" t="str">
        <f>IFERROR(IF(VLOOKUP($A77,TableHandbook[],3,FALSE)=0,"",VLOOKUP($A77,TableHandbook[],3,FALSE)),"")</f>
        <v/>
      </c>
      <c r="D77" s="178" t="str">
        <f>IFERROR(IF(VLOOKUP($A77,TableHandbook[],4,FALSE)=0,"",VLOOKUP($A77,TableHandbook[],4,FALSE)),"")</f>
        <v>Discovering Public Relations</v>
      </c>
      <c r="E77" s="179"/>
      <c r="F77" s="180" t="str">
        <f>IFERROR(IF(VLOOKUP($A77,TableHandbook[],6,FALSE)=0,"",VLOOKUP($A77,TableHandbook[],6,FALSE)),"")</f>
        <v>None</v>
      </c>
      <c r="G77" s="179">
        <f>IFERROR(IF(VLOOKUP($A77,TableHandbook[],5,FALSE)=0,"",VLOOKUP($A77,TableHandbook[],5,FALSE)),"")</f>
        <v>25</v>
      </c>
      <c r="H77" s="181" t="str">
        <f>IFERROR(VLOOKUP($A77,TableHandbook[],H$2,FALSE),"")</f>
        <v>Y</v>
      </c>
      <c r="I77" s="182" t="str">
        <f>IFERROR(VLOOKUP($A77,TableHandbook[],I$2,FALSE),"")</f>
        <v/>
      </c>
      <c r="J77" s="183" t="str">
        <f>IFERROR(VLOOKUP($A77,TableHandbook[],J$2,FALSE),"")</f>
        <v>Y</v>
      </c>
      <c r="K77" s="184" t="str">
        <f>IFERROR(VLOOKUP($A77,TableHandbook[],K$2,FALSE),"")</f>
        <v/>
      </c>
      <c r="L77" s="62"/>
      <c r="M77" s="140">
        <v>6</v>
      </c>
    </row>
    <row r="78" spans="1:15" x14ac:dyDescent="0.3">
      <c r="A78" s="176" t="str">
        <f t="shared" si="13"/>
        <v>PWRP1003</v>
      </c>
      <c r="B78" s="177">
        <f>IFERROR(IF(VLOOKUP($A78,TableHandbook[],2,FALSE)=0,"",VLOOKUP($A78,TableHandbook[],2,FALSE)),"")</f>
        <v>2</v>
      </c>
      <c r="C78" s="177" t="str">
        <f>IFERROR(IF(VLOOKUP($A78,TableHandbook[],3,FALSE)=0,"",VLOOKUP($A78,TableHandbook[],3,FALSE)),"")</f>
        <v/>
      </c>
      <c r="D78" s="178" t="str">
        <f>IFERROR(IF(VLOOKUP($A78,TableHandbook[],4,FALSE)=0,"",VLOOKUP($A78,TableHandbook[],4,FALSE)),"")</f>
        <v>Skills in Professional Writing</v>
      </c>
      <c r="E78" s="179"/>
      <c r="F78" s="180" t="str">
        <f>IFERROR(IF(VLOOKUP($A78,TableHandbook[],6,FALSE)=0,"",VLOOKUP($A78,TableHandbook[],6,FALSE)),"")</f>
        <v>None</v>
      </c>
      <c r="G78" s="179">
        <f>IFERROR(IF(VLOOKUP($A78,TableHandbook[],5,FALSE)=0,"",VLOOKUP($A78,TableHandbook[],5,FALSE)),"")</f>
        <v>25</v>
      </c>
      <c r="H78" s="181" t="str">
        <f>IFERROR(VLOOKUP($A78,TableHandbook[],H$2,FALSE),"")</f>
        <v/>
      </c>
      <c r="I78" s="182" t="str">
        <f>IFERROR(VLOOKUP($A78,TableHandbook[],I$2,FALSE),"")</f>
        <v/>
      </c>
      <c r="J78" s="183" t="str">
        <f>IFERROR(VLOOKUP($A78,TableHandbook[],J$2,FALSE),"")</f>
        <v>Y</v>
      </c>
      <c r="K78" s="184" t="str">
        <f>IFERROR(VLOOKUP($A78,TableHandbook[],K$2,FALSE),"")</f>
        <v/>
      </c>
      <c r="L78" s="62"/>
      <c r="M78" s="140">
        <v>7</v>
      </c>
    </row>
    <row r="79" spans="1:15" x14ac:dyDescent="0.3">
      <c r="A79" s="176" t="str">
        <f t="shared" si="13"/>
        <v>SPRO1000</v>
      </c>
      <c r="B79" s="177">
        <f>IFERROR(IF(VLOOKUP($A79,TableHandbook[],2,FALSE)=0,"",VLOOKUP($A79,TableHandbook[],2,FALSE)),"")</f>
        <v>3</v>
      </c>
      <c r="C79" s="177" t="str">
        <f>IFERROR(IF(VLOOKUP($A79,TableHandbook[],3,FALSE)=0,"",VLOOKUP($A79,TableHandbook[],3,FALSE)),"")</f>
        <v/>
      </c>
      <c r="D79" s="178" t="str">
        <f>IFERROR(IF(VLOOKUP($A79,TableHandbook[],4,FALSE)=0,"",VLOOKUP($A79,TableHandbook[],4,FALSE)),"")</f>
        <v>Introduction to Screen Practice</v>
      </c>
      <c r="E79" s="179"/>
      <c r="F79" s="180" t="str">
        <f>IFERROR(IF(VLOOKUP($A79,TableHandbook[],6,FALSE)=0,"",VLOOKUP($A79,TableHandbook[],6,FALSE)),"")</f>
        <v>None</v>
      </c>
      <c r="G79" s="179">
        <f>IFERROR(IF(VLOOKUP($A79,TableHandbook[],5,FALSE)=0,"",VLOOKUP($A79,TableHandbook[],5,FALSE)),"")</f>
        <v>25</v>
      </c>
      <c r="H79" s="181" t="str">
        <f>IFERROR(VLOOKUP($A79,TableHandbook[],H$2,FALSE),"")</f>
        <v>Y</v>
      </c>
      <c r="I79" s="182" t="str">
        <f>IFERROR(VLOOKUP($A79,TableHandbook[],I$2,FALSE),"")</f>
        <v/>
      </c>
      <c r="J79" s="183" t="str">
        <f>IFERROR(VLOOKUP($A79,TableHandbook[],J$2,FALSE),"")</f>
        <v>Y</v>
      </c>
      <c r="K79" s="184" t="str">
        <f>IFERROR(VLOOKUP($A79,TableHandbook[],K$2,FALSE),"")</f>
        <v/>
      </c>
      <c r="L79" s="62"/>
      <c r="M79" s="140">
        <v>8</v>
      </c>
    </row>
    <row r="80" spans="1:15" ht="15.6" x14ac:dyDescent="0.3">
      <c r="A80" s="208"/>
      <c r="B80" s="208"/>
      <c r="C80" s="208"/>
      <c r="D80" s="208"/>
      <c r="E80" s="208"/>
      <c r="F80" s="208"/>
      <c r="G80" s="208"/>
      <c r="H80" s="208"/>
      <c r="I80" s="208"/>
      <c r="J80" s="208"/>
      <c r="K80" s="208"/>
      <c r="L80" s="208"/>
      <c r="M80" s="140"/>
    </row>
    <row r="81" spans="1:12" ht="32.25" customHeight="1" x14ac:dyDescent="0.3">
      <c r="A81" s="209" t="s">
        <v>38</v>
      </c>
      <c r="B81" s="209"/>
      <c r="C81" s="209"/>
      <c r="D81" s="209"/>
      <c r="E81" s="209"/>
      <c r="F81" s="209"/>
      <c r="G81" s="209"/>
      <c r="H81" s="209"/>
      <c r="I81" s="209"/>
      <c r="J81" s="209"/>
      <c r="K81" s="209"/>
      <c r="L81" s="209"/>
    </row>
    <row r="82" spans="1:12" x14ac:dyDescent="0.3">
      <c r="A82" s="210"/>
      <c r="B82" s="211"/>
      <c r="C82" s="211"/>
      <c r="D82" s="211"/>
      <c r="E82" s="212"/>
      <c r="F82" s="211"/>
      <c r="G82" s="211"/>
      <c r="H82" s="211"/>
      <c r="I82" s="211"/>
      <c r="J82" s="211"/>
      <c r="K82" s="211"/>
      <c r="L82" s="213"/>
    </row>
    <row r="83" spans="1:12" ht="15" customHeight="1" x14ac:dyDescent="0.3">
      <c r="A83" s="214" t="s">
        <v>39</v>
      </c>
      <c r="B83" s="214"/>
      <c r="C83" s="214"/>
      <c r="D83" s="214"/>
      <c r="E83" s="215"/>
      <c r="F83" s="157"/>
      <c r="G83" s="216"/>
      <c r="H83" s="216"/>
      <c r="I83" s="216"/>
      <c r="J83" s="216"/>
      <c r="K83" s="216"/>
      <c r="L83" s="216" t="s">
        <v>40</v>
      </c>
    </row>
  </sheetData>
  <sheetProtection algorithmName="SHA-512" hashValue="6sMO0hUO6fLWk6IJCVBvZUf2DD51VQi0Gn4i+r4RT+O030bKhG7t0J2wMx7yOCAygHYKld9TIAFWfExAiX16vQ==" saltValue="Ff7ZLZUnyGpOTRHgLS7zlw==" spinCount="100000" sheet="1" objects="1" scenarios="1" formatCells="0" formatColumns="0" formatRows="0"/>
  <mergeCells count="2">
    <mergeCell ref="A3:D3"/>
    <mergeCell ref="A81:L81"/>
  </mergeCells>
  <conditionalFormatting sqref="A43:L51 A73:L79">
    <cfRule type="expression" dxfId="44" priority="8">
      <formula>LEFT($D43,5)="Study"</formula>
    </cfRule>
  </conditionalFormatting>
  <conditionalFormatting sqref="A55:L69 A43:L51 A73:L79">
    <cfRule type="expression" dxfId="43" priority="7">
      <formula>$A43=""</formula>
    </cfRule>
  </conditionalFormatting>
  <conditionalFormatting sqref="A55:L69">
    <cfRule type="expression" dxfId="42" priority="5">
      <formula>LEFT($D55,5)="Study"</formula>
    </cfRule>
  </conditionalFormatting>
  <conditionalFormatting sqref="D5:D8">
    <cfRule type="containsText" dxfId="41" priority="6" operator="containsText" text="Choose">
      <formula>NOT(ISERROR(SEARCH("Choose",D5)))</formula>
    </cfRule>
  </conditionalFormatting>
  <conditionalFormatting sqref="H11:K19 H21:K29 H31:K39">
    <cfRule type="expression" dxfId="40" priority="2">
      <formula>$E11=LEFT(H$10,4)</formula>
    </cfRule>
  </conditionalFormatting>
  <dataValidations count="2">
    <dataValidation type="list" allowBlank="1" showInputMessage="1" showErrorMessage="1" sqref="L25 L35 L15" xr:uid="{00000000-0002-0000-0000-000000000000}"/>
    <dataValidation type="list" showInputMessage="1" showErrorMessage="1" sqref="D7" xr:uid="{00000000-0002-0000-0000-000001000000}">
      <formula1>INDIRECT($L$8)</formula1>
    </dataValidation>
  </dataValidations>
  <printOptions horizontalCentered="1"/>
  <pageMargins left="0.31496062992125984" right="0.31496062992125984" top="0.39370078740157483" bottom="0.39370078740157483" header="0.19685039370078741" footer="0.19685039370078741"/>
  <pageSetup paperSize="9" scale="55" orientation="portrait" r:id="rId1"/>
  <rowBreaks count="1" manualBreakCount="1">
    <brk id="69" max="1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Unitsets!$A$28:$A$30</xm:f>
          </x14:formula1>
          <xm:sqref>D8</xm:sqref>
        </x14:dataValidation>
        <x14:dataValidation type="list" showInputMessage="1" showErrorMessage="1" xr:uid="{00000000-0002-0000-0000-000003000000}">
          <x14:formula1>
            <xm:f>Unitsets!$A$8:$A$11</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9"/>
  <sheetViews>
    <sheetView zoomScale="85" zoomScaleNormal="85" workbookViewId="0">
      <selection activeCell="H46" sqref="H46"/>
    </sheetView>
  </sheetViews>
  <sheetFormatPr defaultRowHeight="15.6" x14ac:dyDescent="0.3"/>
  <cols>
    <col min="1" max="1" width="42.3984375" style="11" bestFit="1" customWidth="1"/>
    <col min="2" max="2" width="13.19921875" style="5" bestFit="1" customWidth="1"/>
    <col min="3" max="3" width="12.69921875" style="5" bestFit="1" customWidth="1"/>
    <col min="4" max="4" width="15.69921875" style="5" customWidth="1"/>
    <col min="5" max="5" width="14.8984375" style="5" bestFit="1" customWidth="1"/>
    <col min="6" max="6" width="19.09765625" style="5" bestFit="1" customWidth="1"/>
    <col min="7" max="7" width="19.3984375" style="5" bestFit="1" customWidth="1"/>
    <col min="8" max="8" width="18.19921875" style="5" customWidth="1"/>
    <col min="9" max="9" width="26.59765625" style="5" bestFit="1" customWidth="1"/>
    <col min="10" max="10" width="19.5" style="5" bestFit="1" customWidth="1"/>
    <col min="11" max="11" width="2.5" bestFit="1" customWidth="1"/>
    <col min="12" max="12" width="7.8984375" customWidth="1"/>
    <col min="13" max="13" width="15.59765625" bestFit="1" customWidth="1"/>
    <col min="14" max="14" width="15.8984375" customWidth="1"/>
    <col min="15" max="15" width="15.8984375" bestFit="1" customWidth="1"/>
    <col min="16" max="16" width="12.3984375" bestFit="1" customWidth="1"/>
    <col min="17" max="17" width="12.5" bestFit="1" customWidth="1"/>
    <col min="18" max="18" width="16.8984375" bestFit="1" customWidth="1"/>
    <col min="19" max="20" width="12.5" bestFit="1" customWidth="1"/>
    <col min="21" max="21" width="11.5" bestFit="1" customWidth="1"/>
    <col min="22" max="22" width="11.19921875" bestFit="1" customWidth="1"/>
    <col min="66" max="66" width="13.69921875" bestFit="1" customWidth="1"/>
    <col min="68" max="68" width="13.69921875" bestFit="1" customWidth="1"/>
  </cols>
  <sheetData>
    <row r="1" spans="1:23" x14ac:dyDescent="0.3">
      <c r="A1" s="13" t="s">
        <v>11</v>
      </c>
      <c r="B1" s="14"/>
      <c r="C1" s="14"/>
      <c r="D1" s="14"/>
    </row>
    <row r="2" spans="1:23" x14ac:dyDescent="0.3">
      <c r="A2" s="13"/>
      <c r="B2" s="14"/>
      <c r="C2" s="14"/>
      <c r="D2" s="14"/>
      <c r="J2"/>
      <c r="L2" s="19"/>
      <c r="M2" s="7"/>
      <c r="N2" s="8"/>
      <c r="O2" s="7"/>
      <c r="P2" s="7"/>
      <c r="Q2" s="7"/>
      <c r="R2" s="7"/>
      <c r="S2" s="7"/>
      <c r="T2" s="7"/>
    </row>
    <row r="3" spans="1:23" x14ac:dyDescent="0.3">
      <c r="A3" s="47" t="s">
        <v>41</v>
      </c>
      <c r="B3"/>
      <c r="C3"/>
      <c r="D3"/>
      <c r="E3"/>
      <c r="F3"/>
      <c r="G3"/>
      <c r="H3"/>
      <c r="I3"/>
      <c r="J3" s="37" t="s">
        <v>42</v>
      </c>
      <c r="K3" s="1">
        <v>1</v>
      </c>
      <c r="L3" s="21"/>
      <c r="M3" s="9" t="s">
        <v>43</v>
      </c>
      <c r="N3" s="21"/>
      <c r="O3" s="10" t="s">
        <v>44</v>
      </c>
      <c r="W3" s="18"/>
    </row>
    <row r="4" spans="1:23" x14ac:dyDescent="0.3">
      <c r="A4" s="5" t="s">
        <v>45</v>
      </c>
      <c r="B4" s="11" t="s">
        <v>0</v>
      </c>
      <c r="C4" s="5" t="s">
        <v>46</v>
      </c>
      <c r="D4" s="5" t="s">
        <v>47</v>
      </c>
      <c r="E4" s="5" t="s">
        <v>48</v>
      </c>
      <c r="F4" s="5" t="s">
        <v>49</v>
      </c>
      <c r="G4" s="5" t="s">
        <v>50</v>
      </c>
      <c r="H4" s="5" t="s">
        <v>51</v>
      </c>
      <c r="K4" s="17">
        <v>2</v>
      </c>
      <c r="L4" s="28" t="s">
        <v>52</v>
      </c>
      <c r="M4" s="49" t="s">
        <v>53</v>
      </c>
      <c r="N4" s="28" t="s">
        <v>54</v>
      </c>
      <c r="O4" s="49" t="s">
        <v>55</v>
      </c>
      <c r="P4" s="74" t="s">
        <v>56</v>
      </c>
      <c r="W4" s="18"/>
    </row>
    <row r="5" spans="1:23" x14ac:dyDescent="0.3">
      <c r="A5" s="11" t="s">
        <v>11</v>
      </c>
      <c r="B5" s="82" t="s">
        <v>57</v>
      </c>
      <c r="C5" s="79" t="s">
        <v>58</v>
      </c>
      <c r="D5" s="80">
        <v>45658</v>
      </c>
      <c r="E5" s="79">
        <v>7</v>
      </c>
      <c r="F5" s="80">
        <v>45658</v>
      </c>
      <c r="G5" s="61" t="s">
        <v>59</v>
      </c>
      <c r="H5" s="79" t="s">
        <v>60</v>
      </c>
      <c r="I5" s="81" t="s">
        <v>61</v>
      </c>
      <c r="K5" s="17">
        <v>3</v>
      </c>
      <c r="L5" s="29" t="s">
        <v>52</v>
      </c>
      <c r="M5" s="50" t="s">
        <v>62</v>
      </c>
      <c r="N5" s="29" t="s">
        <v>54</v>
      </c>
      <c r="O5" s="50" t="s">
        <v>63</v>
      </c>
      <c r="W5" s="18"/>
    </row>
    <row r="6" spans="1:23" x14ac:dyDescent="0.3">
      <c r="K6" s="17">
        <v>4</v>
      </c>
      <c r="L6" s="29" t="s">
        <v>52</v>
      </c>
      <c r="M6" s="50" t="s">
        <v>64</v>
      </c>
      <c r="N6" s="29" t="s">
        <v>54</v>
      </c>
      <c r="O6" s="50" t="s">
        <v>64</v>
      </c>
      <c r="W6" s="18"/>
    </row>
    <row r="7" spans="1:23" x14ac:dyDescent="0.3">
      <c r="A7" s="47" t="s">
        <v>65</v>
      </c>
      <c r="F7" s="16"/>
      <c r="G7" s="16"/>
      <c r="H7" s="16"/>
      <c r="K7" s="17">
        <v>5</v>
      </c>
      <c r="L7" s="29" t="s">
        <v>52</v>
      </c>
      <c r="M7" s="50" t="s">
        <v>64</v>
      </c>
      <c r="N7" s="29" t="s">
        <v>54</v>
      </c>
      <c r="O7" s="50" t="s">
        <v>64</v>
      </c>
    </row>
    <row r="8" spans="1:23" x14ac:dyDescent="0.3">
      <c r="A8" s="5" t="s">
        <v>66</v>
      </c>
      <c r="B8" s="11" t="s">
        <v>0</v>
      </c>
      <c r="C8" s="5" t="s">
        <v>46</v>
      </c>
      <c r="D8" s="5" t="s">
        <v>47</v>
      </c>
      <c r="E8" s="5" t="s">
        <v>48</v>
      </c>
      <c r="F8" s="5" t="s">
        <v>49</v>
      </c>
      <c r="G8" s="5" t="s">
        <v>50</v>
      </c>
      <c r="K8" s="17">
        <v>6</v>
      </c>
      <c r="L8" s="29" t="s">
        <v>54</v>
      </c>
      <c r="M8" s="50" t="s">
        <v>55</v>
      </c>
      <c r="N8" s="29" t="s">
        <v>52</v>
      </c>
      <c r="O8" s="50" t="s">
        <v>53</v>
      </c>
    </row>
    <row r="9" spans="1:23" x14ac:dyDescent="0.3">
      <c r="A9" s="5" t="s">
        <v>67</v>
      </c>
      <c r="B9" s="58" t="s">
        <v>68</v>
      </c>
      <c r="C9" s="58" t="s">
        <v>69</v>
      </c>
      <c r="D9" s="57">
        <v>44197</v>
      </c>
      <c r="E9" s="58">
        <v>1</v>
      </c>
      <c r="F9" s="57">
        <v>44197</v>
      </c>
      <c r="G9" s="61" t="s">
        <v>70</v>
      </c>
      <c r="H9" s="6"/>
      <c r="K9" s="17">
        <v>7</v>
      </c>
      <c r="L9" s="29" t="s">
        <v>54</v>
      </c>
      <c r="M9" s="50" t="s">
        <v>63</v>
      </c>
      <c r="N9" s="29" t="s">
        <v>52</v>
      </c>
      <c r="O9" s="50" t="s">
        <v>62</v>
      </c>
    </row>
    <row r="10" spans="1:23" x14ac:dyDescent="0.3">
      <c r="A10" s="86" t="s">
        <v>14</v>
      </c>
      <c r="B10" s="79" t="s">
        <v>71</v>
      </c>
      <c r="C10" s="79" t="s">
        <v>72</v>
      </c>
      <c r="D10" s="80">
        <v>45658</v>
      </c>
      <c r="E10" s="79">
        <v>3</v>
      </c>
      <c r="F10" s="80">
        <v>45658</v>
      </c>
      <c r="G10" s="79" t="s">
        <v>70</v>
      </c>
      <c r="H10" s="6"/>
      <c r="K10" s="17">
        <v>8</v>
      </c>
      <c r="L10" s="29" t="s">
        <v>54</v>
      </c>
      <c r="M10" s="50" t="s">
        <v>64</v>
      </c>
      <c r="N10" s="29" t="s">
        <v>52</v>
      </c>
      <c r="O10" s="50" t="s">
        <v>64</v>
      </c>
    </row>
    <row r="11" spans="1:23" x14ac:dyDescent="0.3">
      <c r="A11" s="5" t="s">
        <v>73</v>
      </c>
      <c r="B11" s="58" t="s">
        <v>74</v>
      </c>
      <c r="C11" s="58" t="s">
        <v>69</v>
      </c>
      <c r="D11" s="57">
        <v>44197</v>
      </c>
      <c r="E11" s="58">
        <v>1</v>
      </c>
      <c r="F11" s="57">
        <v>44197</v>
      </c>
      <c r="G11" s="61" t="s">
        <v>70</v>
      </c>
      <c r="H11" s="6"/>
      <c r="K11" s="17">
        <v>9</v>
      </c>
      <c r="L11" s="29" t="s">
        <v>54</v>
      </c>
      <c r="M11" s="50" t="s">
        <v>64</v>
      </c>
      <c r="N11" s="30" t="s">
        <v>52</v>
      </c>
      <c r="O11" s="50" t="s">
        <v>64</v>
      </c>
    </row>
    <row r="12" spans="1:23" x14ac:dyDescent="0.3">
      <c r="A12" s="5" t="s">
        <v>75</v>
      </c>
      <c r="B12" s="61" t="s">
        <v>76</v>
      </c>
      <c r="C12" s="61" t="s">
        <v>69</v>
      </c>
      <c r="D12" s="71">
        <v>44197</v>
      </c>
      <c r="E12" s="61" t="s">
        <v>77</v>
      </c>
      <c r="F12" s="71">
        <v>45657</v>
      </c>
      <c r="G12" s="61" t="s">
        <v>70</v>
      </c>
      <c r="H12" s="6"/>
      <c r="I12" s="16"/>
      <c r="K12" s="17">
        <v>10</v>
      </c>
      <c r="L12" s="31" t="s">
        <v>78</v>
      </c>
      <c r="M12" s="49" t="s">
        <v>79</v>
      </c>
      <c r="N12" s="31" t="s">
        <v>80</v>
      </c>
      <c r="O12" s="49" t="s">
        <v>81</v>
      </c>
    </row>
    <row r="13" spans="1:23" x14ac:dyDescent="0.3">
      <c r="A13" s="5"/>
      <c r="B13" s="58"/>
      <c r="C13" s="58"/>
      <c r="D13" s="4"/>
      <c r="E13" s="57"/>
      <c r="F13" s="57"/>
      <c r="G13" s="6"/>
      <c r="H13" s="16"/>
      <c r="K13" s="17">
        <v>11</v>
      </c>
      <c r="L13" s="32" t="s">
        <v>78</v>
      </c>
      <c r="M13" s="50" t="s">
        <v>82</v>
      </c>
      <c r="N13" s="32" t="s">
        <v>80</v>
      </c>
      <c r="O13" s="50" t="s">
        <v>82</v>
      </c>
    </row>
    <row r="14" spans="1:23" x14ac:dyDescent="0.3">
      <c r="A14" s="47" t="s">
        <v>83</v>
      </c>
      <c r="B14"/>
      <c r="C14"/>
      <c r="D14"/>
      <c r="E14"/>
      <c r="F14" s="16"/>
      <c r="G14" s="16"/>
      <c r="I14" s="6"/>
      <c r="K14" s="17">
        <v>12</v>
      </c>
      <c r="L14" s="32" t="s">
        <v>78</v>
      </c>
      <c r="M14" s="50" t="s">
        <v>82</v>
      </c>
      <c r="N14" s="32" t="s">
        <v>80</v>
      </c>
      <c r="O14" s="50" t="s">
        <v>82</v>
      </c>
    </row>
    <row r="15" spans="1:23" x14ac:dyDescent="0.3">
      <c r="A15" s="5" t="s">
        <v>84</v>
      </c>
      <c r="B15" s="11" t="s">
        <v>0</v>
      </c>
      <c r="C15" s="5" t="s">
        <v>46</v>
      </c>
      <c r="D15" s="5" t="s">
        <v>47</v>
      </c>
      <c r="E15" s="5" t="s">
        <v>48</v>
      </c>
      <c r="F15" s="5" t="s">
        <v>49</v>
      </c>
      <c r="G15" s="5" t="s">
        <v>50</v>
      </c>
      <c r="H15" s="6"/>
      <c r="I15" s="6"/>
      <c r="K15" s="17">
        <v>13</v>
      </c>
      <c r="L15" s="32" t="s">
        <v>78</v>
      </c>
      <c r="M15" s="50" t="s">
        <v>82</v>
      </c>
      <c r="N15" s="32" t="s">
        <v>80</v>
      </c>
      <c r="O15" s="50" t="s">
        <v>82</v>
      </c>
    </row>
    <row r="16" spans="1:23" x14ac:dyDescent="0.3">
      <c r="A16" s="72" t="s">
        <v>67</v>
      </c>
      <c r="B16" s="58" t="s">
        <v>68</v>
      </c>
      <c r="C16" s="58" t="s">
        <v>69</v>
      </c>
      <c r="D16" s="57">
        <v>44197</v>
      </c>
      <c r="E16" s="58">
        <v>1</v>
      </c>
      <c r="F16" s="57">
        <v>44197</v>
      </c>
      <c r="G16" s="61" t="s">
        <v>70</v>
      </c>
      <c r="H16" s="6"/>
      <c r="I16" s="6"/>
      <c r="K16" s="17">
        <v>14</v>
      </c>
      <c r="L16" s="32" t="s">
        <v>80</v>
      </c>
      <c r="M16" s="50" t="s">
        <v>81</v>
      </c>
      <c r="N16" s="32" t="s">
        <v>78</v>
      </c>
      <c r="O16" s="50" t="s">
        <v>79</v>
      </c>
    </row>
    <row r="17" spans="1:21" x14ac:dyDescent="0.3">
      <c r="A17" s="72" t="s">
        <v>17</v>
      </c>
      <c r="B17" s="58" t="s">
        <v>85</v>
      </c>
      <c r="C17" s="58" t="s">
        <v>69</v>
      </c>
      <c r="D17" s="57">
        <v>44197</v>
      </c>
      <c r="E17" s="58">
        <v>1</v>
      </c>
      <c r="F17" s="57">
        <v>44197</v>
      </c>
      <c r="G17" s="61" t="s">
        <v>70</v>
      </c>
      <c r="H17" s="6"/>
      <c r="I17" s="16"/>
      <c r="K17" s="17">
        <v>15</v>
      </c>
      <c r="L17" s="32" t="s">
        <v>80</v>
      </c>
      <c r="M17" s="50" t="s">
        <v>82</v>
      </c>
      <c r="N17" s="32" t="s">
        <v>78</v>
      </c>
      <c r="O17" s="50" t="s">
        <v>82</v>
      </c>
    </row>
    <row r="18" spans="1:21" x14ac:dyDescent="0.3">
      <c r="A18" s="73" t="s">
        <v>86</v>
      </c>
      <c r="B18" s="58" t="s">
        <v>87</v>
      </c>
      <c r="C18" s="58" t="s">
        <v>69</v>
      </c>
      <c r="D18" s="57">
        <v>44197</v>
      </c>
      <c r="E18" s="58">
        <v>1</v>
      </c>
      <c r="F18" s="57">
        <v>44197</v>
      </c>
      <c r="G18" s="61" t="s">
        <v>70</v>
      </c>
      <c r="H18" s="6"/>
      <c r="K18" s="17">
        <v>16</v>
      </c>
      <c r="L18" s="32" t="s">
        <v>80</v>
      </c>
      <c r="M18" s="50" t="s">
        <v>82</v>
      </c>
      <c r="N18" s="32" t="s">
        <v>78</v>
      </c>
      <c r="O18" s="50" t="s">
        <v>82</v>
      </c>
    </row>
    <row r="19" spans="1:21" x14ac:dyDescent="0.3">
      <c r="A19" s="86" t="s">
        <v>14</v>
      </c>
      <c r="B19" s="79" t="s">
        <v>71</v>
      </c>
      <c r="C19" s="79" t="s">
        <v>72</v>
      </c>
      <c r="D19" s="80">
        <v>45658</v>
      </c>
      <c r="E19" s="79">
        <v>3</v>
      </c>
      <c r="F19" s="80">
        <v>45658</v>
      </c>
      <c r="G19" s="79" t="s">
        <v>70</v>
      </c>
      <c r="H19" s="6"/>
      <c r="I19" s="6"/>
      <c r="K19" s="17">
        <v>17</v>
      </c>
      <c r="L19" s="33" t="s">
        <v>80</v>
      </c>
      <c r="M19" s="50" t="s">
        <v>82</v>
      </c>
      <c r="N19" s="33" t="s">
        <v>78</v>
      </c>
      <c r="O19" s="50" t="s">
        <v>82</v>
      </c>
    </row>
    <row r="20" spans="1:21" x14ac:dyDescent="0.3">
      <c r="A20" s="72" t="s">
        <v>88</v>
      </c>
      <c r="B20" s="58" t="s">
        <v>89</v>
      </c>
      <c r="C20" s="58" t="s">
        <v>72</v>
      </c>
      <c r="D20" s="57">
        <v>45292</v>
      </c>
      <c r="E20" s="58">
        <v>2</v>
      </c>
      <c r="F20" s="57">
        <v>45292</v>
      </c>
      <c r="G20" s="61" t="s">
        <v>70</v>
      </c>
      <c r="H20" s="6"/>
      <c r="I20" s="6"/>
      <c r="K20" s="17">
        <v>18</v>
      </c>
      <c r="L20" s="31" t="s">
        <v>90</v>
      </c>
      <c r="M20" s="49" t="s">
        <v>82</v>
      </c>
      <c r="N20" s="31" t="s">
        <v>91</v>
      </c>
      <c r="O20" s="49" t="s">
        <v>82</v>
      </c>
    </row>
    <row r="21" spans="1:21" x14ac:dyDescent="0.3">
      <c r="A21" s="72" t="s">
        <v>92</v>
      </c>
      <c r="B21" s="58" t="s">
        <v>93</v>
      </c>
      <c r="C21" s="58" t="s">
        <v>69</v>
      </c>
      <c r="D21" s="57">
        <v>44197</v>
      </c>
      <c r="E21" s="58">
        <v>1</v>
      </c>
      <c r="F21" s="57">
        <v>44197</v>
      </c>
      <c r="G21" s="61" t="s">
        <v>70</v>
      </c>
      <c r="H21" s="6"/>
      <c r="I21" s="6"/>
      <c r="K21" s="17">
        <v>19</v>
      </c>
      <c r="L21" s="32" t="s">
        <v>90</v>
      </c>
      <c r="M21" s="50" t="s">
        <v>82</v>
      </c>
      <c r="N21" s="32" t="s">
        <v>91</v>
      </c>
      <c r="O21" s="50" t="s">
        <v>82</v>
      </c>
    </row>
    <row r="22" spans="1:21" x14ac:dyDescent="0.3">
      <c r="A22" s="72" t="s">
        <v>94</v>
      </c>
      <c r="B22" s="58" t="s">
        <v>95</v>
      </c>
      <c r="C22" s="58" t="s">
        <v>69</v>
      </c>
      <c r="D22" s="57">
        <v>44197</v>
      </c>
      <c r="E22" s="58">
        <v>1</v>
      </c>
      <c r="F22" s="57">
        <v>44197</v>
      </c>
      <c r="G22" s="61" t="s">
        <v>70</v>
      </c>
      <c r="I22" s="6"/>
      <c r="K22" s="17">
        <v>20</v>
      </c>
      <c r="L22" s="32" t="s">
        <v>90</v>
      </c>
      <c r="M22" s="50" t="s">
        <v>82</v>
      </c>
      <c r="N22" s="32" t="s">
        <v>91</v>
      </c>
      <c r="O22" s="50" t="s">
        <v>82</v>
      </c>
    </row>
    <row r="23" spans="1:21" x14ac:dyDescent="0.3">
      <c r="A23" s="72" t="s">
        <v>73</v>
      </c>
      <c r="B23" s="58" t="s">
        <v>74</v>
      </c>
      <c r="C23" s="58" t="s">
        <v>69</v>
      </c>
      <c r="D23" s="57">
        <v>44197</v>
      </c>
      <c r="E23" s="58">
        <v>1</v>
      </c>
      <c r="F23" s="57">
        <v>44197</v>
      </c>
      <c r="G23" s="61" t="s">
        <v>70</v>
      </c>
      <c r="H23"/>
      <c r="I23" s="6"/>
      <c r="K23" s="17">
        <v>21</v>
      </c>
      <c r="L23" s="32" t="s">
        <v>90</v>
      </c>
      <c r="M23" s="50" t="s">
        <v>82</v>
      </c>
      <c r="N23" s="32" t="s">
        <v>91</v>
      </c>
      <c r="O23" s="50" t="s">
        <v>82</v>
      </c>
    </row>
    <row r="24" spans="1:21" x14ac:dyDescent="0.3">
      <c r="A24" s="72" t="s">
        <v>96</v>
      </c>
      <c r="B24" s="58" t="s">
        <v>97</v>
      </c>
      <c r="C24" s="58" t="s">
        <v>69</v>
      </c>
      <c r="D24" s="57">
        <v>45292</v>
      </c>
      <c r="E24" s="58">
        <v>1</v>
      </c>
      <c r="F24" s="57">
        <v>45292</v>
      </c>
      <c r="G24" s="61" t="s">
        <v>70</v>
      </c>
      <c r="H24"/>
      <c r="I24" s="6"/>
      <c r="K24" s="17">
        <v>22</v>
      </c>
      <c r="L24" s="32" t="s">
        <v>91</v>
      </c>
      <c r="M24" s="50" t="s">
        <v>82</v>
      </c>
      <c r="N24" s="32" t="s">
        <v>90</v>
      </c>
      <c r="O24" s="50" t="s">
        <v>82</v>
      </c>
    </row>
    <row r="25" spans="1:21" x14ac:dyDescent="0.3">
      <c r="A25" s="72" t="s">
        <v>75</v>
      </c>
      <c r="B25" s="61" t="s">
        <v>76</v>
      </c>
      <c r="C25" s="61" t="s">
        <v>69</v>
      </c>
      <c r="D25" s="71">
        <v>44197</v>
      </c>
      <c r="E25" s="61" t="s">
        <v>77</v>
      </c>
      <c r="F25" s="71">
        <v>45657</v>
      </c>
      <c r="G25" s="61" t="s">
        <v>70</v>
      </c>
      <c r="I25" s="6"/>
      <c r="K25" s="17">
        <v>23</v>
      </c>
      <c r="L25" s="32" t="s">
        <v>91</v>
      </c>
      <c r="M25" s="50" t="s">
        <v>82</v>
      </c>
      <c r="N25" s="32" t="s">
        <v>90</v>
      </c>
      <c r="O25" s="50" t="s">
        <v>82</v>
      </c>
    </row>
    <row r="26" spans="1:21" x14ac:dyDescent="0.3">
      <c r="F26"/>
      <c r="G26"/>
      <c r="K26" s="17">
        <v>24</v>
      </c>
      <c r="L26" s="32" t="s">
        <v>91</v>
      </c>
      <c r="M26" s="59" t="s">
        <v>98</v>
      </c>
      <c r="N26" s="32" t="s">
        <v>90</v>
      </c>
      <c r="O26" s="59" t="s">
        <v>98</v>
      </c>
    </row>
    <row r="27" spans="1:21" x14ac:dyDescent="0.3">
      <c r="A27" s="47" t="s">
        <v>99</v>
      </c>
      <c r="I27"/>
      <c r="K27" s="17">
        <v>25</v>
      </c>
      <c r="L27" s="33" t="s">
        <v>91</v>
      </c>
      <c r="M27" s="60" t="s">
        <v>100</v>
      </c>
      <c r="N27" s="33" t="s">
        <v>90</v>
      </c>
      <c r="O27" s="60" t="s">
        <v>100</v>
      </c>
    </row>
    <row r="28" spans="1:21" x14ac:dyDescent="0.3">
      <c r="A28" s="12" t="s">
        <v>101</v>
      </c>
      <c r="B28" s="15" t="s">
        <v>102</v>
      </c>
      <c r="C28" s="5" t="s">
        <v>103</v>
      </c>
      <c r="I28"/>
      <c r="L28" s="20"/>
      <c r="M28" s="26" t="s">
        <v>104</v>
      </c>
      <c r="O28" s="26" t="s">
        <v>104</v>
      </c>
    </row>
    <row r="29" spans="1:21" x14ac:dyDescent="0.3">
      <c r="A29" s="5" t="s">
        <v>19</v>
      </c>
      <c r="B29" s="6" t="s">
        <v>105</v>
      </c>
      <c r="C29" s="6" t="s">
        <v>106</v>
      </c>
      <c r="I29"/>
      <c r="J29"/>
    </row>
    <row r="30" spans="1:21" x14ac:dyDescent="0.3">
      <c r="A30" s="5" t="s">
        <v>107</v>
      </c>
      <c r="B30" s="6" t="s">
        <v>106</v>
      </c>
      <c r="C30" s="6" t="s">
        <v>105</v>
      </c>
      <c r="H30"/>
      <c r="I30"/>
      <c r="J30"/>
    </row>
    <row r="31" spans="1:21" x14ac:dyDescent="0.3">
      <c r="E31" s="16"/>
      <c r="H31"/>
      <c r="I31"/>
      <c r="J31"/>
    </row>
    <row r="32" spans="1:21" x14ac:dyDescent="0.3">
      <c r="A32" s="47" t="s">
        <v>108</v>
      </c>
      <c r="F32"/>
      <c r="G32"/>
      <c r="H32"/>
      <c r="I32"/>
      <c r="J32" s="37" t="s">
        <v>109</v>
      </c>
      <c r="L32" s="78"/>
      <c r="M32" s="75" t="s">
        <v>68</v>
      </c>
      <c r="N32" s="76" t="s">
        <v>71</v>
      </c>
      <c r="O32" s="76" t="s">
        <v>74</v>
      </c>
      <c r="P32" s="77" t="s">
        <v>85</v>
      </c>
      <c r="Q32" s="77" t="s">
        <v>87</v>
      </c>
      <c r="R32" s="77" t="s">
        <v>89</v>
      </c>
      <c r="S32" s="77" t="s">
        <v>93</v>
      </c>
      <c r="T32" s="77" t="s">
        <v>95</v>
      </c>
      <c r="U32" s="77" t="s">
        <v>97</v>
      </c>
    </row>
    <row r="33" spans="1:21" x14ac:dyDescent="0.3">
      <c r="A33" s="41" t="s">
        <v>84</v>
      </c>
      <c r="B33" s="42" t="s">
        <v>68</v>
      </c>
      <c r="F33"/>
      <c r="G33"/>
      <c r="H33"/>
      <c r="I33"/>
      <c r="J33"/>
      <c r="K33" s="17">
        <v>2</v>
      </c>
      <c r="L33" s="64" t="s">
        <v>110</v>
      </c>
      <c r="M33" s="35" t="s">
        <v>111</v>
      </c>
      <c r="N33" s="51" t="s">
        <v>111</v>
      </c>
      <c r="O33" s="51" t="s">
        <v>74</v>
      </c>
      <c r="P33" s="35" t="s">
        <v>111</v>
      </c>
      <c r="Q33" s="35" t="s">
        <v>111</v>
      </c>
      <c r="R33" s="35" t="s">
        <v>111</v>
      </c>
      <c r="S33" s="35" t="s">
        <v>111</v>
      </c>
      <c r="T33" s="35" t="s">
        <v>111</v>
      </c>
      <c r="U33" s="35" t="s">
        <v>97</v>
      </c>
    </row>
    <row r="34" spans="1:21" ht="15.75" customHeight="1" x14ac:dyDescent="0.3">
      <c r="A34" s="43" t="s">
        <v>17</v>
      </c>
      <c r="B34" s="44"/>
      <c r="F34"/>
      <c r="G34"/>
      <c r="H34"/>
      <c r="I34"/>
      <c r="J34"/>
      <c r="K34" s="17">
        <v>3</v>
      </c>
      <c r="L34" s="54" t="s">
        <v>112</v>
      </c>
      <c r="M34" s="36" t="s">
        <v>113</v>
      </c>
      <c r="N34" s="52" t="s">
        <v>114</v>
      </c>
      <c r="O34" s="52" t="s">
        <v>115</v>
      </c>
      <c r="P34" s="36" t="s">
        <v>116</v>
      </c>
      <c r="Q34" s="36" t="s">
        <v>116</v>
      </c>
      <c r="R34" s="36" t="s">
        <v>117</v>
      </c>
      <c r="S34" s="36" t="s">
        <v>116</v>
      </c>
      <c r="T34" s="36" t="s">
        <v>118</v>
      </c>
      <c r="U34" s="36" t="s">
        <v>119</v>
      </c>
    </row>
    <row r="35" spans="1:21" x14ac:dyDescent="0.3">
      <c r="A35" s="43" t="s">
        <v>86</v>
      </c>
      <c r="B35" s="44"/>
      <c r="F35"/>
      <c r="G35"/>
      <c r="H35"/>
      <c r="I35"/>
      <c r="J35"/>
      <c r="K35" s="17">
        <v>4</v>
      </c>
      <c r="L35" s="54" t="s">
        <v>120</v>
      </c>
      <c r="M35" s="36" t="s">
        <v>121</v>
      </c>
      <c r="N35" s="52" t="s">
        <v>121</v>
      </c>
      <c r="O35" s="52" t="s">
        <v>122</v>
      </c>
      <c r="P35" s="36" t="s">
        <v>123</v>
      </c>
      <c r="Q35" s="36" t="s">
        <v>121</v>
      </c>
      <c r="R35" s="36" t="s">
        <v>121</v>
      </c>
      <c r="S35" s="36" t="s">
        <v>121</v>
      </c>
      <c r="T35" s="36" t="s">
        <v>121</v>
      </c>
      <c r="U35" s="36" t="s">
        <v>124</v>
      </c>
    </row>
    <row r="36" spans="1:21" ht="15.75" customHeight="1" x14ac:dyDescent="0.3">
      <c r="A36" s="43" t="s">
        <v>14</v>
      </c>
      <c r="B36" s="44"/>
      <c r="F36"/>
      <c r="G36"/>
      <c r="H36"/>
      <c r="I36"/>
      <c r="J36"/>
      <c r="K36" s="17">
        <v>5</v>
      </c>
      <c r="L36" s="54" t="s">
        <v>125</v>
      </c>
      <c r="M36" s="36" t="s">
        <v>68</v>
      </c>
      <c r="N36" s="52" t="s">
        <v>71</v>
      </c>
      <c r="O36" s="52" t="s">
        <v>126</v>
      </c>
      <c r="P36" s="36" t="s">
        <v>121</v>
      </c>
      <c r="Q36" s="36" t="s">
        <v>87</v>
      </c>
      <c r="R36" s="36" t="s">
        <v>89</v>
      </c>
      <c r="S36" s="36" t="s">
        <v>93</v>
      </c>
      <c r="T36" s="36" t="s">
        <v>95</v>
      </c>
      <c r="U36" s="36" t="s">
        <v>127</v>
      </c>
    </row>
    <row r="37" spans="1:21" ht="15.75" customHeight="1" x14ac:dyDescent="0.3">
      <c r="A37" s="43" t="s">
        <v>88</v>
      </c>
      <c r="B37" s="44"/>
      <c r="D37" s="74" t="s">
        <v>128</v>
      </c>
      <c r="F37"/>
      <c r="G37"/>
      <c r="H37"/>
      <c r="I37"/>
      <c r="J37"/>
      <c r="K37" s="17">
        <v>6</v>
      </c>
      <c r="L37" s="54" t="s">
        <v>129</v>
      </c>
      <c r="M37" s="36" t="s">
        <v>130</v>
      </c>
      <c r="N37" s="52" t="s">
        <v>131</v>
      </c>
      <c r="O37" s="52" t="s">
        <v>121</v>
      </c>
      <c r="P37" s="36" t="s">
        <v>85</v>
      </c>
      <c r="Q37" s="36" t="s">
        <v>132</v>
      </c>
      <c r="R37" s="36" t="s">
        <v>133</v>
      </c>
      <c r="S37" s="36" t="s">
        <v>134</v>
      </c>
      <c r="T37" s="36" t="s">
        <v>135</v>
      </c>
      <c r="U37" s="36" t="s">
        <v>136</v>
      </c>
    </row>
    <row r="38" spans="1:21" x14ac:dyDescent="0.3">
      <c r="A38" s="43" t="s">
        <v>92</v>
      </c>
      <c r="B38" s="44"/>
      <c r="D38"/>
      <c r="F38"/>
      <c r="G38"/>
      <c r="H38"/>
      <c r="I38"/>
      <c r="J38"/>
      <c r="K38" s="17">
        <v>7</v>
      </c>
      <c r="L38" s="54" t="s">
        <v>137</v>
      </c>
      <c r="M38" s="36" t="s">
        <v>138</v>
      </c>
      <c r="N38" s="52" t="s">
        <v>139</v>
      </c>
      <c r="O38" s="52" t="s">
        <v>140</v>
      </c>
      <c r="P38" s="36" t="s">
        <v>141</v>
      </c>
      <c r="Q38" s="36" t="s">
        <v>142</v>
      </c>
      <c r="R38" s="36" t="s">
        <v>143</v>
      </c>
      <c r="S38" s="36" t="s">
        <v>144</v>
      </c>
      <c r="T38" s="36" t="s">
        <v>145</v>
      </c>
      <c r="U38" s="36"/>
    </row>
    <row r="39" spans="1:21" x14ac:dyDescent="0.3">
      <c r="A39" s="43" t="s">
        <v>146</v>
      </c>
      <c r="B39" s="44"/>
      <c r="D39"/>
      <c r="F39"/>
      <c r="G39"/>
      <c r="H39"/>
      <c r="I39"/>
      <c r="J39"/>
      <c r="K39" s="17">
        <v>8</v>
      </c>
      <c r="L39" s="54" t="s">
        <v>147</v>
      </c>
      <c r="M39" s="36" t="s">
        <v>148</v>
      </c>
      <c r="N39" s="52" t="s">
        <v>149</v>
      </c>
      <c r="O39" s="52" t="s">
        <v>150</v>
      </c>
      <c r="P39" s="36" t="s">
        <v>151</v>
      </c>
      <c r="Q39" s="36" t="s">
        <v>152</v>
      </c>
      <c r="R39" s="36" t="s">
        <v>121</v>
      </c>
      <c r="S39" s="36" t="s">
        <v>153</v>
      </c>
      <c r="T39" s="36" t="s">
        <v>154</v>
      </c>
      <c r="U39" s="36"/>
    </row>
    <row r="40" spans="1:21" x14ac:dyDescent="0.3">
      <c r="A40" s="43" t="s">
        <v>94</v>
      </c>
      <c r="B40" s="44"/>
      <c r="F40"/>
      <c r="G40"/>
      <c r="H40"/>
      <c r="I40"/>
      <c r="J40"/>
      <c r="K40" s="17">
        <v>9</v>
      </c>
      <c r="L40" s="54" t="s">
        <v>155</v>
      </c>
      <c r="M40" s="36" t="s">
        <v>156</v>
      </c>
      <c r="N40" s="52" t="s">
        <v>157</v>
      </c>
      <c r="O40" s="52" t="s">
        <v>158</v>
      </c>
      <c r="P40" s="36" t="s">
        <v>159</v>
      </c>
      <c r="Q40" s="36" t="s">
        <v>121</v>
      </c>
      <c r="R40" s="36" t="s">
        <v>160</v>
      </c>
      <c r="S40" s="36" t="s">
        <v>161</v>
      </c>
      <c r="T40" s="36" t="s">
        <v>121</v>
      </c>
      <c r="U40" s="36"/>
    </row>
    <row r="41" spans="1:21" x14ac:dyDescent="0.3">
      <c r="A41" s="45" t="s">
        <v>73</v>
      </c>
      <c r="B41" s="46"/>
      <c r="D41" s="5" t="s">
        <v>162</v>
      </c>
      <c r="F41"/>
      <c r="G41"/>
      <c r="H41" s="40">
        <v>45610</v>
      </c>
      <c r="J41"/>
      <c r="K41" s="17">
        <v>10</v>
      </c>
      <c r="L41" s="54" t="s">
        <v>163</v>
      </c>
      <c r="M41" s="36"/>
      <c r="N41" s="52"/>
      <c r="O41" s="52" t="s">
        <v>164</v>
      </c>
      <c r="P41" s="36" t="s">
        <v>121</v>
      </c>
      <c r="Q41" s="36" t="s">
        <v>165</v>
      </c>
      <c r="R41" s="36" t="s">
        <v>166</v>
      </c>
      <c r="S41" s="36"/>
      <c r="T41" s="36" t="s">
        <v>167</v>
      </c>
      <c r="U41" s="36"/>
    </row>
    <row r="42" spans="1:21" x14ac:dyDescent="0.3">
      <c r="A42" s="41" t="s">
        <v>84</v>
      </c>
      <c r="B42" s="42" t="s">
        <v>71</v>
      </c>
      <c r="D42" s="5" t="s">
        <v>168</v>
      </c>
      <c r="F42"/>
      <c r="G42"/>
      <c r="H42" s="92">
        <v>45610</v>
      </c>
      <c r="J42"/>
      <c r="K42" s="17">
        <v>11</v>
      </c>
      <c r="L42" s="54" t="s">
        <v>169</v>
      </c>
      <c r="M42" s="36"/>
      <c r="N42" s="52"/>
      <c r="O42" s="52"/>
      <c r="P42" s="36" t="s">
        <v>170</v>
      </c>
      <c r="Q42" s="36" t="s">
        <v>171</v>
      </c>
      <c r="R42" s="36" t="s">
        <v>172</v>
      </c>
      <c r="S42" s="36"/>
      <c r="T42" s="36" t="s">
        <v>173</v>
      </c>
      <c r="U42" s="36"/>
    </row>
    <row r="43" spans="1:21" x14ac:dyDescent="0.3">
      <c r="A43" s="43" t="s">
        <v>67</v>
      </c>
      <c r="B43" s="44"/>
      <c r="D43" s="5" t="s">
        <v>174</v>
      </c>
      <c r="F43"/>
      <c r="G43"/>
      <c r="H43" s="92">
        <v>45610</v>
      </c>
      <c r="J43"/>
      <c r="K43" s="17">
        <v>12</v>
      </c>
      <c r="L43" s="54" t="s">
        <v>175</v>
      </c>
      <c r="M43" s="36"/>
      <c r="N43" s="52"/>
      <c r="O43" s="52"/>
      <c r="P43" s="36" t="s">
        <v>176</v>
      </c>
      <c r="Q43" s="36" t="s">
        <v>177</v>
      </c>
      <c r="R43" s="36" t="s">
        <v>178</v>
      </c>
      <c r="S43" s="36"/>
      <c r="T43" s="36" t="s">
        <v>179</v>
      </c>
      <c r="U43" s="36"/>
    </row>
    <row r="44" spans="1:21" x14ac:dyDescent="0.3">
      <c r="A44" s="43" t="s">
        <v>17</v>
      </c>
      <c r="B44" s="44"/>
      <c r="D44" s="5" t="s">
        <v>180</v>
      </c>
      <c r="F44"/>
      <c r="H44" s="92">
        <v>45610</v>
      </c>
      <c r="J44"/>
      <c r="K44" s="17">
        <v>13</v>
      </c>
      <c r="L44" s="54" t="s">
        <v>181</v>
      </c>
      <c r="M44" s="36"/>
      <c r="N44" s="52"/>
      <c r="O44" s="52"/>
      <c r="P44" s="36" t="s">
        <v>182</v>
      </c>
      <c r="Q44" s="36"/>
      <c r="R44" s="36" t="s">
        <v>183</v>
      </c>
      <c r="S44" s="36"/>
      <c r="T44" s="36"/>
      <c r="U44" s="36"/>
    </row>
    <row r="45" spans="1:21" x14ac:dyDescent="0.3">
      <c r="A45" s="43" t="s">
        <v>86</v>
      </c>
      <c r="B45" s="44"/>
      <c r="D45" s="5" t="s">
        <v>184</v>
      </c>
      <c r="H45" s="92">
        <v>45631</v>
      </c>
      <c r="J45"/>
      <c r="K45" s="17">
        <v>14</v>
      </c>
      <c r="L45" s="54" t="s">
        <v>185</v>
      </c>
      <c r="M45" s="36"/>
      <c r="N45" s="52"/>
      <c r="O45" s="52"/>
      <c r="P45" s="36" t="s">
        <v>186</v>
      </c>
      <c r="Q45" s="36"/>
      <c r="R45" s="36"/>
      <c r="S45" s="36"/>
      <c r="T45" s="36"/>
      <c r="U45" s="36"/>
    </row>
    <row r="46" spans="1:21" x14ac:dyDescent="0.3">
      <c r="A46" s="43" t="s">
        <v>88</v>
      </c>
      <c r="B46" s="44"/>
      <c r="D46" s="5" t="s">
        <v>187</v>
      </c>
      <c r="H46" s="92">
        <v>45610</v>
      </c>
      <c r="J46"/>
      <c r="K46" s="17">
        <v>15</v>
      </c>
      <c r="L46" s="54" t="s">
        <v>188</v>
      </c>
      <c r="M46" s="36"/>
      <c r="N46" s="52"/>
      <c r="O46" s="52"/>
      <c r="P46" s="36"/>
      <c r="Q46" s="36"/>
      <c r="R46" s="36"/>
      <c r="S46" s="36"/>
      <c r="T46" s="36"/>
      <c r="U46" s="36"/>
    </row>
    <row r="47" spans="1:21" x14ac:dyDescent="0.3">
      <c r="A47" s="43" t="s">
        <v>92</v>
      </c>
      <c r="B47" s="44"/>
      <c r="D47" s="5" t="s">
        <v>189</v>
      </c>
      <c r="H47" s="92">
        <v>45610</v>
      </c>
      <c r="J47"/>
      <c r="K47" s="17">
        <v>16</v>
      </c>
      <c r="L47" s="55" t="s">
        <v>190</v>
      </c>
      <c r="M47" s="34"/>
      <c r="N47" s="53"/>
      <c r="O47" s="53"/>
      <c r="P47" s="34"/>
      <c r="Q47" s="34"/>
      <c r="R47" s="34"/>
      <c r="S47" s="34"/>
      <c r="T47" s="34"/>
      <c r="U47" s="34"/>
    </row>
    <row r="48" spans="1:21" ht="30.6" x14ac:dyDescent="0.3">
      <c r="A48" s="43" t="s">
        <v>94</v>
      </c>
      <c r="B48" s="44"/>
      <c r="D48" s="5" t="s">
        <v>191</v>
      </c>
      <c r="H48" s="92">
        <v>45610</v>
      </c>
      <c r="N48" s="91" t="s">
        <v>192</v>
      </c>
      <c r="R48" s="91" t="s">
        <v>193</v>
      </c>
    </row>
    <row r="49" spans="1:12" x14ac:dyDescent="0.3">
      <c r="A49" s="45" t="s">
        <v>73</v>
      </c>
      <c r="B49" s="46"/>
      <c r="D49" s="5" t="s">
        <v>194</v>
      </c>
      <c r="H49" s="92">
        <v>45610</v>
      </c>
    </row>
    <row r="50" spans="1:12" x14ac:dyDescent="0.3">
      <c r="A50" s="41" t="s">
        <v>84</v>
      </c>
      <c r="B50" s="42" t="s">
        <v>74</v>
      </c>
      <c r="J50" s="37" t="s">
        <v>195</v>
      </c>
      <c r="L50" s="64" t="s">
        <v>37</v>
      </c>
    </row>
    <row r="51" spans="1:12" x14ac:dyDescent="0.3">
      <c r="A51" s="43" t="s">
        <v>67</v>
      </c>
      <c r="B51" s="44"/>
      <c r="J51"/>
      <c r="K51" s="17">
        <v>2</v>
      </c>
      <c r="L51" s="54" t="s">
        <v>116</v>
      </c>
    </row>
    <row r="52" spans="1:12" x14ac:dyDescent="0.3">
      <c r="A52" s="43" t="s">
        <v>17</v>
      </c>
      <c r="B52" s="44"/>
      <c r="J52"/>
      <c r="K52" s="17">
        <v>3</v>
      </c>
      <c r="L52" s="54" t="s">
        <v>123</v>
      </c>
    </row>
    <row r="53" spans="1:12" x14ac:dyDescent="0.3">
      <c r="A53" s="43" t="s">
        <v>86</v>
      </c>
      <c r="B53" s="44"/>
      <c r="J53"/>
      <c r="K53" s="17">
        <v>4</v>
      </c>
      <c r="L53" s="54" t="s">
        <v>114</v>
      </c>
    </row>
    <row r="54" spans="1:12" x14ac:dyDescent="0.3">
      <c r="A54" s="43" t="s">
        <v>14</v>
      </c>
      <c r="B54" s="44"/>
      <c r="J54"/>
      <c r="K54" s="17">
        <v>5</v>
      </c>
      <c r="L54" s="54" t="s">
        <v>117</v>
      </c>
    </row>
    <row r="55" spans="1:12" x14ac:dyDescent="0.3">
      <c r="A55" s="43" t="s">
        <v>88</v>
      </c>
      <c r="B55" s="44"/>
      <c r="J55"/>
      <c r="K55" s="17">
        <v>6</v>
      </c>
      <c r="L55" s="54" t="s">
        <v>118</v>
      </c>
    </row>
    <row r="56" spans="1:12" x14ac:dyDescent="0.3">
      <c r="A56" s="43" t="s">
        <v>92</v>
      </c>
      <c r="B56" s="44"/>
      <c r="D56"/>
      <c r="J56"/>
      <c r="K56" s="17">
        <v>7</v>
      </c>
      <c r="L56" s="54" t="s">
        <v>196</v>
      </c>
    </row>
    <row r="57" spans="1:12" x14ac:dyDescent="0.3">
      <c r="A57" s="43" t="s">
        <v>146</v>
      </c>
      <c r="B57" s="44"/>
      <c r="J57"/>
      <c r="K57" s="17">
        <v>8</v>
      </c>
      <c r="L57" s="55" t="s">
        <v>113</v>
      </c>
    </row>
    <row r="58" spans="1:12" x14ac:dyDescent="0.3">
      <c r="A58" s="45" t="s">
        <v>94</v>
      </c>
      <c r="B58" s="46"/>
      <c r="J58"/>
    </row>
    <row r="59" spans="1:12" x14ac:dyDescent="0.3">
      <c r="J59"/>
    </row>
    <row r="60" spans="1:12" x14ac:dyDescent="0.3">
      <c r="J60"/>
    </row>
    <row r="61" spans="1:12" x14ac:dyDescent="0.3">
      <c r="J61"/>
    </row>
    <row r="62" spans="1:12" x14ac:dyDescent="0.3">
      <c r="J62"/>
    </row>
    <row r="63" spans="1:12" x14ac:dyDescent="0.3">
      <c r="J63"/>
    </row>
    <row r="64" spans="1:12" x14ac:dyDescent="0.3">
      <c r="J64"/>
    </row>
    <row r="65" spans="10:10" x14ac:dyDescent="0.3">
      <c r="J65"/>
    </row>
    <row r="66" spans="10:10" x14ac:dyDescent="0.3">
      <c r="J66"/>
    </row>
    <row r="67" spans="10:10" x14ac:dyDescent="0.3">
      <c r="J67"/>
    </row>
    <row r="68" spans="10:10" x14ac:dyDescent="0.3">
      <c r="J68"/>
    </row>
    <row r="69" spans="10:10" x14ac:dyDescent="0.3">
      <c r="J69"/>
    </row>
    <row r="70" spans="10:10" x14ac:dyDescent="0.3">
      <c r="J70"/>
    </row>
    <row r="71" spans="10:10" x14ac:dyDescent="0.3">
      <c r="J71"/>
    </row>
    <row r="72" spans="10:10" x14ac:dyDescent="0.3">
      <c r="J72"/>
    </row>
    <row r="73" spans="10:10" x14ac:dyDescent="0.3">
      <c r="J73"/>
    </row>
    <row r="74" spans="10:10" x14ac:dyDescent="0.3">
      <c r="J74"/>
    </row>
    <row r="75" spans="10:10" x14ac:dyDescent="0.3">
      <c r="J75"/>
    </row>
    <row r="76" spans="10:10" x14ac:dyDescent="0.3">
      <c r="J76"/>
    </row>
    <row r="77" spans="10:10" x14ac:dyDescent="0.3">
      <c r="J77"/>
    </row>
    <row r="78" spans="10:10" x14ac:dyDescent="0.3">
      <c r="J78"/>
    </row>
    <row r="79" spans="10:10" x14ac:dyDescent="0.3">
      <c r="J79"/>
    </row>
    <row r="80" spans="10:10" x14ac:dyDescent="0.3">
      <c r="J80"/>
    </row>
    <row r="81" spans="10:10" x14ac:dyDescent="0.3">
      <c r="J81"/>
    </row>
    <row r="82" spans="10:10" x14ac:dyDescent="0.3">
      <c r="J82"/>
    </row>
    <row r="83" spans="10:10" x14ac:dyDescent="0.3">
      <c r="J83"/>
    </row>
    <row r="84" spans="10:10" x14ac:dyDescent="0.3">
      <c r="J84"/>
    </row>
    <row r="85" spans="10:10" x14ac:dyDescent="0.3">
      <c r="J85"/>
    </row>
    <row r="86" spans="10:10" x14ac:dyDescent="0.3">
      <c r="J86"/>
    </row>
    <row r="87" spans="10:10" x14ac:dyDescent="0.3">
      <c r="J87"/>
    </row>
    <row r="88" spans="10:10" x14ac:dyDescent="0.3">
      <c r="J88"/>
    </row>
    <row r="89" spans="10:10" x14ac:dyDescent="0.3">
      <c r="J89"/>
    </row>
    <row r="90" spans="10:10" x14ac:dyDescent="0.3">
      <c r="J90"/>
    </row>
    <row r="91" spans="10:10" x14ac:dyDescent="0.3">
      <c r="J91"/>
    </row>
    <row r="92" spans="10:10" x14ac:dyDescent="0.3">
      <c r="J92"/>
    </row>
    <row r="93" spans="10:10" x14ac:dyDescent="0.3">
      <c r="J93"/>
    </row>
    <row r="94" spans="10:10" x14ac:dyDescent="0.3">
      <c r="J94"/>
    </row>
    <row r="95" spans="10:10" x14ac:dyDescent="0.3">
      <c r="J95"/>
    </row>
    <row r="96" spans="10:10" x14ac:dyDescent="0.3">
      <c r="J96"/>
    </row>
    <row r="97" spans="10:10" x14ac:dyDescent="0.3">
      <c r="J97"/>
    </row>
    <row r="98" spans="10:10" x14ac:dyDescent="0.3">
      <c r="J98"/>
    </row>
    <row r="99" spans="10:10" x14ac:dyDescent="0.3">
      <c r="J99"/>
    </row>
  </sheetData>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1"/>
  <sheetViews>
    <sheetView zoomScale="70" zoomScaleNormal="70" workbookViewId="0">
      <pane xSplit="5" ySplit="2" topLeftCell="F3" activePane="bottomRight" state="frozen"/>
      <selection activeCell="H46" sqref="H46"/>
      <selection pane="topRight" activeCell="H46" sqref="H46"/>
      <selection pane="bottomLeft" activeCell="H46" sqref="H46"/>
      <selection pane="bottomRight" activeCell="H46" sqref="H46"/>
    </sheetView>
  </sheetViews>
  <sheetFormatPr defaultRowHeight="15.6" x14ac:dyDescent="0.3"/>
  <cols>
    <col min="1" max="1" width="17.5" bestFit="1" customWidth="1"/>
    <col min="2" max="2" width="7.5" style="2" bestFit="1" customWidth="1"/>
    <col min="3" max="3" width="11.5" bestFit="1" customWidth="1"/>
    <col min="4" max="4" width="46.3984375" bestFit="1" customWidth="1"/>
    <col min="5" max="5" width="11" style="2" bestFit="1" customWidth="1"/>
    <col min="6" max="6" width="48.3984375" bestFit="1" customWidth="1"/>
    <col min="7" max="10" width="7.09765625" style="2" bestFit="1" customWidth="1"/>
    <col min="11" max="11" width="43.3984375" customWidth="1"/>
    <col min="12" max="21" width="7.09765625" bestFit="1" customWidth="1"/>
  </cols>
  <sheetData>
    <row r="1" spans="1:22" x14ac:dyDescent="0.3">
      <c r="A1" s="67">
        <f>COLUMN()</f>
        <v>1</v>
      </c>
      <c r="B1" s="67">
        <f>COLUMN()</f>
        <v>2</v>
      </c>
      <c r="C1" s="67">
        <f>COLUMN()</f>
        <v>3</v>
      </c>
      <c r="D1" s="67">
        <f>COLUMN()</f>
        <v>4</v>
      </c>
      <c r="E1" s="67">
        <f>COLUMN()</f>
        <v>5</v>
      </c>
      <c r="F1" s="67">
        <f>COLUMN()</f>
        <v>6</v>
      </c>
      <c r="G1" s="67">
        <f>COLUMN()</f>
        <v>7</v>
      </c>
      <c r="H1" s="67">
        <f>COLUMN()</f>
        <v>8</v>
      </c>
      <c r="I1" s="67">
        <f>COLUMN()</f>
        <v>9</v>
      </c>
      <c r="J1" s="67">
        <f>COLUMN()</f>
        <v>10</v>
      </c>
      <c r="K1" s="67">
        <f>COLUMN()</f>
        <v>11</v>
      </c>
      <c r="L1" s="67">
        <f>COLUMN()</f>
        <v>12</v>
      </c>
      <c r="M1" s="67">
        <f>COLUMN()</f>
        <v>13</v>
      </c>
      <c r="N1" s="67">
        <f>COLUMN()</f>
        <v>14</v>
      </c>
      <c r="O1" s="67">
        <f>COLUMN()</f>
        <v>15</v>
      </c>
      <c r="P1" s="67">
        <f>COLUMN()</f>
        <v>16</v>
      </c>
      <c r="Q1" s="67">
        <f>COLUMN()</f>
        <v>17</v>
      </c>
      <c r="R1" s="67">
        <f>COLUMN()</f>
        <v>18</v>
      </c>
      <c r="S1" s="67">
        <f>COLUMN()</f>
        <v>19</v>
      </c>
      <c r="T1" s="67">
        <f>COLUMN()</f>
        <v>20</v>
      </c>
      <c r="U1" s="67">
        <f>COLUMN()</f>
        <v>21</v>
      </c>
    </row>
    <row r="2" spans="1:22" ht="77.400000000000006" x14ac:dyDescent="0.3">
      <c r="A2" s="11" t="s">
        <v>0</v>
      </c>
      <c r="B2" s="11" t="s">
        <v>1</v>
      </c>
      <c r="C2" s="11" t="s">
        <v>2</v>
      </c>
      <c r="D2" s="11" t="s">
        <v>197</v>
      </c>
      <c r="E2" s="11" t="s">
        <v>5</v>
      </c>
      <c r="F2" s="11" t="s">
        <v>198</v>
      </c>
      <c r="G2" s="69" t="s">
        <v>199</v>
      </c>
      <c r="H2" s="69" t="s">
        <v>200</v>
      </c>
      <c r="I2" s="69" t="s">
        <v>201</v>
      </c>
      <c r="J2" s="69" t="s">
        <v>202</v>
      </c>
      <c r="K2" s="11" t="s">
        <v>203</v>
      </c>
      <c r="L2" s="69" t="s">
        <v>57</v>
      </c>
      <c r="M2" s="69" t="s">
        <v>68</v>
      </c>
      <c r="N2" s="69" t="s">
        <v>71</v>
      </c>
      <c r="O2" s="69" t="s">
        <v>74</v>
      </c>
      <c r="P2" s="69" t="s">
        <v>85</v>
      </c>
      <c r="Q2" s="69" t="s">
        <v>87</v>
      </c>
      <c r="R2" s="69" t="s">
        <v>97</v>
      </c>
      <c r="S2" s="69" t="s">
        <v>89</v>
      </c>
      <c r="T2" s="69" t="s">
        <v>93</v>
      </c>
      <c r="U2" s="69" t="s">
        <v>95</v>
      </c>
      <c r="V2" s="3"/>
    </row>
    <row r="3" spans="1:22" x14ac:dyDescent="0.3">
      <c r="A3" s="5" t="s">
        <v>100</v>
      </c>
      <c r="B3" s="6"/>
      <c r="C3" s="6"/>
      <c r="D3" s="5" t="s">
        <v>204</v>
      </c>
      <c r="E3" s="6"/>
      <c r="F3" s="90"/>
      <c r="G3" s="25" t="str">
        <f>IFERROR(IF(VLOOKUP(TableHandbook[[#This Row],[UDC]],TableAvailabilities[],2,FALSE)&gt;0,"Y",""),"")</f>
        <v/>
      </c>
      <c r="H3" s="25" t="str">
        <f>IFERROR(IF(VLOOKUP(TableHandbook[[#This Row],[UDC]],TableAvailabilities[],3,FALSE)&gt;0,"Y",""),"")</f>
        <v/>
      </c>
      <c r="I3" s="25" t="str">
        <f>IFERROR(IF(VLOOKUP(TableHandbook[[#This Row],[UDC]],TableAvailabilities[],4,FALSE)&gt;0,"Y",""),"")</f>
        <v/>
      </c>
      <c r="J3" s="25" t="str">
        <f>IFERROR(IF(VLOOKUP(TableHandbook[[#This Row],[UDC]],TableAvailabilities[],5,FALSE)&gt;0,"Y",""),"")</f>
        <v/>
      </c>
      <c r="K3" s="68"/>
      <c r="L3" s="70" t="str">
        <f>IFERROR(VLOOKUP(TableHandbook[[#This Row],[UDC]],TableBMASCOMS[],7,FALSE),"")</f>
        <v/>
      </c>
      <c r="M3" s="70" t="str">
        <f>IFERROR(VLOOKUP(TableHandbook[[#This Row],[UDC]],TableSPUCCSCOM[],7,FALSE),"")</f>
        <v/>
      </c>
      <c r="N3" s="70" t="str">
        <f>IFERROR(VLOOKUP(TableHandbook[[#This Row],[UDC]],TableSPUCJOURL[],7,FALSE),"")</f>
        <v/>
      </c>
      <c r="O3" s="70" t="str">
        <f>IFERROR(VLOOKUP(TableHandbook[[#This Row],[UDC]],TableSPUCWMCOM[],7,FALSE),"")</f>
        <v/>
      </c>
      <c r="P3" s="70" t="str">
        <f>IFERROR(VLOOKUP(TableHandbook[[#This Row],[UDC]],TableSPUCDECOM[],7,FALSE),"")</f>
        <v/>
      </c>
      <c r="Q3" s="70" t="str">
        <f>IFERROR(VLOOKUP(TableHandbook[[#This Row],[UDC]],TableSPUCGRCOM[],7,FALSE),"")</f>
        <v/>
      </c>
      <c r="R3" s="70" t="str">
        <f>IFERROR(VLOOKUP(TableHandbook[[#This Row],[UDC]],TableSPUPJOURL[],7,FALSE),"")</f>
        <v/>
      </c>
      <c r="S3" s="70" t="str">
        <f>IFERROR(VLOOKUP(TableHandbook[[#This Row],[UDC]],TableSPUCMKCOM[],7,FALSE),"")</f>
        <v/>
      </c>
      <c r="T3" s="70" t="str">
        <f>IFERROR(VLOOKUP(TableHandbook[[#This Row],[UDC]],TableSPUCPHCOM[],7,FALSE),"")</f>
        <v/>
      </c>
      <c r="U3" s="70" t="str">
        <f>IFERROR(VLOOKUP(TableHandbook[[#This Row],[UDC]],TableSPUCPRCOM[],7,FALSE),"")</f>
        <v/>
      </c>
      <c r="V3" s="3"/>
    </row>
    <row r="4" spans="1:22" x14ac:dyDescent="0.3">
      <c r="A4" s="5" t="s">
        <v>205</v>
      </c>
      <c r="B4" s="6"/>
      <c r="C4" s="6"/>
      <c r="D4" s="5" t="s">
        <v>206</v>
      </c>
      <c r="E4" s="6"/>
      <c r="F4" s="90"/>
      <c r="G4" s="25" t="str">
        <f>IFERROR(IF(VLOOKUP(TableHandbook[[#This Row],[UDC]],TableAvailabilities[],2,FALSE)&gt;0,"Y",""),"")</f>
        <v/>
      </c>
      <c r="H4" s="25" t="str">
        <f>IFERROR(IF(VLOOKUP(TableHandbook[[#This Row],[UDC]],TableAvailabilities[],3,FALSE)&gt;0,"Y",""),"")</f>
        <v/>
      </c>
      <c r="I4" s="25" t="str">
        <f>IFERROR(IF(VLOOKUP(TableHandbook[[#This Row],[UDC]],TableAvailabilities[],4,FALSE)&gt;0,"Y",""),"")</f>
        <v/>
      </c>
      <c r="J4" s="25" t="str">
        <f>IFERROR(IF(VLOOKUP(TableHandbook[[#This Row],[UDC]],TableAvailabilities[],5,FALSE)&gt;0,"Y",""),"")</f>
        <v/>
      </c>
      <c r="K4" s="68"/>
      <c r="L4" s="70" t="str">
        <f>IFERROR(VLOOKUP(TableHandbook[[#This Row],[UDC]],TableBMASCOMS[],7,FALSE),"")</f>
        <v/>
      </c>
      <c r="M4" s="70" t="str">
        <f>IFERROR(VLOOKUP(TableHandbook[[#This Row],[UDC]],TableSPUCCSCOM[],7,FALSE),"")</f>
        <v/>
      </c>
      <c r="N4" s="70" t="str">
        <f>IFERROR(VLOOKUP(TableHandbook[[#This Row],[UDC]],TableSPUCJOURL[],7,FALSE),"")</f>
        <v/>
      </c>
      <c r="O4" s="70" t="str">
        <f>IFERROR(VLOOKUP(TableHandbook[[#This Row],[UDC]],TableSPUCWMCOM[],7,FALSE),"")</f>
        <v/>
      </c>
      <c r="P4" s="70" t="str">
        <f>IFERROR(VLOOKUP(TableHandbook[[#This Row],[UDC]],TableSPUCDECOM[],7,FALSE),"")</f>
        <v/>
      </c>
      <c r="Q4" s="70" t="str">
        <f>IFERROR(VLOOKUP(TableHandbook[[#This Row],[UDC]],TableSPUCGRCOM[],7,FALSE),"")</f>
        <v/>
      </c>
      <c r="R4" s="70" t="str">
        <f>IFERROR(VLOOKUP(TableHandbook[[#This Row],[UDC]],TableSPUPJOURL[],7,FALSE),"")</f>
        <v/>
      </c>
      <c r="S4" s="70" t="str">
        <f>IFERROR(VLOOKUP(TableHandbook[[#This Row],[UDC]],TableSPUCMKCOM[],7,FALSE),"")</f>
        <v/>
      </c>
      <c r="T4" s="70" t="str">
        <f>IFERROR(VLOOKUP(TableHandbook[[#This Row],[UDC]],TableSPUCPHCOM[],7,FALSE),"")</f>
        <v/>
      </c>
      <c r="U4" s="70" t="str">
        <f>IFERROR(VLOOKUP(TableHandbook[[#This Row],[UDC]],TableSPUCPRCOM[],7,FALSE),"")</f>
        <v/>
      </c>
    </row>
    <row r="5" spans="1:22" x14ac:dyDescent="0.3">
      <c r="A5" s="5" t="s">
        <v>63</v>
      </c>
      <c r="B5" s="6">
        <v>1</v>
      </c>
      <c r="C5" s="6"/>
      <c r="D5" s="5" t="s">
        <v>207</v>
      </c>
      <c r="E5" s="6">
        <v>25</v>
      </c>
      <c r="F5" s="90" t="s">
        <v>208</v>
      </c>
      <c r="G5" s="25" t="str">
        <f>IFERROR(IF(VLOOKUP(TableHandbook[[#This Row],[UDC]],TableAvailabilities[],2,FALSE)&gt;0,"Y",""),"")</f>
        <v>Y</v>
      </c>
      <c r="H5" s="25" t="str">
        <f>IFERROR(IF(VLOOKUP(TableHandbook[[#This Row],[UDC]],TableAvailabilities[],3,FALSE)&gt;0,"Y",""),"")</f>
        <v>Y</v>
      </c>
      <c r="I5" s="25" t="str">
        <f>IFERROR(IF(VLOOKUP(TableHandbook[[#This Row],[UDC]],TableAvailabilities[],4,FALSE)&gt;0,"Y",""),"")</f>
        <v>Y</v>
      </c>
      <c r="J5" s="25" t="str">
        <f>IFERROR(IF(VLOOKUP(TableHandbook[[#This Row],[UDC]],TableAvailabilities[],5,FALSE)&gt;0,"Y",""),"")</f>
        <v>Y</v>
      </c>
      <c r="K5" s="68"/>
      <c r="L5" s="70" t="str">
        <f>IFERROR(VLOOKUP(TableHandbook[[#This Row],[UDC]],TableBMASCOMS[],7,FALSE),"")</f>
        <v>Core</v>
      </c>
      <c r="M5" s="70" t="str">
        <f>IFERROR(VLOOKUP(TableHandbook[[#This Row],[UDC]],TableSPUCCSCOM[],7,FALSE),"")</f>
        <v/>
      </c>
      <c r="N5" s="70" t="str">
        <f>IFERROR(VLOOKUP(TableHandbook[[#This Row],[UDC]],TableSPUCJOURL[],7,FALSE),"")</f>
        <v/>
      </c>
      <c r="O5" s="70" t="str">
        <f>IFERROR(VLOOKUP(TableHandbook[[#This Row],[UDC]],TableSPUCWMCOM[],7,FALSE),"")</f>
        <v/>
      </c>
      <c r="P5" s="70" t="str">
        <f>IFERROR(VLOOKUP(TableHandbook[[#This Row],[UDC]],TableSPUCDECOM[],7,FALSE),"")</f>
        <v/>
      </c>
      <c r="Q5" s="70" t="str">
        <f>IFERROR(VLOOKUP(TableHandbook[[#This Row],[UDC]],TableSPUCGRCOM[],7,FALSE),"")</f>
        <v/>
      </c>
      <c r="R5" s="70" t="str">
        <f>IFERROR(VLOOKUP(TableHandbook[[#This Row],[UDC]],TableSPUPJOURL[],7,FALSE),"")</f>
        <v/>
      </c>
      <c r="S5" s="70" t="str">
        <f>IFERROR(VLOOKUP(TableHandbook[[#This Row],[UDC]],TableSPUCMKCOM[],7,FALSE),"")</f>
        <v/>
      </c>
      <c r="T5" s="70" t="str">
        <f>IFERROR(VLOOKUP(TableHandbook[[#This Row],[UDC]],TableSPUCPHCOM[],7,FALSE),"")</f>
        <v/>
      </c>
      <c r="U5" s="70" t="str">
        <f>IFERROR(VLOOKUP(TableHandbook[[#This Row],[UDC]],TableSPUCPRCOM[],7,FALSE),"")</f>
        <v/>
      </c>
    </row>
    <row r="6" spans="1:22" x14ac:dyDescent="0.3">
      <c r="A6" s="5" t="s">
        <v>62</v>
      </c>
      <c r="B6" s="6">
        <v>3</v>
      </c>
      <c r="C6" s="6"/>
      <c r="D6" s="5" t="s">
        <v>209</v>
      </c>
      <c r="E6" s="6">
        <v>25</v>
      </c>
      <c r="F6" s="90" t="s">
        <v>208</v>
      </c>
      <c r="G6" s="25" t="str">
        <f>IFERROR(IF(VLOOKUP(TableHandbook[[#This Row],[UDC]],TableAvailabilities[],2,FALSE)&gt;0,"Y",""),"")</f>
        <v>Y</v>
      </c>
      <c r="H6" s="25" t="str">
        <f>IFERROR(IF(VLOOKUP(TableHandbook[[#This Row],[UDC]],TableAvailabilities[],3,FALSE)&gt;0,"Y",""),"")</f>
        <v>Y</v>
      </c>
      <c r="I6" s="25" t="str">
        <f>IFERROR(IF(VLOOKUP(TableHandbook[[#This Row],[UDC]],TableAvailabilities[],4,FALSE)&gt;0,"Y",""),"")</f>
        <v>Y</v>
      </c>
      <c r="J6" s="25" t="str">
        <f>IFERROR(IF(VLOOKUP(TableHandbook[[#This Row],[UDC]],TableAvailabilities[],5,FALSE)&gt;0,"Y",""),"")</f>
        <v>Y</v>
      </c>
      <c r="K6" s="68"/>
      <c r="L6" s="70" t="str">
        <f>IFERROR(VLOOKUP(TableHandbook[[#This Row],[UDC]],TableBMASCOMS[],7,FALSE),"")</f>
        <v>Core</v>
      </c>
      <c r="M6" s="70" t="str">
        <f>IFERROR(VLOOKUP(TableHandbook[[#This Row],[UDC]],TableSPUCCSCOM[],7,FALSE),"")</f>
        <v/>
      </c>
      <c r="N6" s="70" t="str">
        <f>IFERROR(VLOOKUP(TableHandbook[[#This Row],[UDC]],TableSPUCJOURL[],7,FALSE),"")</f>
        <v/>
      </c>
      <c r="O6" s="70" t="str">
        <f>IFERROR(VLOOKUP(TableHandbook[[#This Row],[UDC]],TableSPUCWMCOM[],7,FALSE),"")</f>
        <v/>
      </c>
      <c r="P6" s="70" t="str">
        <f>IFERROR(VLOOKUP(TableHandbook[[#This Row],[UDC]],TableSPUCDECOM[],7,FALSE),"")</f>
        <v/>
      </c>
      <c r="Q6" s="70" t="str">
        <f>IFERROR(VLOOKUP(TableHandbook[[#This Row],[UDC]],TableSPUCGRCOM[],7,FALSE),"")</f>
        <v/>
      </c>
      <c r="R6" s="70" t="str">
        <f>IFERROR(VLOOKUP(TableHandbook[[#This Row],[UDC]],TableSPUPJOURL[],7,FALSE),"")</f>
        <v/>
      </c>
      <c r="S6" s="70" t="str">
        <f>IFERROR(VLOOKUP(TableHandbook[[#This Row],[UDC]],TableSPUCMKCOM[],7,FALSE),"")</f>
        <v/>
      </c>
      <c r="T6" s="70" t="str">
        <f>IFERROR(VLOOKUP(TableHandbook[[#This Row],[UDC]],TableSPUCPHCOM[],7,FALSE),"")</f>
        <v/>
      </c>
      <c r="U6" s="70" t="str">
        <f>IFERROR(VLOOKUP(TableHandbook[[#This Row],[UDC]],TableSPUCPRCOM[],7,FALSE),"")</f>
        <v/>
      </c>
    </row>
    <row r="7" spans="1:22" x14ac:dyDescent="0.3">
      <c r="A7" s="5" t="s">
        <v>53</v>
      </c>
      <c r="B7" s="6">
        <v>2</v>
      </c>
      <c r="C7" s="6"/>
      <c r="D7" s="5" t="s">
        <v>210</v>
      </c>
      <c r="E7" s="6">
        <v>25</v>
      </c>
      <c r="F7" s="90" t="s">
        <v>208</v>
      </c>
      <c r="G7" s="25" t="str">
        <f>IFERROR(IF(VLOOKUP(TableHandbook[[#This Row],[UDC]],TableAvailabilities[],2,FALSE)&gt;0,"Y",""),"")</f>
        <v>Y</v>
      </c>
      <c r="H7" s="25" t="str">
        <f>IFERROR(IF(VLOOKUP(TableHandbook[[#This Row],[UDC]],TableAvailabilities[],3,FALSE)&gt;0,"Y",""),"")</f>
        <v>Y</v>
      </c>
      <c r="I7" s="25" t="str">
        <f>IFERROR(IF(VLOOKUP(TableHandbook[[#This Row],[UDC]],TableAvailabilities[],4,FALSE)&gt;0,"Y",""),"")</f>
        <v>Y</v>
      </c>
      <c r="J7" s="25" t="str">
        <f>IFERROR(IF(VLOOKUP(TableHandbook[[#This Row],[UDC]],TableAvailabilities[],5,FALSE)&gt;0,"Y",""),"")</f>
        <v>Y</v>
      </c>
      <c r="K7" s="68"/>
      <c r="L7" s="70" t="str">
        <f>IFERROR(VLOOKUP(TableHandbook[[#This Row],[UDC]],TableBMASCOMS[],7,FALSE),"")</f>
        <v>Core</v>
      </c>
      <c r="M7" s="70" t="str">
        <f>IFERROR(VLOOKUP(TableHandbook[[#This Row],[UDC]],TableSPUCCSCOM[],7,FALSE),"")</f>
        <v/>
      </c>
      <c r="N7" s="70" t="str">
        <f>IFERROR(VLOOKUP(TableHandbook[[#This Row],[UDC]],TableSPUCJOURL[],7,FALSE),"")</f>
        <v/>
      </c>
      <c r="O7" s="70" t="str">
        <f>IFERROR(VLOOKUP(TableHandbook[[#This Row],[UDC]],TableSPUCWMCOM[],7,FALSE),"")</f>
        <v/>
      </c>
      <c r="P7" s="70" t="str">
        <f>IFERROR(VLOOKUP(TableHandbook[[#This Row],[UDC]],TableSPUCDECOM[],7,FALSE),"")</f>
        <v/>
      </c>
      <c r="Q7" s="70" t="str">
        <f>IFERROR(VLOOKUP(TableHandbook[[#This Row],[UDC]],TableSPUCGRCOM[],7,FALSE),"")</f>
        <v/>
      </c>
      <c r="R7" s="70" t="str">
        <f>IFERROR(VLOOKUP(TableHandbook[[#This Row],[UDC]],TableSPUPJOURL[],7,FALSE),"")</f>
        <v/>
      </c>
      <c r="S7" s="70" t="str">
        <f>IFERROR(VLOOKUP(TableHandbook[[#This Row],[UDC]],TableSPUCMKCOM[],7,FALSE),"")</f>
        <v/>
      </c>
      <c r="T7" s="70" t="str">
        <f>IFERROR(VLOOKUP(TableHandbook[[#This Row],[UDC]],TableSPUCPHCOM[],7,FALSE),"")</f>
        <v/>
      </c>
      <c r="U7" s="70" t="str">
        <f>IFERROR(VLOOKUP(TableHandbook[[#This Row],[UDC]],TableSPUCPRCOM[],7,FALSE),"")</f>
        <v/>
      </c>
    </row>
    <row r="8" spans="1:22" x14ac:dyDescent="0.3">
      <c r="A8" s="5" t="s">
        <v>81</v>
      </c>
      <c r="B8" s="6">
        <v>2</v>
      </c>
      <c r="C8" s="6"/>
      <c r="D8" s="5" t="s">
        <v>211</v>
      </c>
      <c r="E8" s="6">
        <v>25</v>
      </c>
      <c r="F8" s="90" t="s">
        <v>212</v>
      </c>
      <c r="G8" s="25" t="str">
        <f>IFERROR(IF(VLOOKUP(TableHandbook[[#This Row],[UDC]],TableAvailabilities[],2,FALSE)&gt;0,"Y",""),"")</f>
        <v/>
      </c>
      <c r="H8" s="25" t="str">
        <f>IFERROR(IF(VLOOKUP(TableHandbook[[#This Row],[UDC]],TableAvailabilities[],3,FALSE)&gt;0,"Y",""),"")</f>
        <v/>
      </c>
      <c r="I8" s="25" t="str">
        <f>IFERROR(IF(VLOOKUP(TableHandbook[[#This Row],[UDC]],TableAvailabilities[],4,FALSE)&gt;0,"Y",""),"")</f>
        <v>Y</v>
      </c>
      <c r="J8" s="25" t="str">
        <f>IFERROR(IF(VLOOKUP(TableHandbook[[#This Row],[UDC]],TableAvailabilities[],5,FALSE)&gt;0,"Y",""),"")</f>
        <v>Y</v>
      </c>
      <c r="K8" s="68"/>
      <c r="L8" s="70" t="str">
        <f>IFERROR(VLOOKUP(TableHandbook[[#This Row],[UDC]],TableBMASCOMS[],7,FALSE),"")</f>
        <v>Core</v>
      </c>
      <c r="M8" s="70" t="str">
        <f>IFERROR(VLOOKUP(TableHandbook[[#This Row],[UDC]],TableSPUCCSCOM[],7,FALSE),"")</f>
        <v/>
      </c>
      <c r="N8" s="70" t="str">
        <f>IFERROR(VLOOKUP(TableHandbook[[#This Row],[UDC]],TableSPUCJOURL[],7,FALSE),"")</f>
        <v/>
      </c>
      <c r="O8" s="70" t="str">
        <f>IFERROR(VLOOKUP(TableHandbook[[#This Row],[UDC]],TableSPUCWMCOM[],7,FALSE),"")</f>
        <v/>
      </c>
      <c r="P8" s="70" t="str">
        <f>IFERROR(VLOOKUP(TableHandbook[[#This Row],[UDC]],TableSPUCDECOM[],7,FALSE),"")</f>
        <v/>
      </c>
      <c r="Q8" s="70" t="str">
        <f>IFERROR(VLOOKUP(TableHandbook[[#This Row],[UDC]],TableSPUCGRCOM[],7,FALSE),"")</f>
        <v/>
      </c>
      <c r="R8" s="70" t="str">
        <f>IFERROR(VLOOKUP(TableHandbook[[#This Row],[UDC]],TableSPUPJOURL[],7,FALSE),"")</f>
        <v/>
      </c>
      <c r="S8" s="70" t="str">
        <f>IFERROR(VLOOKUP(TableHandbook[[#This Row],[UDC]],TableSPUCMKCOM[],7,FALSE),"")</f>
        <v/>
      </c>
      <c r="T8" s="70" t="str">
        <f>IFERROR(VLOOKUP(TableHandbook[[#This Row],[UDC]],TableSPUCPHCOM[],7,FALSE),"")</f>
        <v/>
      </c>
      <c r="U8" s="70" t="str">
        <f>IFERROR(VLOOKUP(TableHandbook[[#This Row],[UDC]],TableSPUCPRCOM[],7,FALSE),"")</f>
        <v/>
      </c>
    </row>
    <row r="9" spans="1:22" ht="27" x14ac:dyDescent="0.3">
      <c r="A9" s="5" t="s">
        <v>79</v>
      </c>
      <c r="B9" s="6">
        <v>1</v>
      </c>
      <c r="C9" s="6"/>
      <c r="D9" s="5" t="s">
        <v>213</v>
      </c>
      <c r="E9" s="6">
        <v>25</v>
      </c>
      <c r="F9" s="90" t="s">
        <v>214</v>
      </c>
      <c r="G9" s="25" t="str">
        <f>IFERROR(IF(VLOOKUP(TableHandbook[[#This Row],[UDC]],TableAvailabilities[],2,FALSE)&gt;0,"Y",""),"")</f>
        <v>Y</v>
      </c>
      <c r="H9" s="25" t="str">
        <f>IFERROR(IF(VLOOKUP(TableHandbook[[#This Row],[UDC]],TableAvailabilities[],3,FALSE)&gt;0,"Y",""),"")</f>
        <v>Y</v>
      </c>
      <c r="I9" s="25" t="str">
        <f>IFERROR(IF(VLOOKUP(TableHandbook[[#This Row],[UDC]],TableAvailabilities[],4,FALSE)&gt;0,"Y",""),"")</f>
        <v/>
      </c>
      <c r="J9" s="25" t="str">
        <f>IFERROR(IF(VLOOKUP(TableHandbook[[#This Row],[UDC]],TableAvailabilities[],5,FALSE)&gt;0,"Y",""),"")</f>
        <v/>
      </c>
      <c r="K9" s="68"/>
      <c r="L9" s="70" t="str">
        <f>IFERROR(VLOOKUP(TableHandbook[[#This Row],[UDC]],TableBMASCOMS[],7,FALSE),"")</f>
        <v>Core</v>
      </c>
      <c r="M9" s="70" t="str">
        <f>IFERROR(VLOOKUP(TableHandbook[[#This Row],[UDC]],TableSPUCCSCOM[],7,FALSE),"")</f>
        <v/>
      </c>
      <c r="N9" s="70" t="str">
        <f>IFERROR(VLOOKUP(TableHandbook[[#This Row],[UDC]],TableSPUCJOURL[],7,FALSE),"")</f>
        <v/>
      </c>
      <c r="O9" s="70" t="str">
        <f>IFERROR(VLOOKUP(TableHandbook[[#This Row],[UDC]],TableSPUCWMCOM[],7,FALSE),"")</f>
        <v/>
      </c>
      <c r="P9" s="70" t="str">
        <f>IFERROR(VLOOKUP(TableHandbook[[#This Row],[UDC]],TableSPUCDECOM[],7,FALSE),"")</f>
        <v/>
      </c>
      <c r="Q9" s="70" t="str">
        <f>IFERROR(VLOOKUP(TableHandbook[[#This Row],[UDC]],TableSPUCGRCOM[],7,FALSE),"")</f>
        <v/>
      </c>
      <c r="R9" s="70" t="str">
        <f>IFERROR(VLOOKUP(TableHandbook[[#This Row],[UDC]],TableSPUPJOURL[],7,FALSE),"")</f>
        <v/>
      </c>
      <c r="S9" s="70" t="str">
        <f>IFERROR(VLOOKUP(TableHandbook[[#This Row],[UDC]],TableSPUCMKCOM[],7,FALSE),"")</f>
        <v/>
      </c>
      <c r="T9" s="70" t="str">
        <f>IFERROR(VLOOKUP(TableHandbook[[#This Row],[UDC]],TableSPUCPHCOM[],7,FALSE),"")</f>
        <v/>
      </c>
      <c r="U9" s="70" t="str">
        <f>IFERROR(VLOOKUP(TableHandbook[[#This Row],[UDC]],TableSPUCPRCOM[],7,FALSE),"")</f>
        <v/>
      </c>
    </row>
    <row r="10" spans="1:22" x14ac:dyDescent="0.3">
      <c r="A10" s="5" t="s">
        <v>98</v>
      </c>
      <c r="B10" s="6">
        <v>1</v>
      </c>
      <c r="C10" s="6"/>
      <c r="D10" s="5" t="s">
        <v>215</v>
      </c>
      <c r="E10" s="6">
        <v>50</v>
      </c>
      <c r="F10" s="90" t="s">
        <v>216</v>
      </c>
      <c r="G10" s="25" t="str">
        <f>IFERROR(IF(VLOOKUP(TableHandbook[[#This Row],[UDC]],TableAvailabilities[],2,FALSE)&gt;0,"Y",""),"")</f>
        <v>Y</v>
      </c>
      <c r="H10" s="25" t="str">
        <f>IFERROR(IF(VLOOKUP(TableHandbook[[#This Row],[UDC]],TableAvailabilities[],3,FALSE)&gt;0,"Y",""),"")</f>
        <v>Y</v>
      </c>
      <c r="I10" s="25" t="str">
        <f>IFERROR(IF(VLOOKUP(TableHandbook[[#This Row],[UDC]],TableAvailabilities[],4,FALSE)&gt;0,"Y",""),"")</f>
        <v>Y</v>
      </c>
      <c r="J10" s="25" t="str">
        <f>IFERROR(IF(VLOOKUP(TableHandbook[[#This Row],[UDC]],TableAvailabilities[],5,FALSE)&gt;0,"Y",""),"")</f>
        <v>Y</v>
      </c>
      <c r="K10" s="68"/>
      <c r="L10" s="70" t="str">
        <f>IFERROR(VLOOKUP(TableHandbook[[#This Row],[UDC]],TableBMASCOMS[],7,FALSE),"")</f>
        <v>Core</v>
      </c>
      <c r="M10" s="70" t="str">
        <f>IFERROR(VLOOKUP(TableHandbook[[#This Row],[UDC]],TableSPUCCSCOM[],7,FALSE),"")</f>
        <v/>
      </c>
      <c r="N10" s="70" t="str">
        <f>IFERROR(VLOOKUP(TableHandbook[[#This Row],[UDC]],TableSPUCJOURL[],7,FALSE),"")</f>
        <v/>
      </c>
      <c r="O10" s="70" t="str">
        <f>IFERROR(VLOOKUP(TableHandbook[[#This Row],[UDC]],TableSPUCWMCOM[],7,FALSE),"")</f>
        <v/>
      </c>
      <c r="P10" s="70" t="str">
        <f>IFERROR(VLOOKUP(TableHandbook[[#This Row],[UDC]],TableSPUCDECOM[],7,FALSE),"")</f>
        <v/>
      </c>
      <c r="Q10" s="70" t="str">
        <f>IFERROR(VLOOKUP(TableHandbook[[#This Row],[UDC]],TableSPUCGRCOM[],7,FALSE),"")</f>
        <v/>
      </c>
      <c r="R10" s="70" t="str">
        <f>IFERROR(VLOOKUP(TableHandbook[[#This Row],[UDC]],TableSPUPJOURL[],7,FALSE),"")</f>
        <v/>
      </c>
      <c r="S10" s="70" t="str">
        <f>IFERROR(VLOOKUP(TableHandbook[[#This Row],[UDC]],TableSPUCMKCOM[],7,FALSE),"")</f>
        <v/>
      </c>
      <c r="T10" s="70" t="str">
        <f>IFERROR(VLOOKUP(TableHandbook[[#This Row],[UDC]],TableSPUCPHCOM[],7,FALSE),"")</f>
        <v/>
      </c>
      <c r="U10" s="70" t="str">
        <f>IFERROR(VLOOKUP(TableHandbook[[#This Row],[UDC]],TableSPUCPRCOM[],7,FALSE),"")</f>
        <v/>
      </c>
    </row>
    <row r="11" spans="1:22" x14ac:dyDescent="0.3">
      <c r="A11" s="5" t="s">
        <v>217</v>
      </c>
      <c r="B11" s="6">
        <v>0</v>
      </c>
      <c r="C11" s="6"/>
      <c r="D11" s="5" t="s">
        <v>218</v>
      </c>
      <c r="E11" s="6">
        <v>25</v>
      </c>
      <c r="F11" s="90" t="s">
        <v>219</v>
      </c>
      <c r="G11" s="25" t="str">
        <f>IFERROR(IF(VLOOKUP(TableHandbook[[#This Row],[UDC]],TableAvailabilities[],2,FALSE)&gt;0,"Y",""),"")</f>
        <v/>
      </c>
      <c r="H11" s="25" t="str">
        <f>IFERROR(IF(VLOOKUP(TableHandbook[[#This Row],[UDC]],TableAvailabilities[],3,FALSE)&gt;0,"Y",""),"")</f>
        <v/>
      </c>
      <c r="I11" s="25" t="str">
        <f>IFERROR(IF(VLOOKUP(TableHandbook[[#This Row],[UDC]],TableAvailabilities[],4,FALSE)&gt;0,"Y",""),"")</f>
        <v/>
      </c>
      <c r="J11" s="25" t="str">
        <f>IFERROR(IF(VLOOKUP(TableHandbook[[#This Row],[UDC]],TableAvailabilities[],5,FALSE)&gt;0,"Y",""),"")</f>
        <v/>
      </c>
      <c r="K11" s="68"/>
      <c r="L11" s="70" t="str">
        <f>IFERROR(VLOOKUP(TableHandbook[[#This Row],[UDC]],TableBMASCOMS[],7,FALSE),"")</f>
        <v>Elective</v>
      </c>
      <c r="M11" s="70" t="str">
        <f>IFERROR(VLOOKUP(TableHandbook[[#This Row],[UDC]],TableSPUCCSCOM[],7,FALSE),"")</f>
        <v/>
      </c>
      <c r="N11" s="70" t="str">
        <f>IFERROR(VLOOKUP(TableHandbook[[#This Row],[UDC]],TableSPUCJOURL[],7,FALSE),"")</f>
        <v/>
      </c>
      <c r="O11" s="70" t="str">
        <f>IFERROR(VLOOKUP(TableHandbook[[#This Row],[UDC]],TableSPUCWMCOM[],7,FALSE),"")</f>
        <v/>
      </c>
      <c r="P11" s="70" t="str">
        <f>IFERROR(VLOOKUP(TableHandbook[[#This Row],[UDC]],TableSPUCDECOM[],7,FALSE),"")</f>
        <v/>
      </c>
      <c r="Q11" s="70" t="str">
        <f>IFERROR(VLOOKUP(TableHandbook[[#This Row],[UDC]],TableSPUCGRCOM[],7,FALSE),"")</f>
        <v/>
      </c>
      <c r="R11" s="70" t="str">
        <f>IFERROR(VLOOKUP(TableHandbook[[#This Row],[UDC]],TableSPUPJOURL[],7,FALSE),"")</f>
        <v/>
      </c>
      <c r="S11" s="70" t="str">
        <f>IFERROR(VLOOKUP(TableHandbook[[#This Row],[UDC]],TableSPUCMKCOM[],7,FALSE),"")</f>
        <v/>
      </c>
      <c r="T11" s="70" t="str">
        <f>IFERROR(VLOOKUP(TableHandbook[[#This Row],[UDC]],TableSPUCPHCOM[],7,FALSE),"")</f>
        <v/>
      </c>
      <c r="U11" s="70" t="str">
        <f>IFERROR(VLOOKUP(TableHandbook[[#This Row],[UDC]],TableSPUCPRCOM[],7,FALSE),"")</f>
        <v/>
      </c>
    </row>
    <row r="12" spans="1:22" x14ac:dyDescent="0.3">
      <c r="A12" s="5" t="s">
        <v>220</v>
      </c>
      <c r="B12" s="6">
        <v>0</v>
      </c>
      <c r="C12" s="6"/>
      <c r="D12" s="5" t="s">
        <v>221</v>
      </c>
      <c r="E12" s="6">
        <v>100</v>
      </c>
      <c r="F12" s="90" t="s">
        <v>100</v>
      </c>
      <c r="G12" s="25" t="str">
        <f>IFERROR(IF(VLOOKUP(TableHandbook[[#This Row],[UDC]],TableAvailabilities[],2,FALSE)&gt;0,"Y",""),"")</f>
        <v/>
      </c>
      <c r="H12" s="25" t="str">
        <f>IFERROR(IF(VLOOKUP(TableHandbook[[#This Row],[UDC]],TableAvailabilities[],3,FALSE)&gt;0,"Y",""),"")</f>
        <v/>
      </c>
      <c r="I12" s="25" t="str">
        <f>IFERROR(IF(VLOOKUP(TableHandbook[[#This Row],[UDC]],TableAvailabilities[],4,FALSE)&gt;0,"Y",""),"")</f>
        <v/>
      </c>
      <c r="J12" s="25" t="str">
        <f>IFERROR(IF(VLOOKUP(TableHandbook[[#This Row],[UDC]],TableAvailabilities[],5,FALSE)&gt;0,"Y",""),"")</f>
        <v/>
      </c>
      <c r="K12" s="68"/>
      <c r="L12" s="70" t="str">
        <f>IFERROR(VLOOKUP(TableHandbook[[#This Row],[UDC]],TableBMASCOMS[],7,FALSE),"")</f>
        <v>Core</v>
      </c>
      <c r="M12" s="70" t="str">
        <f>IFERROR(VLOOKUP(TableHandbook[[#This Row],[UDC]],TableSPUCCSCOM[],7,FALSE),"")</f>
        <v/>
      </c>
      <c r="N12" s="70" t="str">
        <f>IFERROR(VLOOKUP(TableHandbook[[#This Row],[UDC]],TableSPUCJOURL[],7,FALSE),"")</f>
        <v/>
      </c>
      <c r="O12" s="70" t="str">
        <f>IFERROR(VLOOKUP(TableHandbook[[#This Row],[UDC]],TableSPUCWMCOM[],7,FALSE),"")</f>
        <v/>
      </c>
      <c r="P12" s="70" t="str">
        <f>IFERROR(VLOOKUP(TableHandbook[[#This Row],[UDC]],TableSPUCDECOM[],7,FALSE),"")</f>
        <v/>
      </c>
      <c r="Q12" s="70" t="str">
        <f>IFERROR(VLOOKUP(TableHandbook[[#This Row],[UDC]],TableSPUCGRCOM[],7,FALSE),"")</f>
        <v/>
      </c>
      <c r="R12" s="70" t="str">
        <f>IFERROR(VLOOKUP(TableHandbook[[#This Row],[UDC]],TableSPUPJOURL[],7,FALSE),"")</f>
        <v/>
      </c>
      <c r="S12" s="70" t="str">
        <f>IFERROR(VLOOKUP(TableHandbook[[#This Row],[UDC]],TableSPUCMKCOM[],7,FALSE),"")</f>
        <v/>
      </c>
      <c r="T12" s="70" t="str">
        <f>IFERROR(VLOOKUP(TableHandbook[[#This Row],[UDC]],TableSPUCPHCOM[],7,FALSE),"")</f>
        <v/>
      </c>
      <c r="U12" s="70" t="str">
        <f>IFERROR(VLOOKUP(TableHandbook[[#This Row],[UDC]],TableSPUCPRCOM[],7,FALSE),"")</f>
        <v/>
      </c>
    </row>
    <row r="13" spans="1:22" x14ac:dyDescent="0.3">
      <c r="A13" s="5" t="s">
        <v>116</v>
      </c>
      <c r="B13" s="6">
        <v>2</v>
      </c>
      <c r="C13" s="6"/>
      <c r="D13" s="5" t="s">
        <v>222</v>
      </c>
      <c r="E13" s="6">
        <v>25</v>
      </c>
      <c r="F13" s="90" t="s">
        <v>208</v>
      </c>
      <c r="G13" s="25" t="str">
        <f>IFERROR(IF(VLOOKUP(TableHandbook[[#This Row],[UDC]],TableAvailabilities[],2,FALSE)&gt;0,"Y",""),"")</f>
        <v>Y</v>
      </c>
      <c r="H13" s="25" t="str">
        <f>IFERROR(IF(VLOOKUP(TableHandbook[[#This Row],[UDC]],TableAvailabilities[],3,FALSE)&gt;0,"Y",""),"")</f>
        <v/>
      </c>
      <c r="I13" s="25" t="str">
        <f>IFERROR(IF(VLOOKUP(TableHandbook[[#This Row],[UDC]],TableAvailabilities[],4,FALSE)&gt;0,"Y",""),"")</f>
        <v>Y</v>
      </c>
      <c r="J13" s="25" t="str">
        <f>IFERROR(IF(VLOOKUP(TableHandbook[[#This Row],[UDC]],TableAvailabilities[],5,FALSE)&gt;0,"Y",""),"")</f>
        <v/>
      </c>
      <c r="K13" s="68"/>
      <c r="L13" s="70" t="str">
        <f>IFERROR(VLOOKUP(TableHandbook[[#This Row],[UDC]],TableBMASCOMS[],7,FALSE),"")</f>
        <v>Option</v>
      </c>
      <c r="M13" s="70" t="str">
        <f>IFERROR(VLOOKUP(TableHandbook[[#This Row],[UDC]],TableSPUCCSCOM[],7,FALSE),"")</f>
        <v/>
      </c>
      <c r="N13" s="70" t="str">
        <f>IFERROR(VLOOKUP(TableHandbook[[#This Row],[UDC]],TableSPUCJOURL[],7,FALSE),"")</f>
        <v/>
      </c>
      <c r="O13" s="70" t="str">
        <f>IFERROR(VLOOKUP(TableHandbook[[#This Row],[UDC]],TableSPUCWMCOM[],7,FALSE),"")</f>
        <v/>
      </c>
      <c r="P13" s="70" t="str">
        <f>IFERROR(VLOOKUP(TableHandbook[[#This Row],[UDC]],TableSPUCDECOM[],7,FALSE),"")</f>
        <v/>
      </c>
      <c r="Q13" s="70" t="str">
        <f>IFERROR(VLOOKUP(TableHandbook[[#This Row],[UDC]],TableSPUCGRCOM[],7,FALSE),"")</f>
        <v/>
      </c>
      <c r="R13" s="70" t="str">
        <f>IFERROR(VLOOKUP(TableHandbook[[#This Row],[UDC]],TableSPUPJOURL[],7,FALSE),"")</f>
        <v/>
      </c>
      <c r="S13" s="70" t="str">
        <f>IFERROR(VLOOKUP(TableHandbook[[#This Row],[UDC]],TableSPUCMKCOM[],7,FALSE),"")</f>
        <v/>
      </c>
      <c r="T13" s="70" t="str">
        <f>IFERROR(VLOOKUP(TableHandbook[[#This Row],[UDC]],TableSPUCPHCOM[],7,FALSE),"")</f>
        <v/>
      </c>
      <c r="U13" s="70" t="str">
        <f>IFERROR(VLOOKUP(TableHandbook[[#This Row],[UDC]],TableSPUCPRCOM[],7,FALSE),"")</f>
        <v/>
      </c>
    </row>
    <row r="14" spans="1:22" x14ac:dyDescent="0.3">
      <c r="A14" s="5" t="s">
        <v>132</v>
      </c>
      <c r="B14" s="6">
        <v>1</v>
      </c>
      <c r="C14" s="6"/>
      <c r="D14" s="5" t="s">
        <v>223</v>
      </c>
      <c r="E14" s="6">
        <v>25</v>
      </c>
      <c r="F14" s="90" t="s">
        <v>208</v>
      </c>
      <c r="G14" s="25" t="str">
        <f>IFERROR(IF(VLOOKUP(TableHandbook[[#This Row],[UDC]],TableAvailabilities[],2,FALSE)&gt;0,"Y",""),"")</f>
        <v>Y</v>
      </c>
      <c r="H14" s="25" t="str">
        <f>IFERROR(IF(VLOOKUP(TableHandbook[[#This Row],[UDC]],TableAvailabilities[],3,FALSE)&gt;0,"Y",""),"")</f>
        <v/>
      </c>
      <c r="I14" s="25" t="str">
        <f>IFERROR(IF(VLOOKUP(TableHandbook[[#This Row],[UDC]],TableAvailabilities[],4,FALSE)&gt;0,"Y",""),"")</f>
        <v>Y</v>
      </c>
      <c r="J14" s="25" t="str">
        <f>IFERROR(IF(VLOOKUP(TableHandbook[[#This Row],[UDC]],TableAvailabilities[],5,FALSE)&gt;0,"Y",""),"")</f>
        <v/>
      </c>
      <c r="K14" s="68"/>
      <c r="L14" s="70" t="str">
        <f>IFERROR(VLOOKUP(TableHandbook[[#This Row],[UDC]],TableBMASCOMS[],7,FALSE),"")</f>
        <v/>
      </c>
      <c r="M14" s="70" t="str">
        <f>IFERROR(VLOOKUP(TableHandbook[[#This Row],[UDC]],TableSPUCCSCOM[],7,FALSE),"")</f>
        <v/>
      </c>
      <c r="N14" s="70" t="str">
        <f>IFERROR(VLOOKUP(TableHandbook[[#This Row],[UDC]],TableSPUCJOURL[],7,FALSE),"")</f>
        <v/>
      </c>
      <c r="O14" s="70" t="str">
        <f>IFERROR(VLOOKUP(TableHandbook[[#This Row],[UDC]],TableSPUCWMCOM[],7,FALSE),"")</f>
        <v/>
      </c>
      <c r="P14" s="70" t="str">
        <f>IFERROR(VLOOKUP(TableHandbook[[#This Row],[UDC]],TableSPUCDECOM[],7,FALSE),"")</f>
        <v/>
      </c>
      <c r="Q14" s="70" t="str">
        <f>IFERROR(VLOOKUP(TableHandbook[[#This Row],[UDC]],TableSPUCGRCOM[],7,FALSE),"")</f>
        <v>Core</v>
      </c>
      <c r="R14" s="70" t="str">
        <f>IFERROR(VLOOKUP(TableHandbook[[#This Row],[UDC]],TableSPUPJOURL[],7,FALSE),"")</f>
        <v/>
      </c>
      <c r="S14" s="70" t="str">
        <f>IFERROR(VLOOKUP(TableHandbook[[#This Row],[UDC]],TableSPUCMKCOM[],7,FALSE),"")</f>
        <v/>
      </c>
      <c r="T14" s="70" t="str">
        <f>IFERROR(VLOOKUP(TableHandbook[[#This Row],[UDC]],TableSPUCPHCOM[],7,FALSE),"")</f>
        <v/>
      </c>
      <c r="U14" s="70" t="str">
        <f>IFERROR(VLOOKUP(TableHandbook[[#This Row],[UDC]],TableSPUCPRCOM[],7,FALSE),"")</f>
        <v/>
      </c>
    </row>
    <row r="15" spans="1:22" x14ac:dyDescent="0.3">
      <c r="A15" s="5" t="s">
        <v>123</v>
      </c>
      <c r="B15" s="6">
        <v>2</v>
      </c>
      <c r="C15" s="6"/>
      <c r="D15" s="5" t="s">
        <v>224</v>
      </c>
      <c r="E15" s="6">
        <v>25</v>
      </c>
      <c r="F15" s="90" t="s">
        <v>208</v>
      </c>
      <c r="G15" s="25" t="str">
        <f>IFERROR(IF(VLOOKUP(TableHandbook[[#This Row],[UDC]],TableAvailabilities[],2,FALSE)&gt;0,"Y",""),"")</f>
        <v>Y</v>
      </c>
      <c r="H15" s="25" t="str">
        <f>IFERROR(IF(VLOOKUP(TableHandbook[[#This Row],[UDC]],TableAvailabilities[],3,FALSE)&gt;0,"Y",""),"")</f>
        <v/>
      </c>
      <c r="I15" s="25" t="str">
        <f>IFERROR(IF(VLOOKUP(TableHandbook[[#This Row],[UDC]],TableAvailabilities[],4,FALSE)&gt;0,"Y",""),"")</f>
        <v>Y</v>
      </c>
      <c r="J15" s="25" t="str">
        <f>IFERROR(IF(VLOOKUP(TableHandbook[[#This Row],[UDC]],TableAvailabilities[],5,FALSE)&gt;0,"Y",""),"")</f>
        <v/>
      </c>
      <c r="K15" s="68"/>
      <c r="L15" s="70" t="str">
        <f>IFERROR(VLOOKUP(TableHandbook[[#This Row],[UDC]],TableBMASCOMS[],7,FALSE),"")</f>
        <v>Option</v>
      </c>
      <c r="M15" s="70" t="str">
        <f>IFERROR(VLOOKUP(TableHandbook[[#This Row],[UDC]],TableSPUCCSCOM[],7,FALSE),"")</f>
        <v/>
      </c>
      <c r="N15" s="70" t="str">
        <f>IFERROR(VLOOKUP(TableHandbook[[#This Row],[UDC]],TableSPUCJOURL[],7,FALSE),"")</f>
        <v/>
      </c>
      <c r="O15" s="70" t="str">
        <f>IFERROR(VLOOKUP(TableHandbook[[#This Row],[UDC]],TableSPUCWMCOM[],7,FALSE),"")</f>
        <v/>
      </c>
      <c r="P15" s="70" t="str">
        <f>IFERROR(VLOOKUP(TableHandbook[[#This Row],[UDC]],TableSPUCDECOM[],7,FALSE),"")</f>
        <v/>
      </c>
      <c r="Q15" s="70" t="str">
        <f>IFERROR(VLOOKUP(TableHandbook[[#This Row],[UDC]],TableSPUCGRCOM[],7,FALSE),"")</f>
        <v/>
      </c>
      <c r="R15" s="70" t="str">
        <f>IFERROR(VLOOKUP(TableHandbook[[#This Row],[UDC]],TableSPUPJOURL[],7,FALSE),"")</f>
        <v/>
      </c>
      <c r="S15" s="70" t="str">
        <f>IFERROR(VLOOKUP(TableHandbook[[#This Row],[UDC]],TableSPUCMKCOM[],7,FALSE),"")</f>
        <v/>
      </c>
      <c r="T15" s="70" t="str">
        <f>IFERROR(VLOOKUP(TableHandbook[[#This Row],[UDC]],TableSPUCPHCOM[],7,FALSE),"")</f>
        <v/>
      </c>
      <c r="U15" s="70" t="str">
        <f>IFERROR(VLOOKUP(TableHandbook[[#This Row],[UDC]],TableSPUCPRCOM[],7,FALSE),"")</f>
        <v/>
      </c>
    </row>
    <row r="16" spans="1:22" x14ac:dyDescent="0.3">
      <c r="A16" s="5" t="s">
        <v>176</v>
      </c>
      <c r="B16" s="6">
        <v>3</v>
      </c>
      <c r="C16" s="6"/>
      <c r="D16" s="5" t="s">
        <v>225</v>
      </c>
      <c r="E16" s="6">
        <v>25</v>
      </c>
      <c r="F16" s="90" t="s">
        <v>208</v>
      </c>
      <c r="G16" s="25" t="str">
        <f>IFERROR(IF(VLOOKUP(TableHandbook[[#This Row],[UDC]],TableAvailabilities[],2,FALSE)&gt;0,"Y",""),"")</f>
        <v>Y</v>
      </c>
      <c r="H16" s="25" t="str">
        <f>IFERROR(IF(VLOOKUP(TableHandbook[[#This Row],[UDC]],TableAvailabilities[],3,FALSE)&gt;0,"Y",""),"")</f>
        <v/>
      </c>
      <c r="I16" s="25" t="str">
        <f>IFERROR(IF(VLOOKUP(TableHandbook[[#This Row],[UDC]],TableAvailabilities[],4,FALSE)&gt;0,"Y",""),"")</f>
        <v>Y</v>
      </c>
      <c r="J16" s="25" t="str">
        <f>IFERROR(IF(VLOOKUP(TableHandbook[[#This Row],[UDC]],TableAvailabilities[],5,FALSE)&gt;0,"Y",""),"")</f>
        <v/>
      </c>
      <c r="K16" s="68" t="s">
        <v>226</v>
      </c>
      <c r="L16" s="70" t="str">
        <f>IFERROR(VLOOKUP(TableHandbook[[#This Row],[UDC]],TableBMASCOMS[],7,FALSE),"")</f>
        <v/>
      </c>
      <c r="M16" s="70" t="str">
        <f>IFERROR(VLOOKUP(TableHandbook[[#This Row],[UDC]],TableSPUCCSCOM[],7,FALSE),"")</f>
        <v/>
      </c>
      <c r="N16" s="70" t="str">
        <f>IFERROR(VLOOKUP(TableHandbook[[#This Row],[UDC]],TableSPUCJOURL[],7,FALSE),"")</f>
        <v/>
      </c>
      <c r="O16" s="70" t="str">
        <f>IFERROR(VLOOKUP(TableHandbook[[#This Row],[UDC]],TableSPUCWMCOM[],7,FALSE),"")</f>
        <v/>
      </c>
      <c r="P16" s="70" t="str">
        <f>IFERROR(VLOOKUP(TableHandbook[[#This Row],[UDC]],TableSPUCDECOM[],7,FALSE),"")</f>
        <v>Option</v>
      </c>
      <c r="Q16" s="70" t="str">
        <f>IFERROR(VLOOKUP(TableHandbook[[#This Row],[UDC]],TableSPUCGRCOM[],7,FALSE),"")</f>
        <v/>
      </c>
      <c r="R16" s="70" t="str">
        <f>IFERROR(VLOOKUP(TableHandbook[[#This Row],[UDC]],TableSPUPJOURL[],7,FALSE),"")</f>
        <v/>
      </c>
      <c r="S16" s="70" t="str">
        <f>IFERROR(VLOOKUP(TableHandbook[[#This Row],[UDC]],TableSPUCMKCOM[],7,FALSE),"")</f>
        <v/>
      </c>
      <c r="T16" s="70" t="str">
        <f>IFERROR(VLOOKUP(TableHandbook[[#This Row],[UDC]],TableSPUCPHCOM[],7,FALSE),"")</f>
        <v/>
      </c>
      <c r="U16" s="70" t="str">
        <f>IFERROR(VLOOKUP(TableHandbook[[#This Row],[UDC]],TableSPUCPRCOM[],7,FALSE),"")</f>
        <v/>
      </c>
    </row>
    <row r="17" spans="1:21" x14ac:dyDescent="0.3">
      <c r="A17" s="5" t="s">
        <v>227</v>
      </c>
      <c r="B17" s="6">
        <v>2</v>
      </c>
      <c r="C17" s="6"/>
      <c r="D17" s="5" t="s">
        <v>225</v>
      </c>
      <c r="E17" s="6">
        <v>25</v>
      </c>
      <c r="F17" s="90" t="s">
        <v>208</v>
      </c>
      <c r="G17" s="25" t="str">
        <f>IFERROR(IF(VLOOKUP(TableHandbook[[#This Row],[UDC]],TableAvailabilities[],2,FALSE)&gt;0,"Y",""),"")</f>
        <v/>
      </c>
      <c r="H17" s="25" t="str">
        <f>IFERROR(IF(VLOOKUP(TableHandbook[[#This Row],[UDC]],TableAvailabilities[],3,FALSE)&gt;0,"Y",""),"")</f>
        <v/>
      </c>
      <c r="I17" s="25" t="str">
        <f>IFERROR(IF(VLOOKUP(TableHandbook[[#This Row],[UDC]],TableAvailabilities[],4,FALSE)&gt;0,"Y",""),"")</f>
        <v/>
      </c>
      <c r="J17" s="25" t="str">
        <f>IFERROR(IF(VLOOKUP(TableHandbook[[#This Row],[UDC]],TableAvailabilities[],5,FALSE)&gt;0,"Y",""),"")</f>
        <v/>
      </c>
      <c r="K17" s="68" t="s">
        <v>228</v>
      </c>
      <c r="L17" s="70" t="str">
        <f>IFERROR(VLOOKUP(TableHandbook[[#This Row],[UDC]],TableBMASCOMS[],7,FALSE),"")</f>
        <v/>
      </c>
      <c r="M17" s="70" t="str">
        <f>IFERROR(VLOOKUP(TableHandbook[[#This Row],[UDC]],TableSPUCCSCOM[],7,FALSE),"")</f>
        <v/>
      </c>
      <c r="N17" s="70" t="str">
        <f>IFERROR(VLOOKUP(TableHandbook[[#This Row],[UDC]],TableSPUCJOURL[],7,FALSE),"")</f>
        <v/>
      </c>
      <c r="O17" s="70" t="str">
        <f>IFERROR(VLOOKUP(TableHandbook[[#This Row],[UDC]],TableSPUCWMCOM[],7,FALSE),"")</f>
        <v/>
      </c>
      <c r="P17" s="70" t="str">
        <f>IFERROR(VLOOKUP(TableHandbook[[#This Row],[UDC]],TableSPUCDECOM[],7,FALSE),"")</f>
        <v/>
      </c>
      <c r="Q17" s="70" t="str">
        <f>IFERROR(VLOOKUP(TableHandbook[[#This Row],[UDC]],TableSPUCGRCOM[],7,FALSE),"")</f>
        <v/>
      </c>
      <c r="R17" s="70" t="str">
        <f>IFERROR(VLOOKUP(TableHandbook[[#This Row],[UDC]],TableSPUPJOURL[],7,FALSE),"")</f>
        <v/>
      </c>
      <c r="S17" s="70" t="str">
        <f>IFERROR(VLOOKUP(TableHandbook[[#This Row],[UDC]],TableSPUCMKCOM[],7,FALSE),"")</f>
        <v/>
      </c>
      <c r="T17" s="70" t="str">
        <f>IFERROR(VLOOKUP(TableHandbook[[#This Row],[UDC]],TableSPUCPHCOM[],7,FALSE),"")</f>
        <v/>
      </c>
      <c r="U17" s="70" t="str">
        <f>IFERROR(VLOOKUP(TableHandbook[[#This Row],[UDC]],TableSPUCPRCOM[],7,FALSE),"")</f>
        <v/>
      </c>
    </row>
    <row r="18" spans="1:21" x14ac:dyDescent="0.3">
      <c r="A18" s="5" t="s">
        <v>142</v>
      </c>
      <c r="B18" s="6">
        <v>1</v>
      </c>
      <c r="C18" s="6"/>
      <c r="D18" s="5" t="s">
        <v>229</v>
      </c>
      <c r="E18" s="6">
        <v>25</v>
      </c>
      <c r="F18" s="90" t="s">
        <v>116</v>
      </c>
      <c r="G18" s="25" t="str">
        <f>IFERROR(IF(VLOOKUP(TableHandbook[[#This Row],[UDC]],TableAvailabilities[],2,FALSE)&gt;0,"Y",""),"")</f>
        <v>Y</v>
      </c>
      <c r="H18" s="25" t="str">
        <f>IFERROR(IF(VLOOKUP(TableHandbook[[#This Row],[UDC]],TableAvailabilities[],3,FALSE)&gt;0,"Y",""),"")</f>
        <v/>
      </c>
      <c r="I18" s="25" t="str">
        <f>IFERROR(IF(VLOOKUP(TableHandbook[[#This Row],[UDC]],TableAvailabilities[],4,FALSE)&gt;0,"Y",""),"")</f>
        <v>Y</v>
      </c>
      <c r="J18" s="25" t="str">
        <f>IFERROR(IF(VLOOKUP(TableHandbook[[#This Row],[UDC]],TableAvailabilities[],5,FALSE)&gt;0,"Y",""),"")</f>
        <v/>
      </c>
      <c r="K18" s="68"/>
      <c r="L18" s="70" t="str">
        <f>IFERROR(VLOOKUP(TableHandbook[[#This Row],[UDC]],TableBMASCOMS[],7,FALSE),"")</f>
        <v/>
      </c>
      <c r="M18" s="70" t="str">
        <f>IFERROR(VLOOKUP(TableHandbook[[#This Row],[UDC]],TableSPUCCSCOM[],7,FALSE),"")</f>
        <v/>
      </c>
      <c r="N18" s="70" t="str">
        <f>IFERROR(VLOOKUP(TableHandbook[[#This Row],[UDC]],TableSPUCJOURL[],7,FALSE),"")</f>
        <v/>
      </c>
      <c r="O18" s="70" t="str">
        <f>IFERROR(VLOOKUP(TableHandbook[[#This Row],[UDC]],TableSPUCWMCOM[],7,FALSE),"")</f>
        <v/>
      </c>
      <c r="P18" s="70" t="str">
        <f>IFERROR(VLOOKUP(TableHandbook[[#This Row],[UDC]],TableSPUCDECOM[],7,FALSE),"")</f>
        <v/>
      </c>
      <c r="Q18" s="70" t="str">
        <f>IFERROR(VLOOKUP(TableHandbook[[#This Row],[UDC]],TableSPUCGRCOM[],7,FALSE),"")</f>
        <v>Core</v>
      </c>
      <c r="R18" s="70" t="str">
        <f>IFERROR(VLOOKUP(TableHandbook[[#This Row],[UDC]],TableSPUPJOURL[],7,FALSE),"")</f>
        <v/>
      </c>
      <c r="S18" s="70" t="str">
        <f>IFERROR(VLOOKUP(TableHandbook[[#This Row],[UDC]],TableSPUCMKCOM[],7,FALSE),"")</f>
        <v/>
      </c>
      <c r="T18" s="70" t="str">
        <f>IFERROR(VLOOKUP(TableHandbook[[#This Row],[UDC]],TableSPUCPHCOM[],7,FALSE),"")</f>
        <v/>
      </c>
      <c r="U18" s="70" t="str">
        <f>IFERROR(VLOOKUP(TableHandbook[[#This Row],[UDC]],TableSPUCPRCOM[],7,FALSE),"")</f>
        <v/>
      </c>
    </row>
    <row r="19" spans="1:21" x14ac:dyDescent="0.3">
      <c r="A19" s="5" t="s">
        <v>171</v>
      </c>
      <c r="B19" s="6">
        <v>1</v>
      </c>
      <c r="C19" s="6"/>
      <c r="D19" s="5" t="s">
        <v>230</v>
      </c>
      <c r="E19" s="6">
        <v>25</v>
      </c>
      <c r="F19" s="90" t="s">
        <v>132</v>
      </c>
      <c r="G19" s="25" t="str">
        <f>IFERROR(IF(VLOOKUP(TableHandbook[[#This Row],[UDC]],TableAvailabilities[],2,FALSE)&gt;0,"Y",""),"")</f>
        <v>Y</v>
      </c>
      <c r="H19" s="25" t="str">
        <f>IFERROR(IF(VLOOKUP(TableHandbook[[#This Row],[UDC]],TableAvailabilities[],3,FALSE)&gt;0,"Y",""),"")</f>
        <v/>
      </c>
      <c r="I19" s="25" t="str">
        <f>IFERROR(IF(VLOOKUP(TableHandbook[[#This Row],[UDC]],TableAvailabilities[],4,FALSE)&gt;0,"Y",""),"")</f>
        <v>Y</v>
      </c>
      <c r="J19" s="25" t="str">
        <f>IFERROR(IF(VLOOKUP(TableHandbook[[#This Row],[UDC]],TableAvailabilities[],5,FALSE)&gt;0,"Y",""),"")</f>
        <v/>
      </c>
      <c r="K19" s="68"/>
      <c r="L19" s="70" t="str">
        <f>IFERROR(VLOOKUP(TableHandbook[[#This Row],[UDC]],TableBMASCOMS[],7,FALSE),"")</f>
        <v/>
      </c>
      <c r="M19" s="70" t="str">
        <f>IFERROR(VLOOKUP(TableHandbook[[#This Row],[UDC]],TableSPUCCSCOM[],7,FALSE),"")</f>
        <v/>
      </c>
      <c r="N19" s="70" t="str">
        <f>IFERROR(VLOOKUP(TableHandbook[[#This Row],[UDC]],TableSPUCJOURL[],7,FALSE),"")</f>
        <v/>
      </c>
      <c r="O19" s="70" t="str">
        <f>IFERROR(VLOOKUP(TableHandbook[[#This Row],[UDC]],TableSPUCWMCOM[],7,FALSE),"")</f>
        <v/>
      </c>
      <c r="P19" s="70" t="str">
        <f>IFERROR(VLOOKUP(TableHandbook[[#This Row],[UDC]],TableSPUCDECOM[],7,FALSE),"")</f>
        <v/>
      </c>
      <c r="Q19" s="70" t="str">
        <f>IFERROR(VLOOKUP(TableHandbook[[#This Row],[UDC]],TableSPUCGRCOM[],7,FALSE),"")</f>
        <v>Option</v>
      </c>
      <c r="R19" s="70" t="str">
        <f>IFERROR(VLOOKUP(TableHandbook[[#This Row],[UDC]],TableSPUPJOURL[],7,FALSE),"")</f>
        <v/>
      </c>
      <c r="S19" s="70" t="str">
        <f>IFERROR(VLOOKUP(TableHandbook[[#This Row],[UDC]],TableSPUCMKCOM[],7,FALSE),"")</f>
        <v/>
      </c>
      <c r="T19" s="70" t="str">
        <f>IFERROR(VLOOKUP(TableHandbook[[#This Row],[UDC]],TableSPUCPHCOM[],7,FALSE),"")</f>
        <v/>
      </c>
      <c r="U19" s="70" t="str">
        <f>IFERROR(VLOOKUP(TableHandbook[[#This Row],[UDC]],TableSPUCPRCOM[],7,FALSE),"")</f>
        <v/>
      </c>
    </row>
    <row r="20" spans="1:21" x14ac:dyDescent="0.3">
      <c r="A20" s="5" t="s">
        <v>182</v>
      </c>
      <c r="B20" s="6">
        <v>1</v>
      </c>
      <c r="C20" s="6"/>
      <c r="D20" s="5" t="s">
        <v>231</v>
      </c>
      <c r="E20" s="6">
        <v>25</v>
      </c>
      <c r="F20" s="90" t="s">
        <v>232</v>
      </c>
      <c r="G20" s="25" t="str">
        <f>IFERROR(IF(VLOOKUP(TableHandbook[[#This Row],[UDC]],TableAvailabilities[],2,FALSE)&gt;0,"Y",""),"")</f>
        <v>Y</v>
      </c>
      <c r="H20" s="25" t="str">
        <f>IFERROR(IF(VLOOKUP(TableHandbook[[#This Row],[UDC]],TableAvailabilities[],3,FALSE)&gt;0,"Y",""),"")</f>
        <v/>
      </c>
      <c r="I20" s="25" t="str">
        <f>IFERROR(IF(VLOOKUP(TableHandbook[[#This Row],[UDC]],TableAvailabilities[],4,FALSE)&gt;0,"Y",""),"")</f>
        <v>Y</v>
      </c>
      <c r="J20" s="25" t="str">
        <f>IFERROR(IF(VLOOKUP(TableHandbook[[#This Row],[UDC]],TableAvailabilities[],5,FALSE)&gt;0,"Y",""),"")</f>
        <v/>
      </c>
      <c r="K20" s="68"/>
      <c r="L20" s="70" t="str">
        <f>IFERROR(VLOOKUP(TableHandbook[[#This Row],[UDC]],TableBMASCOMS[],7,FALSE),"")</f>
        <v/>
      </c>
      <c r="M20" s="70" t="str">
        <f>IFERROR(VLOOKUP(TableHandbook[[#This Row],[UDC]],TableSPUCCSCOM[],7,FALSE),"")</f>
        <v/>
      </c>
      <c r="N20" s="70" t="str">
        <f>IFERROR(VLOOKUP(TableHandbook[[#This Row],[UDC]],TableSPUCJOURL[],7,FALSE),"")</f>
        <v/>
      </c>
      <c r="O20" s="70" t="str">
        <f>IFERROR(VLOOKUP(TableHandbook[[#This Row],[UDC]],TableSPUCWMCOM[],7,FALSE),"")</f>
        <v/>
      </c>
      <c r="P20" s="70" t="str">
        <f>IFERROR(VLOOKUP(TableHandbook[[#This Row],[UDC]],TableSPUCDECOM[],7,FALSE),"")</f>
        <v>Option</v>
      </c>
      <c r="Q20" s="70" t="str">
        <f>IFERROR(VLOOKUP(TableHandbook[[#This Row],[UDC]],TableSPUCGRCOM[],7,FALSE),"")</f>
        <v/>
      </c>
      <c r="R20" s="70" t="str">
        <f>IFERROR(VLOOKUP(TableHandbook[[#This Row],[UDC]],TableSPUPJOURL[],7,FALSE),"")</f>
        <v/>
      </c>
      <c r="S20" s="70" t="str">
        <f>IFERROR(VLOOKUP(TableHandbook[[#This Row],[UDC]],TableSPUCMKCOM[],7,FALSE),"")</f>
        <v/>
      </c>
      <c r="T20" s="70" t="str">
        <f>IFERROR(VLOOKUP(TableHandbook[[#This Row],[UDC]],TableSPUCPHCOM[],7,FALSE),"")</f>
        <v/>
      </c>
      <c r="U20" s="70" t="str">
        <f>IFERROR(VLOOKUP(TableHandbook[[#This Row],[UDC]],TableSPUCPRCOM[],7,FALSE),"")</f>
        <v/>
      </c>
    </row>
    <row r="21" spans="1:21" x14ac:dyDescent="0.3">
      <c r="A21" s="5" t="s">
        <v>141</v>
      </c>
      <c r="B21" s="6">
        <v>2</v>
      </c>
      <c r="C21" s="6"/>
      <c r="D21" s="5" t="s">
        <v>233</v>
      </c>
      <c r="E21" s="6">
        <v>25</v>
      </c>
      <c r="F21" s="90" t="s">
        <v>234</v>
      </c>
      <c r="G21" s="25" t="str">
        <f>IFERROR(IF(VLOOKUP(TableHandbook[[#This Row],[UDC]],TableAvailabilities[],2,FALSE)&gt;0,"Y",""),"")</f>
        <v>Y</v>
      </c>
      <c r="H21" s="25" t="str">
        <f>IFERROR(IF(VLOOKUP(TableHandbook[[#This Row],[UDC]],TableAvailabilities[],3,FALSE)&gt;0,"Y",""),"")</f>
        <v/>
      </c>
      <c r="I21" s="25" t="str">
        <f>IFERROR(IF(VLOOKUP(TableHandbook[[#This Row],[UDC]],TableAvailabilities[],4,FALSE)&gt;0,"Y",""),"")</f>
        <v/>
      </c>
      <c r="J21" s="25" t="str">
        <f>IFERROR(IF(VLOOKUP(TableHandbook[[#This Row],[UDC]],TableAvailabilities[],5,FALSE)&gt;0,"Y",""),"")</f>
        <v/>
      </c>
      <c r="K21" s="68"/>
      <c r="L21" s="70" t="str">
        <f>IFERROR(VLOOKUP(TableHandbook[[#This Row],[UDC]],TableBMASCOMS[],7,FALSE),"")</f>
        <v/>
      </c>
      <c r="M21" s="70" t="str">
        <f>IFERROR(VLOOKUP(TableHandbook[[#This Row],[UDC]],TableSPUCCSCOM[],7,FALSE),"")</f>
        <v/>
      </c>
      <c r="N21" s="70" t="str">
        <f>IFERROR(VLOOKUP(TableHandbook[[#This Row],[UDC]],TableSPUCJOURL[],7,FALSE),"")</f>
        <v/>
      </c>
      <c r="O21" s="70" t="str">
        <f>IFERROR(VLOOKUP(TableHandbook[[#This Row],[UDC]],TableSPUCWMCOM[],7,FALSE),"")</f>
        <v/>
      </c>
      <c r="P21" s="70" t="str">
        <f>IFERROR(VLOOKUP(TableHandbook[[#This Row],[UDC]],TableSPUCDECOM[],7,FALSE),"")</f>
        <v>Core</v>
      </c>
      <c r="Q21" s="70" t="str">
        <f>IFERROR(VLOOKUP(TableHandbook[[#This Row],[UDC]],TableSPUCGRCOM[],7,FALSE),"")</f>
        <v/>
      </c>
      <c r="R21" s="70" t="str">
        <f>IFERROR(VLOOKUP(TableHandbook[[#This Row],[UDC]],TableSPUPJOURL[],7,FALSE),"")</f>
        <v/>
      </c>
      <c r="S21" s="70" t="str">
        <f>IFERROR(VLOOKUP(TableHandbook[[#This Row],[UDC]],TableSPUCMKCOM[],7,FALSE),"")</f>
        <v/>
      </c>
      <c r="T21" s="70" t="str">
        <f>IFERROR(VLOOKUP(TableHandbook[[#This Row],[UDC]],TableSPUCPHCOM[],7,FALSE),"")</f>
        <v/>
      </c>
      <c r="U21" s="70" t="str">
        <f>IFERROR(VLOOKUP(TableHandbook[[#This Row],[UDC]],TableSPUCPRCOM[],7,FALSE),"")</f>
        <v/>
      </c>
    </row>
    <row r="22" spans="1:21" x14ac:dyDescent="0.3">
      <c r="A22" s="5" t="s">
        <v>186</v>
      </c>
      <c r="B22" s="6">
        <v>3</v>
      </c>
      <c r="C22" s="6"/>
      <c r="D22" s="5" t="s">
        <v>235</v>
      </c>
      <c r="E22" s="6">
        <v>25</v>
      </c>
      <c r="F22" s="90" t="s">
        <v>141</v>
      </c>
      <c r="G22" s="25" t="str">
        <f>IFERROR(IF(VLOOKUP(TableHandbook[[#This Row],[UDC]],TableAvailabilities[],2,FALSE)&gt;0,"Y",""),"")</f>
        <v/>
      </c>
      <c r="H22" s="25" t="str">
        <f>IFERROR(IF(VLOOKUP(TableHandbook[[#This Row],[UDC]],TableAvailabilities[],3,FALSE)&gt;0,"Y",""),"")</f>
        <v/>
      </c>
      <c r="I22" s="25" t="str">
        <f>IFERROR(IF(VLOOKUP(TableHandbook[[#This Row],[UDC]],TableAvailabilities[],4,FALSE)&gt;0,"Y",""),"")</f>
        <v>Y</v>
      </c>
      <c r="J22" s="25" t="str">
        <f>IFERROR(IF(VLOOKUP(TableHandbook[[#This Row],[UDC]],TableAvailabilities[],5,FALSE)&gt;0,"Y",""),"")</f>
        <v/>
      </c>
      <c r="K22" s="68"/>
      <c r="L22" s="70" t="str">
        <f>IFERROR(VLOOKUP(TableHandbook[[#This Row],[UDC]],TableBMASCOMS[],7,FALSE),"")</f>
        <v/>
      </c>
      <c r="M22" s="70" t="str">
        <f>IFERROR(VLOOKUP(TableHandbook[[#This Row],[UDC]],TableSPUCCSCOM[],7,FALSE),"")</f>
        <v/>
      </c>
      <c r="N22" s="70" t="str">
        <f>IFERROR(VLOOKUP(TableHandbook[[#This Row],[UDC]],TableSPUCJOURL[],7,FALSE),"")</f>
        <v/>
      </c>
      <c r="O22" s="70" t="str">
        <f>IFERROR(VLOOKUP(TableHandbook[[#This Row],[UDC]],TableSPUCWMCOM[],7,FALSE),"")</f>
        <v/>
      </c>
      <c r="P22" s="70" t="str">
        <f>IFERROR(VLOOKUP(TableHandbook[[#This Row],[UDC]],TableSPUCDECOM[],7,FALSE),"")</f>
        <v>Option</v>
      </c>
      <c r="Q22" s="70" t="str">
        <f>IFERROR(VLOOKUP(TableHandbook[[#This Row],[UDC]],TableSPUCGRCOM[],7,FALSE),"")</f>
        <v/>
      </c>
      <c r="R22" s="70" t="str">
        <f>IFERROR(VLOOKUP(TableHandbook[[#This Row],[UDC]],TableSPUPJOURL[],7,FALSE),"")</f>
        <v/>
      </c>
      <c r="S22" s="70" t="str">
        <f>IFERROR(VLOOKUP(TableHandbook[[#This Row],[UDC]],TableSPUCMKCOM[],7,FALSE),"")</f>
        <v/>
      </c>
      <c r="T22" s="70" t="str">
        <f>IFERROR(VLOOKUP(TableHandbook[[#This Row],[UDC]],TableSPUCPHCOM[],7,FALSE),"")</f>
        <v/>
      </c>
      <c r="U22" s="70" t="str">
        <f>IFERROR(VLOOKUP(TableHandbook[[#This Row],[UDC]],TableSPUCPRCOM[],7,FALSE),"")</f>
        <v/>
      </c>
    </row>
    <row r="23" spans="1:21" x14ac:dyDescent="0.3">
      <c r="A23" s="5" t="s">
        <v>144</v>
      </c>
      <c r="B23" s="6">
        <v>1</v>
      </c>
      <c r="C23" s="6"/>
      <c r="D23" s="5" t="s">
        <v>236</v>
      </c>
      <c r="E23" s="6">
        <v>25</v>
      </c>
      <c r="F23" s="90" t="s">
        <v>134</v>
      </c>
      <c r="G23" s="25" t="str">
        <f>IFERROR(IF(VLOOKUP(TableHandbook[[#This Row],[UDC]],TableAvailabilities[],2,FALSE)&gt;0,"Y",""),"")</f>
        <v>Y</v>
      </c>
      <c r="H23" s="25" t="str">
        <f>IFERROR(IF(VLOOKUP(TableHandbook[[#This Row],[UDC]],TableAvailabilities[],3,FALSE)&gt;0,"Y",""),"")</f>
        <v/>
      </c>
      <c r="I23" s="25" t="str">
        <f>IFERROR(IF(VLOOKUP(TableHandbook[[#This Row],[UDC]],TableAvailabilities[],4,FALSE)&gt;0,"Y",""),"")</f>
        <v>Y</v>
      </c>
      <c r="J23" s="25" t="str">
        <f>IFERROR(IF(VLOOKUP(TableHandbook[[#This Row],[UDC]],TableAvailabilities[],5,FALSE)&gt;0,"Y",""),"")</f>
        <v/>
      </c>
      <c r="K23" s="68"/>
      <c r="L23" s="70" t="str">
        <f>IFERROR(VLOOKUP(TableHandbook[[#This Row],[UDC]],TableBMASCOMS[],7,FALSE),"")</f>
        <v/>
      </c>
      <c r="M23" s="70" t="str">
        <f>IFERROR(VLOOKUP(TableHandbook[[#This Row],[UDC]],TableSPUCCSCOM[],7,FALSE),"")</f>
        <v/>
      </c>
      <c r="N23" s="70" t="str">
        <f>IFERROR(VLOOKUP(TableHandbook[[#This Row],[UDC]],TableSPUCJOURL[],7,FALSE),"")</f>
        <v/>
      </c>
      <c r="O23" s="70" t="str">
        <f>IFERROR(VLOOKUP(TableHandbook[[#This Row],[UDC]],TableSPUCWMCOM[],7,FALSE),"")</f>
        <v/>
      </c>
      <c r="P23" s="70" t="str">
        <f>IFERROR(VLOOKUP(TableHandbook[[#This Row],[UDC]],TableSPUCDECOM[],7,FALSE),"")</f>
        <v/>
      </c>
      <c r="Q23" s="70" t="str">
        <f>IFERROR(VLOOKUP(TableHandbook[[#This Row],[UDC]],TableSPUCGRCOM[],7,FALSE),"")</f>
        <v/>
      </c>
      <c r="R23" s="70" t="str">
        <f>IFERROR(VLOOKUP(TableHandbook[[#This Row],[UDC]],TableSPUPJOURL[],7,FALSE),"")</f>
        <v/>
      </c>
      <c r="S23" s="70" t="str">
        <f>IFERROR(VLOOKUP(TableHandbook[[#This Row],[UDC]],TableSPUCMKCOM[],7,FALSE),"")</f>
        <v/>
      </c>
      <c r="T23" s="70" t="str">
        <f>IFERROR(VLOOKUP(TableHandbook[[#This Row],[UDC]],TableSPUCPHCOM[],7,FALSE),"")</f>
        <v>Core</v>
      </c>
      <c r="U23" s="70" t="str">
        <f>IFERROR(VLOOKUP(TableHandbook[[#This Row],[UDC]],TableSPUCPRCOM[],7,FALSE),"")</f>
        <v/>
      </c>
    </row>
    <row r="24" spans="1:21" x14ac:dyDescent="0.3">
      <c r="A24" s="5" t="s">
        <v>152</v>
      </c>
      <c r="B24" s="6">
        <v>1</v>
      </c>
      <c r="C24" s="6"/>
      <c r="D24" s="5" t="s">
        <v>237</v>
      </c>
      <c r="E24" s="6">
        <v>25</v>
      </c>
      <c r="F24" s="90" t="s">
        <v>238</v>
      </c>
      <c r="G24" s="25" t="str">
        <f>IFERROR(IF(VLOOKUP(TableHandbook[[#This Row],[UDC]],TableAvailabilities[],2,FALSE)&gt;0,"Y",""),"")</f>
        <v>Y</v>
      </c>
      <c r="H24" s="25" t="str">
        <f>IFERROR(IF(VLOOKUP(TableHandbook[[#This Row],[UDC]],TableAvailabilities[],3,FALSE)&gt;0,"Y",""),"")</f>
        <v/>
      </c>
      <c r="I24" s="25" t="str">
        <f>IFERROR(IF(VLOOKUP(TableHandbook[[#This Row],[UDC]],TableAvailabilities[],4,FALSE)&gt;0,"Y",""),"")</f>
        <v>Y</v>
      </c>
      <c r="J24" s="25" t="str">
        <f>IFERROR(IF(VLOOKUP(TableHandbook[[#This Row],[UDC]],TableAvailabilities[],5,FALSE)&gt;0,"Y",""),"")</f>
        <v/>
      </c>
      <c r="K24" s="68"/>
      <c r="L24" s="70" t="str">
        <f>IFERROR(VLOOKUP(TableHandbook[[#This Row],[UDC]],TableBMASCOMS[],7,FALSE),"")</f>
        <v/>
      </c>
      <c r="M24" s="70" t="str">
        <f>IFERROR(VLOOKUP(TableHandbook[[#This Row],[UDC]],TableSPUCCSCOM[],7,FALSE),"")</f>
        <v/>
      </c>
      <c r="N24" s="70" t="str">
        <f>IFERROR(VLOOKUP(TableHandbook[[#This Row],[UDC]],TableSPUCJOURL[],7,FALSE),"")</f>
        <v/>
      </c>
      <c r="O24" s="70" t="str">
        <f>IFERROR(VLOOKUP(TableHandbook[[#This Row],[UDC]],TableSPUCWMCOM[],7,FALSE),"")</f>
        <v/>
      </c>
      <c r="P24" s="70" t="str">
        <f>IFERROR(VLOOKUP(TableHandbook[[#This Row],[UDC]],TableSPUCDECOM[],7,FALSE),"")</f>
        <v/>
      </c>
      <c r="Q24" s="70" t="str">
        <f>IFERROR(VLOOKUP(TableHandbook[[#This Row],[UDC]],TableSPUCGRCOM[],7,FALSE),"")</f>
        <v>Core</v>
      </c>
      <c r="R24" s="70" t="str">
        <f>IFERROR(VLOOKUP(TableHandbook[[#This Row],[UDC]],TableSPUPJOURL[],7,FALSE),"")</f>
        <v/>
      </c>
      <c r="S24" s="70" t="str">
        <f>IFERROR(VLOOKUP(TableHandbook[[#This Row],[UDC]],TableSPUCMKCOM[],7,FALSE),"")</f>
        <v/>
      </c>
      <c r="T24" s="70" t="str">
        <f>IFERROR(VLOOKUP(TableHandbook[[#This Row],[UDC]],TableSPUCPHCOM[],7,FALSE),"")</f>
        <v/>
      </c>
      <c r="U24" s="70" t="str">
        <f>IFERROR(VLOOKUP(TableHandbook[[#This Row],[UDC]],TableSPUCPRCOM[],7,FALSE),"")</f>
        <v/>
      </c>
    </row>
    <row r="25" spans="1:21" x14ac:dyDescent="0.3">
      <c r="A25" s="5" t="s">
        <v>134</v>
      </c>
      <c r="B25" s="6">
        <v>1</v>
      </c>
      <c r="C25" s="6"/>
      <c r="D25" s="5" t="s">
        <v>239</v>
      </c>
      <c r="E25" s="6">
        <v>25</v>
      </c>
      <c r="F25" s="90" t="s">
        <v>208</v>
      </c>
      <c r="G25" s="25" t="str">
        <f>IFERROR(IF(VLOOKUP(TableHandbook[[#This Row],[UDC]],TableAvailabilities[],2,FALSE)&gt;0,"Y",""),"")</f>
        <v>Y</v>
      </c>
      <c r="H25" s="25" t="str">
        <f>IFERROR(IF(VLOOKUP(TableHandbook[[#This Row],[UDC]],TableAvailabilities[],3,FALSE)&gt;0,"Y",""),"")</f>
        <v/>
      </c>
      <c r="I25" s="25" t="str">
        <f>IFERROR(IF(VLOOKUP(TableHandbook[[#This Row],[UDC]],TableAvailabilities[],4,FALSE)&gt;0,"Y",""),"")</f>
        <v>Y</v>
      </c>
      <c r="J25" s="25" t="str">
        <f>IFERROR(IF(VLOOKUP(TableHandbook[[#This Row],[UDC]],TableAvailabilities[],5,FALSE)&gt;0,"Y",""),"")</f>
        <v/>
      </c>
      <c r="K25" s="68"/>
      <c r="L25" s="70" t="str">
        <f>IFERROR(VLOOKUP(TableHandbook[[#This Row],[UDC]],TableBMASCOMS[],7,FALSE),"")</f>
        <v/>
      </c>
      <c r="M25" s="70" t="str">
        <f>IFERROR(VLOOKUP(TableHandbook[[#This Row],[UDC]],TableSPUCCSCOM[],7,FALSE),"")</f>
        <v/>
      </c>
      <c r="N25" s="70" t="str">
        <f>IFERROR(VLOOKUP(TableHandbook[[#This Row],[UDC]],TableSPUCJOURL[],7,FALSE),"")</f>
        <v/>
      </c>
      <c r="O25" s="70" t="str">
        <f>IFERROR(VLOOKUP(TableHandbook[[#This Row],[UDC]],TableSPUCWMCOM[],7,FALSE),"")</f>
        <v/>
      </c>
      <c r="P25" s="70" t="str">
        <f>IFERROR(VLOOKUP(TableHandbook[[#This Row],[UDC]],TableSPUCDECOM[],7,FALSE),"")</f>
        <v/>
      </c>
      <c r="Q25" s="70" t="str">
        <f>IFERROR(VLOOKUP(TableHandbook[[#This Row],[UDC]],TableSPUCGRCOM[],7,FALSE),"")</f>
        <v/>
      </c>
      <c r="R25" s="70" t="str">
        <f>IFERROR(VLOOKUP(TableHandbook[[#This Row],[UDC]],TableSPUPJOURL[],7,FALSE),"")</f>
        <v/>
      </c>
      <c r="S25" s="70" t="str">
        <f>IFERROR(VLOOKUP(TableHandbook[[#This Row],[UDC]],TableSPUCMKCOM[],7,FALSE),"")</f>
        <v/>
      </c>
      <c r="T25" s="70" t="str">
        <f>IFERROR(VLOOKUP(TableHandbook[[#This Row],[UDC]],TableSPUCPHCOM[],7,FALSE),"")</f>
        <v>Core</v>
      </c>
      <c r="U25" s="70" t="str">
        <f>IFERROR(VLOOKUP(TableHandbook[[#This Row],[UDC]],TableSPUCPRCOM[],7,FALSE),"")</f>
        <v/>
      </c>
    </row>
    <row r="26" spans="1:21" x14ac:dyDescent="0.3">
      <c r="A26" s="5" t="s">
        <v>177</v>
      </c>
      <c r="B26" s="6">
        <v>1</v>
      </c>
      <c r="C26" s="6"/>
      <c r="D26" s="5" t="s">
        <v>240</v>
      </c>
      <c r="E26" s="6">
        <v>25</v>
      </c>
      <c r="F26" s="90" t="s">
        <v>116</v>
      </c>
      <c r="G26" s="25" t="str">
        <f>IFERROR(IF(VLOOKUP(TableHandbook[[#This Row],[UDC]],TableAvailabilities[],2,FALSE)&gt;0,"Y",""),"")</f>
        <v>Y</v>
      </c>
      <c r="H26" s="25" t="str">
        <f>IFERROR(IF(VLOOKUP(TableHandbook[[#This Row],[UDC]],TableAvailabilities[],3,FALSE)&gt;0,"Y",""),"")</f>
        <v/>
      </c>
      <c r="I26" s="25" t="str">
        <f>IFERROR(IF(VLOOKUP(TableHandbook[[#This Row],[UDC]],TableAvailabilities[],4,FALSE)&gt;0,"Y",""),"")</f>
        <v>Y</v>
      </c>
      <c r="J26" s="25" t="str">
        <f>IFERROR(IF(VLOOKUP(TableHandbook[[#This Row],[UDC]],TableAvailabilities[],5,FALSE)&gt;0,"Y",""),"")</f>
        <v/>
      </c>
      <c r="K26" s="68"/>
      <c r="L26" s="70" t="str">
        <f>IFERROR(VLOOKUP(TableHandbook[[#This Row],[UDC]],TableBMASCOMS[],7,FALSE),"")</f>
        <v/>
      </c>
      <c r="M26" s="70" t="str">
        <f>IFERROR(VLOOKUP(TableHandbook[[#This Row],[UDC]],TableSPUCCSCOM[],7,FALSE),"")</f>
        <v/>
      </c>
      <c r="N26" s="70" t="str">
        <f>IFERROR(VLOOKUP(TableHandbook[[#This Row],[UDC]],TableSPUCJOURL[],7,FALSE),"")</f>
        <v/>
      </c>
      <c r="O26" s="70" t="str">
        <f>IFERROR(VLOOKUP(TableHandbook[[#This Row],[UDC]],TableSPUCWMCOM[],7,FALSE),"")</f>
        <v/>
      </c>
      <c r="P26" s="70" t="str">
        <f>IFERROR(VLOOKUP(TableHandbook[[#This Row],[UDC]],TableSPUCDECOM[],7,FALSE),"")</f>
        <v/>
      </c>
      <c r="Q26" s="70" t="str">
        <f>IFERROR(VLOOKUP(TableHandbook[[#This Row],[UDC]],TableSPUCGRCOM[],7,FALSE),"")</f>
        <v>Option</v>
      </c>
      <c r="R26" s="70" t="str">
        <f>IFERROR(VLOOKUP(TableHandbook[[#This Row],[UDC]],TableSPUPJOURL[],7,FALSE),"")</f>
        <v/>
      </c>
      <c r="S26" s="70" t="str">
        <f>IFERROR(VLOOKUP(TableHandbook[[#This Row],[UDC]],TableSPUCMKCOM[],7,FALSE),"")</f>
        <v/>
      </c>
      <c r="T26" s="70" t="str">
        <f>IFERROR(VLOOKUP(TableHandbook[[#This Row],[UDC]],TableSPUCPHCOM[],7,FALSE),"")</f>
        <v/>
      </c>
      <c r="U26" s="70" t="str">
        <f>IFERROR(VLOOKUP(TableHandbook[[#This Row],[UDC]],TableSPUCPRCOM[],7,FALSE),"")</f>
        <v/>
      </c>
    </row>
    <row r="27" spans="1:21" x14ac:dyDescent="0.3">
      <c r="A27" s="5" t="s">
        <v>159</v>
      </c>
      <c r="B27" s="6">
        <v>3</v>
      </c>
      <c r="C27" s="6"/>
      <c r="D27" s="5" t="s">
        <v>241</v>
      </c>
      <c r="E27" s="6">
        <v>25</v>
      </c>
      <c r="F27" s="90" t="s">
        <v>151</v>
      </c>
      <c r="G27" s="25" t="str">
        <f>IFERROR(IF(VLOOKUP(TableHandbook[[#This Row],[UDC]],TableAvailabilities[],2,FALSE)&gt;0,"Y",""),"")</f>
        <v/>
      </c>
      <c r="H27" s="25" t="str">
        <f>IFERROR(IF(VLOOKUP(TableHandbook[[#This Row],[UDC]],TableAvailabilities[],3,FALSE)&gt;0,"Y",""),"")</f>
        <v/>
      </c>
      <c r="I27" s="25" t="str">
        <f>IFERROR(IF(VLOOKUP(TableHandbook[[#This Row],[UDC]],TableAvailabilities[],4,FALSE)&gt;0,"Y",""),"")</f>
        <v>Y</v>
      </c>
      <c r="J27" s="25" t="str">
        <f>IFERROR(IF(VLOOKUP(TableHandbook[[#This Row],[UDC]],TableAvailabilities[],5,FALSE)&gt;0,"Y",""),"")</f>
        <v/>
      </c>
      <c r="K27" s="68"/>
      <c r="L27" s="70" t="str">
        <f>IFERROR(VLOOKUP(TableHandbook[[#This Row],[UDC]],TableBMASCOMS[],7,FALSE),"")</f>
        <v/>
      </c>
      <c r="M27" s="70" t="str">
        <f>IFERROR(VLOOKUP(TableHandbook[[#This Row],[UDC]],TableSPUCCSCOM[],7,FALSE),"")</f>
        <v/>
      </c>
      <c r="N27" s="70" t="str">
        <f>IFERROR(VLOOKUP(TableHandbook[[#This Row],[UDC]],TableSPUCJOURL[],7,FALSE),"")</f>
        <v/>
      </c>
      <c r="O27" s="70" t="str">
        <f>IFERROR(VLOOKUP(TableHandbook[[#This Row],[UDC]],TableSPUCWMCOM[],7,FALSE),"")</f>
        <v/>
      </c>
      <c r="P27" s="70" t="str">
        <f>IFERROR(VLOOKUP(TableHandbook[[#This Row],[UDC]],TableSPUCDECOM[],7,FALSE),"")</f>
        <v>Core</v>
      </c>
      <c r="Q27" s="70" t="str">
        <f>IFERROR(VLOOKUP(TableHandbook[[#This Row],[UDC]],TableSPUCGRCOM[],7,FALSE),"")</f>
        <v/>
      </c>
      <c r="R27" s="70" t="str">
        <f>IFERROR(VLOOKUP(TableHandbook[[#This Row],[UDC]],TableSPUPJOURL[],7,FALSE),"")</f>
        <v/>
      </c>
      <c r="S27" s="70" t="str">
        <f>IFERROR(VLOOKUP(TableHandbook[[#This Row],[UDC]],TableSPUCMKCOM[],7,FALSE),"")</f>
        <v/>
      </c>
      <c r="T27" s="70" t="str">
        <f>IFERROR(VLOOKUP(TableHandbook[[#This Row],[UDC]],TableSPUCPHCOM[],7,FALSE),"")</f>
        <v/>
      </c>
      <c r="U27" s="70" t="str">
        <f>IFERROR(VLOOKUP(TableHandbook[[#This Row],[UDC]],TableSPUCPRCOM[],7,FALSE),"")</f>
        <v/>
      </c>
    </row>
    <row r="28" spans="1:21" x14ac:dyDescent="0.3">
      <c r="A28" s="5" t="s">
        <v>151</v>
      </c>
      <c r="B28" s="6">
        <v>4</v>
      </c>
      <c r="C28" s="6"/>
      <c r="D28" s="5" t="s">
        <v>242</v>
      </c>
      <c r="E28" s="6">
        <v>25</v>
      </c>
      <c r="F28" s="90" t="s">
        <v>234</v>
      </c>
      <c r="G28" s="25" t="str">
        <f>IFERROR(IF(VLOOKUP(TableHandbook[[#This Row],[UDC]],TableAvailabilities[],2,FALSE)&gt;0,"Y",""),"")</f>
        <v>Y</v>
      </c>
      <c r="H28" s="25" t="str">
        <f>IFERROR(IF(VLOOKUP(TableHandbook[[#This Row],[UDC]],TableAvailabilities[],3,FALSE)&gt;0,"Y",""),"")</f>
        <v/>
      </c>
      <c r="I28" s="25" t="str">
        <f>IFERROR(IF(VLOOKUP(TableHandbook[[#This Row],[UDC]],TableAvailabilities[],4,FALSE)&gt;0,"Y",""),"")</f>
        <v/>
      </c>
      <c r="J28" s="25" t="str">
        <f>IFERROR(IF(VLOOKUP(TableHandbook[[#This Row],[UDC]],TableAvailabilities[],5,FALSE)&gt;0,"Y",""),"")</f>
        <v/>
      </c>
      <c r="K28" s="68" t="s">
        <v>226</v>
      </c>
      <c r="L28" s="70" t="str">
        <f>IFERROR(VLOOKUP(TableHandbook[[#This Row],[UDC]],TableBMASCOMS[],7,FALSE),"")</f>
        <v/>
      </c>
      <c r="M28" s="70" t="str">
        <f>IFERROR(VLOOKUP(TableHandbook[[#This Row],[UDC]],TableSPUCCSCOM[],7,FALSE),"")</f>
        <v/>
      </c>
      <c r="N28" s="70" t="str">
        <f>IFERROR(VLOOKUP(TableHandbook[[#This Row],[UDC]],TableSPUCJOURL[],7,FALSE),"")</f>
        <v/>
      </c>
      <c r="O28" s="70" t="str">
        <f>IFERROR(VLOOKUP(TableHandbook[[#This Row],[UDC]],TableSPUCWMCOM[],7,FALSE),"")</f>
        <v/>
      </c>
      <c r="P28" s="70" t="str">
        <f>IFERROR(VLOOKUP(TableHandbook[[#This Row],[UDC]],TableSPUCDECOM[],7,FALSE),"")</f>
        <v>Core</v>
      </c>
      <c r="Q28" s="70" t="str">
        <f>IFERROR(VLOOKUP(TableHandbook[[#This Row],[UDC]],TableSPUCGRCOM[],7,FALSE),"")</f>
        <v/>
      </c>
      <c r="R28" s="70" t="str">
        <f>IFERROR(VLOOKUP(TableHandbook[[#This Row],[UDC]],TableSPUPJOURL[],7,FALSE),"")</f>
        <v/>
      </c>
      <c r="S28" s="70" t="str">
        <f>IFERROR(VLOOKUP(TableHandbook[[#This Row],[UDC]],TableSPUCMKCOM[],7,FALSE),"")</f>
        <v/>
      </c>
      <c r="T28" s="70" t="str">
        <f>IFERROR(VLOOKUP(TableHandbook[[#This Row],[UDC]],TableSPUCPHCOM[],7,FALSE),"")</f>
        <v/>
      </c>
      <c r="U28" s="70" t="str">
        <f>IFERROR(VLOOKUP(TableHandbook[[#This Row],[UDC]],TableSPUCPRCOM[],7,FALSE),"")</f>
        <v/>
      </c>
    </row>
    <row r="29" spans="1:21" x14ac:dyDescent="0.3">
      <c r="A29" s="5" t="s">
        <v>243</v>
      </c>
      <c r="B29" s="6">
        <v>3</v>
      </c>
      <c r="C29" s="6"/>
      <c r="D29" s="5" t="s">
        <v>242</v>
      </c>
      <c r="E29" s="6">
        <v>25</v>
      </c>
      <c r="F29" s="90" t="s">
        <v>234</v>
      </c>
      <c r="G29" s="25" t="str">
        <f>IFERROR(IF(VLOOKUP(TableHandbook[[#This Row],[UDC]],TableAvailabilities[],2,FALSE)&gt;0,"Y",""),"")</f>
        <v/>
      </c>
      <c r="H29" s="25" t="str">
        <f>IFERROR(IF(VLOOKUP(TableHandbook[[#This Row],[UDC]],TableAvailabilities[],3,FALSE)&gt;0,"Y",""),"")</f>
        <v/>
      </c>
      <c r="I29" s="25" t="str">
        <f>IFERROR(IF(VLOOKUP(TableHandbook[[#This Row],[UDC]],TableAvailabilities[],4,FALSE)&gt;0,"Y",""),"")</f>
        <v/>
      </c>
      <c r="J29" s="25" t="str">
        <f>IFERROR(IF(VLOOKUP(TableHandbook[[#This Row],[UDC]],TableAvailabilities[],5,FALSE)&gt;0,"Y",""),"")</f>
        <v/>
      </c>
      <c r="K29" s="68" t="s">
        <v>228</v>
      </c>
      <c r="L29" s="70" t="str">
        <f>IFERROR(VLOOKUP(TableHandbook[[#This Row],[UDC]],TableBMASCOMS[],7,FALSE),"")</f>
        <v/>
      </c>
      <c r="M29" s="70" t="str">
        <f>IFERROR(VLOOKUP(TableHandbook[[#This Row],[UDC]],TableSPUCCSCOM[],7,FALSE),"")</f>
        <v/>
      </c>
      <c r="N29" s="70" t="str">
        <f>IFERROR(VLOOKUP(TableHandbook[[#This Row],[UDC]],TableSPUCJOURL[],7,FALSE),"")</f>
        <v/>
      </c>
      <c r="O29" s="70" t="str">
        <f>IFERROR(VLOOKUP(TableHandbook[[#This Row],[UDC]],TableSPUCWMCOM[],7,FALSE),"")</f>
        <v/>
      </c>
      <c r="P29" s="70" t="str">
        <f>IFERROR(VLOOKUP(TableHandbook[[#This Row],[UDC]],TableSPUCDECOM[],7,FALSE),"")</f>
        <v/>
      </c>
      <c r="Q29" s="70" t="str">
        <f>IFERROR(VLOOKUP(TableHandbook[[#This Row],[UDC]],TableSPUCGRCOM[],7,FALSE),"")</f>
        <v/>
      </c>
      <c r="R29" s="70" t="str">
        <f>IFERROR(VLOOKUP(TableHandbook[[#This Row],[UDC]],TableSPUPJOURL[],7,FALSE),"")</f>
        <v/>
      </c>
      <c r="S29" s="70" t="str">
        <f>IFERROR(VLOOKUP(TableHandbook[[#This Row],[UDC]],TableSPUCMKCOM[],7,FALSE),"")</f>
        <v/>
      </c>
      <c r="T29" s="70" t="str">
        <f>IFERROR(VLOOKUP(TableHandbook[[#This Row],[UDC]],TableSPUCPHCOM[],7,FALSE),"")</f>
        <v/>
      </c>
      <c r="U29" s="70" t="str">
        <f>IFERROR(VLOOKUP(TableHandbook[[#This Row],[UDC]],TableSPUCPRCOM[],7,FALSE),"")</f>
        <v/>
      </c>
    </row>
    <row r="30" spans="1:21" ht="27" x14ac:dyDescent="0.3">
      <c r="A30" s="5" t="s">
        <v>114</v>
      </c>
      <c r="B30" s="6">
        <v>1</v>
      </c>
      <c r="C30" s="6"/>
      <c r="D30" s="5" t="s">
        <v>244</v>
      </c>
      <c r="E30" s="6">
        <v>25</v>
      </c>
      <c r="F30" s="90" t="s">
        <v>208</v>
      </c>
      <c r="G30" s="25" t="str">
        <f>IFERROR(IF(VLOOKUP(TableHandbook[[#This Row],[UDC]],TableAvailabilities[],2,FALSE)&gt;0,"Y",""),"")</f>
        <v>Y</v>
      </c>
      <c r="H30" s="25" t="str">
        <f>IFERROR(IF(VLOOKUP(TableHandbook[[#This Row],[UDC]],TableAvailabilities[],3,FALSE)&gt;0,"Y",""),"")</f>
        <v/>
      </c>
      <c r="I30" s="25" t="str">
        <f>IFERROR(IF(VLOOKUP(TableHandbook[[#This Row],[UDC]],TableAvailabilities[],4,FALSE)&gt;0,"Y",""),"")</f>
        <v>Y</v>
      </c>
      <c r="J30" s="25" t="str">
        <f>IFERROR(IF(VLOOKUP(TableHandbook[[#This Row],[UDC]],TableAvailabilities[],5,FALSE)&gt;0,"Y",""),"")</f>
        <v/>
      </c>
      <c r="K30" s="68" t="s">
        <v>245</v>
      </c>
      <c r="L30" s="70" t="str">
        <f>IFERROR(VLOOKUP(TableHandbook[[#This Row],[UDC]],TableBMASCOMS[],7,FALSE),"")</f>
        <v>Option</v>
      </c>
      <c r="M30" s="70" t="str">
        <f>IFERROR(VLOOKUP(TableHandbook[[#This Row],[UDC]],TableSPUCCSCOM[],7,FALSE),"")</f>
        <v/>
      </c>
      <c r="N30" s="70" t="str">
        <f>IFERROR(VLOOKUP(TableHandbook[[#This Row],[UDC]],TableSPUCJOURL[],7,FALSE),"")</f>
        <v>Option</v>
      </c>
      <c r="O30" s="70" t="str">
        <f>IFERROR(VLOOKUP(TableHandbook[[#This Row],[UDC]],TableSPUCWMCOM[],7,FALSE),"")</f>
        <v/>
      </c>
      <c r="P30" s="70" t="str">
        <f>IFERROR(VLOOKUP(TableHandbook[[#This Row],[UDC]],TableSPUCDECOM[],7,FALSE),"")</f>
        <v/>
      </c>
      <c r="Q30" s="70" t="str">
        <f>IFERROR(VLOOKUP(TableHandbook[[#This Row],[UDC]],TableSPUCGRCOM[],7,FALSE),"")</f>
        <v/>
      </c>
      <c r="R30" s="70" t="str">
        <f>IFERROR(VLOOKUP(TableHandbook[[#This Row],[UDC]],TableSPUPJOURL[],7,FALSE),"")</f>
        <v/>
      </c>
      <c r="S30" s="70" t="str">
        <f>IFERROR(VLOOKUP(TableHandbook[[#This Row],[UDC]],TableSPUCMKCOM[],7,FALSE),"")</f>
        <v/>
      </c>
      <c r="T30" s="70" t="str">
        <f>IFERROR(VLOOKUP(TableHandbook[[#This Row],[UDC]],TableSPUCPHCOM[],7,FALSE),"")</f>
        <v/>
      </c>
      <c r="U30" s="70" t="str">
        <f>IFERROR(VLOOKUP(TableHandbook[[#This Row],[UDC]],TableSPUCPRCOM[],7,FALSE),"")</f>
        <v/>
      </c>
    </row>
    <row r="31" spans="1:21" x14ac:dyDescent="0.3">
      <c r="A31" s="5" t="s">
        <v>131</v>
      </c>
      <c r="B31" s="6">
        <v>1</v>
      </c>
      <c r="C31" s="6"/>
      <c r="D31" s="5" t="s">
        <v>246</v>
      </c>
      <c r="E31" s="6">
        <v>25</v>
      </c>
      <c r="F31" s="90" t="s">
        <v>208</v>
      </c>
      <c r="G31" s="25" t="str">
        <f>IFERROR(IF(VLOOKUP(TableHandbook[[#This Row],[UDC]],TableAvailabilities[],2,FALSE)&gt;0,"Y",""),"")</f>
        <v/>
      </c>
      <c r="H31" s="25" t="str">
        <f>IFERROR(IF(VLOOKUP(TableHandbook[[#This Row],[UDC]],TableAvailabilities[],3,FALSE)&gt;0,"Y",""),"")</f>
        <v/>
      </c>
      <c r="I31" s="25" t="str">
        <f>IFERROR(IF(VLOOKUP(TableHandbook[[#This Row],[UDC]],TableAvailabilities[],4,FALSE)&gt;0,"Y",""),"")</f>
        <v>Y</v>
      </c>
      <c r="J31" s="25" t="str">
        <f>IFERROR(IF(VLOOKUP(TableHandbook[[#This Row],[UDC]],TableAvailabilities[],5,FALSE)&gt;0,"Y",""),"")</f>
        <v/>
      </c>
      <c r="K31" s="68"/>
      <c r="L31" s="70" t="str">
        <f>IFERROR(VLOOKUP(TableHandbook[[#This Row],[UDC]],TableBMASCOMS[],7,FALSE),"")</f>
        <v/>
      </c>
      <c r="M31" s="70" t="str">
        <f>IFERROR(VLOOKUP(TableHandbook[[#This Row],[UDC]],TableSPUCCSCOM[],7,FALSE),"")</f>
        <v/>
      </c>
      <c r="N31" s="70" t="str">
        <f>IFERROR(VLOOKUP(TableHandbook[[#This Row],[UDC]],TableSPUCJOURL[],7,FALSE),"")</f>
        <v>Option</v>
      </c>
      <c r="O31" s="70" t="str">
        <f>IFERROR(VLOOKUP(TableHandbook[[#This Row],[UDC]],TableSPUCWMCOM[],7,FALSE),"")</f>
        <v/>
      </c>
      <c r="P31" s="70" t="str">
        <f>IFERROR(VLOOKUP(TableHandbook[[#This Row],[UDC]],TableSPUCDECOM[],7,FALSE),"")</f>
        <v/>
      </c>
      <c r="Q31" s="70" t="str">
        <f>IFERROR(VLOOKUP(TableHandbook[[#This Row],[UDC]],TableSPUCGRCOM[],7,FALSE),"")</f>
        <v/>
      </c>
      <c r="R31" s="70" t="str">
        <f>IFERROR(VLOOKUP(TableHandbook[[#This Row],[UDC]],TableSPUPJOURL[],7,FALSE),"")</f>
        <v/>
      </c>
      <c r="S31" s="70" t="str">
        <f>IFERROR(VLOOKUP(TableHandbook[[#This Row],[UDC]],TableSPUCMKCOM[],7,FALSE),"")</f>
        <v/>
      </c>
      <c r="T31" s="70" t="str">
        <f>IFERROR(VLOOKUP(TableHandbook[[#This Row],[UDC]],TableSPUCPHCOM[],7,FALSE),"")</f>
        <v/>
      </c>
      <c r="U31" s="70" t="str">
        <f>IFERROR(VLOOKUP(TableHandbook[[#This Row],[UDC]],TableSPUCPRCOM[],7,FALSE),"")</f>
        <v/>
      </c>
    </row>
    <row r="32" spans="1:21" x14ac:dyDescent="0.3">
      <c r="A32" s="5" t="s">
        <v>139</v>
      </c>
      <c r="B32" s="6">
        <v>1</v>
      </c>
      <c r="C32" s="6"/>
      <c r="D32" s="5" t="s">
        <v>247</v>
      </c>
      <c r="E32" s="6">
        <v>25</v>
      </c>
      <c r="F32" s="90" t="s">
        <v>248</v>
      </c>
      <c r="G32" s="25" t="str">
        <f>IFERROR(IF(VLOOKUP(TableHandbook[[#This Row],[UDC]],TableAvailabilities[],2,FALSE)&gt;0,"Y",""),"")</f>
        <v>Y</v>
      </c>
      <c r="H32" s="25" t="str">
        <f>IFERROR(IF(VLOOKUP(TableHandbook[[#This Row],[UDC]],TableAvailabilities[],3,FALSE)&gt;0,"Y",""),"")</f>
        <v/>
      </c>
      <c r="I32" s="25" t="str">
        <f>IFERROR(IF(VLOOKUP(TableHandbook[[#This Row],[UDC]],TableAvailabilities[],4,FALSE)&gt;0,"Y",""),"")</f>
        <v/>
      </c>
      <c r="J32" s="25" t="str">
        <f>IFERROR(IF(VLOOKUP(TableHandbook[[#This Row],[UDC]],TableAvailabilities[],5,FALSE)&gt;0,"Y",""),"")</f>
        <v/>
      </c>
      <c r="K32" s="68"/>
      <c r="L32" s="70" t="str">
        <f>IFERROR(VLOOKUP(TableHandbook[[#This Row],[UDC]],TableBMASCOMS[],7,FALSE),"")</f>
        <v/>
      </c>
      <c r="M32" s="70" t="str">
        <f>IFERROR(VLOOKUP(TableHandbook[[#This Row],[UDC]],TableSPUCCSCOM[],7,FALSE),"")</f>
        <v/>
      </c>
      <c r="N32" s="70" t="str">
        <f>IFERROR(VLOOKUP(TableHandbook[[#This Row],[UDC]],TableSPUCJOURL[],7,FALSE),"")</f>
        <v>Option</v>
      </c>
      <c r="O32" s="70" t="str">
        <f>IFERROR(VLOOKUP(TableHandbook[[#This Row],[UDC]],TableSPUCWMCOM[],7,FALSE),"")</f>
        <v/>
      </c>
      <c r="P32" s="70" t="str">
        <f>IFERROR(VLOOKUP(TableHandbook[[#This Row],[UDC]],TableSPUCDECOM[],7,FALSE),"")</f>
        <v/>
      </c>
      <c r="Q32" s="70" t="str">
        <f>IFERROR(VLOOKUP(TableHandbook[[#This Row],[UDC]],TableSPUCGRCOM[],7,FALSE),"")</f>
        <v/>
      </c>
      <c r="R32" s="70" t="str">
        <f>IFERROR(VLOOKUP(TableHandbook[[#This Row],[UDC]],TableSPUPJOURL[],7,FALSE),"")</f>
        <v/>
      </c>
      <c r="S32" s="70" t="str">
        <f>IFERROR(VLOOKUP(TableHandbook[[#This Row],[UDC]],TableSPUCMKCOM[],7,FALSE),"")</f>
        <v/>
      </c>
      <c r="T32" s="70" t="str">
        <f>IFERROR(VLOOKUP(TableHandbook[[#This Row],[UDC]],TableSPUCPHCOM[],7,FALSE),"")</f>
        <v/>
      </c>
      <c r="U32" s="70" t="str">
        <f>IFERROR(VLOOKUP(TableHandbook[[#This Row],[UDC]],TableSPUCPRCOM[],7,FALSE),"")</f>
        <v/>
      </c>
    </row>
    <row r="33" spans="1:21" x14ac:dyDescent="0.3">
      <c r="A33" s="5" t="s">
        <v>149</v>
      </c>
      <c r="B33" s="6">
        <v>2</v>
      </c>
      <c r="C33" s="6"/>
      <c r="D33" s="5" t="s">
        <v>249</v>
      </c>
      <c r="E33" s="6">
        <v>25</v>
      </c>
      <c r="F33" s="90" t="s">
        <v>248</v>
      </c>
      <c r="G33" s="25" t="str">
        <f>IFERROR(IF(VLOOKUP(TableHandbook[[#This Row],[UDC]],TableAvailabilities[],2,FALSE)&gt;0,"Y",""),"")</f>
        <v>Y</v>
      </c>
      <c r="H33" s="25" t="str">
        <f>IFERROR(IF(VLOOKUP(TableHandbook[[#This Row],[UDC]],TableAvailabilities[],3,FALSE)&gt;0,"Y",""),"")</f>
        <v/>
      </c>
      <c r="I33" s="25" t="str">
        <f>IFERROR(IF(VLOOKUP(TableHandbook[[#This Row],[UDC]],TableAvailabilities[],4,FALSE)&gt;0,"Y",""),"")</f>
        <v>Y</v>
      </c>
      <c r="J33" s="25" t="str">
        <f>IFERROR(IF(VLOOKUP(TableHandbook[[#This Row],[UDC]],TableAvailabilities[],5,FALSE)&gt;0,"Y",""),"")</f>
        <v/>
      </c>
      <c r="K33" s="68"/>
      <c r="L33" s="70" t="str">
        <f>IFERROR(VLOOKUP(TableHandbook[[#This Row],[UDC]],TableBMASCOMS[],7,FALSE),"")</f>
        <v/>
      </c>
      <c r="M33" s="70" t="str">
        <f>IFERROR(VLOOKUP(TableHandbook[[#This Row],[UDC]],TableSPUCCSCOM[],7,FALSE),"")</f>
        <v/>
      </c>
      <c r="N33" s="70" t="str">
        <f>IFERROR(VLOOKUP(TableHandbook[[#This Row],[UDC]],TableSPUCJOURL[],7,FALSE),"")</f>
        <v>Option</v>
      </c>
      <c r="O33" s="70" t="str">
        <f>IFERROR(VLOOKUP(TableHandbook[[#This Row],[UDC]],TableSPUCWMCOM[],7,FALSE),"")</f>
        <v/>
      </c>
      <c r="P33" s="70" t="str">
        <f>IFERROR(VLOOKUP(TableHandbook[[#This Row],[UDC]],TableSPUCDECOM[],7,FALSE),"")</f>
        <v/>
      </c>
      <c r="Q33" s="70" t="str">
        <f>IFERROR(VLOOKUP(TableHandbook[[#This Row],[UDC]],TableSPUCGRCOM[],7,FALSE),"")</f>
        <v/>
      </c>
      <c r="R33" s="70" t="str">
        <f>IFERROR(VLOOKUP(TableHandbook[[#This Row],[UDC]],TableSPUPJOURL[],7,FALSE),"")</f>
        <v/>
      </c>
      <c r="S33" s="70" t="str">
        <f>IFERROR(VLOOKUP(TableHandbook[[#This Row],[UDC]],TableSPUCMKCOM[],7,FALSE),"")</f>
        <v/>
      </c>
      <c r="T33" s="70" t="str">
        <f>IFERROR(VLOOKUP(TableHandbook[[#This Row],[UDC]],TableSPUCPHCOM[],7,FALSE),"")</f>
        <v/>
      </c>
      <c r="U33" s="70" t="str">
        <f>IFERROR(VLOOKUP(TableHandbook[[#This Row],[UDC]],TableSPUCPRCOM[],7,FALSE),"")</f>
        <v/>
      </c>
    </row>
    <row r="34" spans="1:21" x14ac:dyDescent="0.3">
      <c r="A34" s="5" t="s">
        <v>157</v>
      </c>
      <c r="B34" s="6">
        <v>2</v>
      </c>
      <c r="C34" s="6"/>
      <c r="D34" s="5" t="s">
        <v>250</v>
      </c>
      <c r="E34" s="6">
        <v>25</v>
      </c>
      <c r="F34" s="90" t="s">
        <v>251</v>
      </c>
      <c r="G34" s="25" t="str">
        <f>IFERROR(IF(VLOOKUP(TableHandbook[[#This Row],[UDC]],TableAvailabilities[],2,FALSE)&gt;0,"Y",""),"")</f>
        <v>Y</v>
      </c>
      <c r="H34" s="25" t="str">
        <f>IFERROR(IF(VLOOKUP(TableHandbook[[#This Row],[UDC]],TableAvailabilities[],3,FALSE)&gt;0,"Y",""),"")</f>
        <v/>
      </c>
      <c r="I34" s="25" t="str">
        <f>IFERROR(IF(VLOOKUP(TableHandbook[[#This Row],[UDC]],TableAvailabilities[],4,FALSE)&gt;0,"Y",""),"")</f>
        <v/>
      </c>
      <c r="J34" s="25" t="str">
        <f>IFERROR(IF(VLOOKUP(TableHandbook[[#This Row],[UDC]],TableAvailabilities[],5,FALSE)&gt;0,"Y",""),"")</f>
        <v/>
      </c>
      <c r="K34" s="68"/>
      <c r="L34" s="70" t="str">
        <f>IFERROR(VLOOKUP(TableHandbook[[#This Row],[UDC]],TableBMASCOMS[],7,FALSE),"")</f>
        <v/>
      </c>
      <c r="M34" s="70" t="str">
        <f>IFERROR(VLOOKUP(TableHandbook[[#This Row],[UDC]],TableSPUCCSCOM[],7,FALSE),"")</f>
        <v/>
      </c>
      <c r="N34" s="70" t="str">
        <f>IFERROR(VLOOKUP(TableHandbook[[#This Row],[UDC]],TableSPUCJOURL[],7,FALSE),"")</f>
        <v>Option</v>
      </c>
      <c r="O34" s="70" t="str">
        <f>IFERROR(VLOOKUP(TableHandbook[[#This Row],[UDC]],TableSPUCWMCOM[],7,FALSE),"")</f>
        <v/>
      </c>
      <c r="P34" s="70" t="str">
        <f>IFERROR(VLOOKUP(TableHandbook[[#This Row],[UDC]],TableSPUCDECOM[],7,FALSE),"")</f>
        <v/>
      </c>
      <c r="Q34" s="70" t="str">
        <f>IFERROR(VLOOKUP(TableHandbook[[#This Row],[UDC]],TableSPUCGRCOM[],7,FALSE),"")</f>
        <v/>
      </c>
      <c r="R34" s="70" t="str">
        <f>IFERROR(VLOOKUP(TableHandbook[[#This Row],[UDC]],TableSPUPJOURL[],7,FALSE),"")</f>
        <v/>
      </c>
      <c r="S34" s="70" t="str">
        <f>IFERROR(VLOOKUP(TableHandbook[[#This Row],[UDC]],TableSPUCMKCOM[],7,FALSE),"")</f>
        <v/>
      </c>
      <c r="T34" s="70" t="str">
        <f>IFERROR(VLOOKUP(TableHandbook[[#This Row],[UDC]],TableSPUCPHCOM[],7,FALSE),"")</f>
        <v/>
      </c>
      <c r="U34" s="70" t="str">
        <f>IFERROR(VLOOKUP(TableHandbook[[#This Row],[UDC]],TableSPUCPRCOM[],7,FALSE),"")</f>
        <v/>
      </c>
    </row>
    <row r="35" spans="1:21" x14ac:dyDescent="0.3">
      <c r="A35" s="5" t="s">
        <v>119</v>
      </c>
      <c r="B35" s="6">
        <v>4</v>
      </c>
      <c r="C35" s="6"/>
      <c r="D35" s="5" t="s">
        <v>252</v>
      </c>
      <c r="E35" s="6">
        <v>25</v>
      </c>
      <c r="F35" s="90" t="s">
        <v>208</v>
      </c>
      <c r="G35" s="25" t="str">
        <f>IFERROR(IF(VLOOKUP(TableHandbook[[#This Row],[UDC]],TableAvailabilities[],2,FALSE)&gt;0,"Y",""),"")</f>
        <v>Y</v>
      </c>
      <c r="H35" s="25" t="str">
        <f>IFERROR(IF(VLOOKUP(TableHandbook[[#This Row],[UDC]],TableAvailabilities[],3,FALSE)&gt;0,"Y",""),"")</f>
        <v/>
      </c>
      <c r="I35" s="25" t="str">
        <f>IFERROR(IF(VLOOKUP(TableHandbook[[#This Row],[UDC]],TableAvailabilities[],4,FALSE)&gt;0,"Y",""),"")</f>
        <v/>
      </c>
      <c r="J35" s="25" t="str">
        <f>IFERROR(IF(VLOOKUP(TableHandbook[[#This Row],[UDC]],TableAvailabilities[],5,FALSE)&gt;0,"Y",""),"")</f>
        <v/>
      </c>
      <c r="K35" s="68" t="s">
        <v>226</v>
      </c>
      <c r="L35" s="70" t="str">
        <f>IFERROR(VLOOKUP(TableHandbook[[#This Row],[UDC]],TableBMASCOMS[],7,FALSE),"")</f>
        <v/>
      </c>
      <c r="M35" s="70" t="str">
        <f>IFERROR(VLOOKUP(TableHandbook[[#This Row],[UDC]],TableSPUCCSCOM[],7,FALSE),"")</f>
        <v/>
      </c>
      <c r="N35" s="70" t="str">
        <f>IFERROR(VLOOKUP(TableHandbook[[#This Row],[UDC]],TableSPUCJOURL[],7,FALSE),"")</f>
        <v/>
      </c>
      <c r="O35" s="70" t="str">
        <f>IFERROR(VLOOKUP(TableHandbook[[#This Row],[UDC]],TableSPUCWMCOM[],7,FALSE),"")</f>
        <v/>
      </c>
      <c r="P35" s="70" t="str">
        <f>IFERROR(VLOOKUP(TableHandbook[[#This Row],[UDC]],TableSPUCDECOM[],7,FALSE),"")</f>
        <v/>
      </c>
      <c r="Q35" s="70" t="str">
        <f>IFERROR(VLOOKUP(TableHandbook[[#This Row],[UDC]],TableSPUCGRCOM[],7,FALSE),"")</f>
        <v/>
      </c>
      <c r="R35" s="70" t="str">
        <f>IFERROR(VLOOKUP(TableHandbook[[#This Row],[UDC]],TableSPUPJOURL[],7,FALSE),"")</f>
        <v>Core</v>
      </c>
      <c r="S35" s="70" t="str">
        <f>IFERROR(VLOOKUP(TableHandbook[[#This Row],[UDC]],TableSPUCMKCOM[],7,FALSE),"")</f>
        <v/>
      </c>
      <c r="T35" s="70" t="str">
        <f>IFERROR(VLOOKUP(TableHandbook[[#This Row],[UDC]],TableSPUCPHCOM[],7,FALSE),"")</f>
        <v/>
      </c>
      <c r="U35" s="70" t="str">
        <f>IFERROR(VLOOKUP(TableHandbook[[#This Row],[UDC]],TableSPUCPRCOM[],7,FALSE),"")</f>
        <v/>
      </c>
    </row>
    <row r="36" spans="1:21" x14ac:dyDescent="0.3">
      <c r="A36" s="5" t="s">
        <v>253</v>
      </c>
      <c r="B36" s="6">
        <v>3</v>
      </c>
      <c r="C36" s="6"/>
      <c r="D36" s="5" t="s">
        <v>254</v>
      </c>
      <c r="E36" s="6">
        <v>25</v>
      </c>
      <c r="F36" s="90" t="s">
        <v>208</v>
      </c>
      <c r="G36" s="25" t="str">
        <f>IFERROR(IF(VLOOKUP(TableHandbook[[#This Row],[UDC]],TableAvailabilities[],2,FALSE)&gt;0,"Y",""),"")</f>
        <v/>
      </c>
      <c r="H36" s="25" t="str">
        <f>IFERROR(IF(VLOOKUP(TableHandbook[[#This Row],[UDC]],TableAvailabilities[],3,FALSE)&gt;0,"Y",""),"")</f>
        <v/>
      </c>
      <c r="I36" s="25" t="str">
        <f>IFERROR(IF(VLOOKUP(TableHandbook[[#This Row],[UDC]],TableAvailabilities[],4,FALSE)&gt;0,"Y",""),"")</f>
        <v/>
      </c>
      <c r="J36" s="25" t="str">
        <f>IFERROR(IF(VLOOKUP(TableHandbook[[#This Row],[UDC]],TableAvailabilities[],5,FALSE)&gt;0,"Y",""),"")</f>
        <v/>
      </c>
      <c r="K36" s="68" t="s">
        <v>228</v>
      </c>
      <c r="L36" s="70" t="str">
        <f>IFERROR(VLOOKUP(TableHandbook[[#This Row],[UDC]],TableBMASCOMS[],7,FALSE),"")</f>
        <v/>
      </c>
      <c r="M36" s="70" t="str">
        <f>IFERROR(VLOOKUP(TableHandbook[[#This Row],[UDC]],TableSPUCCSCOM[],7,FALSE),"")</f>
        <v/>
      </c>
      <c r="N36" s="70" t="str">
        <f>IFERROR(VLOOKUP(TableHandbook[[#This Row],[UDC]],TableSPUCJOURL[],7,FALSE),"")</f>
        <v/>
      </c>
      <c r="O36" s="70" t="str">
        <f>IFERROR(VLOOKUP(TableHandbook[[#This Row],[UDC]],TableSPUCWMCOM[],7,FALSE),"")</f>
        <v/>
      </c>
      <c r="P36" s="70" t="str">
        <f>IFERROR(VLOOKUP(TableHandbook[[#This Row],[UDC]],TableSPUCDECOM[],7,FALSE),"")</f>
        <v/>
      </c>
      <c r="Q36" s="70" t="str">
        <f>IFERROR(VLOOKUP(TableHandbook[[#This Row],[UDC]],TableSPUCGRCOM[],7,FALSE),"")</f>
        <v/>
      </c>
      <c r="R36" s="70" t="str">
        <f>IFERROR(VLOOKUP(TableHandbook[[#This Row],[UDC]],TableSPUPJOURL[],7,FALSE),"")</f>
        <v/>
      </c>
      <c r="S36" s="70" t="str">
        <f>IFERROR(VLOOKUP(TableHandbook[[#This Row],[UDC]],TableSPUCMKCOM[],7,FALSE),"")</f>
        <v/>
      </c>
      <c r="T36" s="70" t="str">
        <f>IFERROR(VLOOKUP(TableHandbook[[#This Row],[UDC]],TableSPUCPHCOM[],7,FALSE),"")</f>
        <v/>
      </c>
      <c r="U36" s="70" t="str">
        <f>IFERROR(VLOOKUP(TableHandbook[[#This Row],[UDC]],TableSPUCPRCOM[],7,FALSE),"")</f>
        <v/>
      </c>
    </row>
    <row r="37" spans="1:21" x14ac:dyDescent="0.3">
      <c r="A37" s="5" t="s">
        <v>124</v>
      </c>
      <c r="B37" s="6">
        <v>4</v>
      </c>
      <c r="C37" s="6"/>
      <c r="D37" s="5" t="s">
        <v>255</v>
      </c>
      <c r="E37" s="6">
        <v>25</v>
      </c>
      <c r="F37" s="90" t="s">
        <v>208</v>
      </c>
      <c r="G37" s="25" t="str">
        <f>IFERROR(IF(VLOOKUP(TableHandbook[[#This Row],[UDC]],TableAvailabilities[],2,FALSE)&gt;0,"Y",""),"")</f>
        <v>Y</v>
      </c>
      <c r="H37" s="25" t="str">
        <f>IFERROR(IF(VLOOKUP(TableHandbook[[#This Row],[UDC]],TableAvailabilities[],3,FALSE)&gt;0,"Y",""),"")</f>
        <v/>
      </c>
      <c r="I37" s="25" t="str">
        <f>IFERROR(IF(VLOOKUP(TableHandbook[[#This Row],[UDC]],TableAvailabilities[],4,FALSE)&gt;0,"Y",""),"")</f>
        <v/>
      </c>
      <c r="J37" s="25" t="str">
        <f>IFERROR(IF(VLOOKUP(TableHandbook[[#This Row],[UDC]],TableAvailabilities[],5,FALSE)&gt;0,"Y",""),"")</f>
        <v/>
      </c>
      <c r="K37" s="68" t="s">
        <v>226</v>
      </c>
      <c r="L37" s="70" t="str">
        <f>IFERROR(VLOOKUP(TableHandbook[[#This Row],[UDC]],TableBMASCOMS[],7,FALSE),"")</f>
        <v/>
      </c>
      <c r="M37" s="70" t="str">
        <f>IFERROR(VLOOKUP(TableHandbook[[#This Row],[UDC]],TableSPUCCSCOM[],7,FALSE),"")</f>
        <v/>
      </c>
      <c r="N37" s="70" t="str">
        <f>IFERROR(VLOOKUP(TableHandbook[[#This Row],[UDC]],TableSPUCJOURL[],7,FALSE),"")</f>
        <v/>
      </c>
      <c r="O37" s="70" t="str">
        <f>IFERROR(VLOOKUP(TableHandbook[[#This Row],[UDC]],TableSPUCWMCOM[],7,FALSE),"")</f>
        <v/>
      </c>
      <c r="P37" s="70" t="str">
        <f>IFERROR(VLOOKUP(TableHandbook[[#This Row],[UDC]],TableSPUCDECOM[],7,FALSE),"")</f>
        <v/>
      </c>
      <c r="Q37" s="70" t="str">
        <f>IFERROR(VLOOKUP(TableHandbook[[#This Row],[UDC]],TableSPUCGRCOM[],7,FALSE),"")</f>
        <v/>
      </c>
      <c r="R37" s="70" t="str">
        <f>IFERROR(VLOOKUP(TableHandbook[[#This Row],[UDC]],TableSPUPJOURL[],7,FALSE),"")</f>
        <v>Core</v>
      </c>
      <c r="S37" s="70" t="str">
        <f>IFERROR(VLOOKUP(TableHandbook[[#This Row],[UDC]],TableSPUCMKCOM[],7,FALSE),"")</f>
        <v/>
      </c>
      <c r="T37" s="70" t="str">
        <f>IFERROR(VLOOKUP(TableHandbook[[#This Row],[UDC]],TableSPUCPHCOM[],7,FALSE),"")</f>
        <v/>
      </c>
      <c r="U37" s="70" t="str">
        <f>IFERROR(VLOOKUP(TableHandbook[[#This Row],[UDC]],TableSPUCPRCOM[],7,FALSE),"")</f>
        <v/>
      </c>
    </row>
    <row r="38" spans="1:21" x14ac:dyDescent="0.3">
      <c r="A38" s="5" t="s">
        <v>256</v>
      </c>
      <c r="B38" s="6">
        <v>3</v>
      </c>
      <c r="C38" s="6"/>
      <c r="D38" s="5" t="s">
        <v>257</v>
      </c>
      <c r="E38" s="6">
        <v>25</v>
      </c>
      <c r="F38" s="90" t="s">
        <v>208</v>
      </c>
      <c r="G38" s="25" t="str">
        <f>IFERROR(IF(VLOOKUP(TableHandbook[[#This Row],[UDC]],TableAvailabilities[],2,FALSE)&gt;0,"Y",""),"")</f>
        <v/>
      </c>
      <c r="H38" s="25" t="str">
        <f>IFERROR(IF(VLOOKUP(TableHandbook[[#This Row],[UDC]],TableAvailabilities[],3,FALSE)&gt;0,"Y",""),"")</f>
        <v/>
      </c>
      <c r="I38" s="25" t="str">
        <f>IFERROR(IF(VLOOKUP(TableHandbook[[#This Row],[UDC]],TableAvailabilities[],4,FALSE)&gt;0,"Y",""),"")</f>
        <v/>
      </c>
      <c r="J38" s="25" t="str">
        <f>IFERROR(IF(VLOOKUP(TableHandbook[[#This Row],[UDC]],TableAvailabilities[],5,FALSE)&gt;0,"Y",""),"")</f>
        <v/>
      </c>
      <c r="K38" s="68" t="s">
        <v>228</v>
      </c>
      <c r="L38" s="70" t="str">
        <f>IFERROR(VLOOKUP(TableHandbook[[#This Row],[UDC]],TableBMASCOMS[],7,FALSE),"")</f>
        <v/>
      </c>
      <c r="M38" s="70" t="str">
        <f>IFERROR(VLOOKUP(TableHandbook[[#This Row],[UDC]],TableSPUCCSCOM[],7,FALSE),"")</f>
        <v/>
      </c>
      <c r="N38" s="70" t="str">
        <f>IFERROR(VLOOKUP(TableHandbook[[#This Row],[UDC]],TableSPUCJOURL[],7,FALSE),"")</f>
        <v/>
      </c>
      <c r="O38" s="70" t="str">
        <f>IFERROR(VLOOKUP(TableHandbook[[#This Row],[UDC]],TableSPUCWMCOM[],7,FALSE),"")</f>
        <v/>
      </c>
      <c r="P38" s="70" t="str">
        <f>IFERROR(VLOOKUP(TableHandbook[[#This Row],[UDC]],TableSPUCDECOM[],7,FALSE),"")</f>
        <v/>
      </c>
      <c r="Q38" s="70" t="str">
        <f>IFERROR(VLOOKUP(TableHandbook[[#This Row],[UDC]],TableSPUCGRCOM[],7,FALSE),"")</f>
        <v/>
      </c>
      <c r="R38" s="70" t="str">
        <f>IFERROR(VLOOKUP(TableHandbook[[#This Row],[UDC]],TableSPUPJOURL[],7,FALSE),"")</f>
        <v/>
      </c>
      <c r="S38" s="70" t="str">
        <f>IFERROR(VLOOKUP(TableHandbook[[#This Row],[UDC]],TableSPUCMKCOM[],7,FALSE),"")</f>
        <v/>
      </c>
      <c r="T38" s="70" t="str">
        <f>IFERROR(VLOOKUP(TableHandbook[[#This Row],[UDC]],TableSPUCPHCOM[],7,FALSE),"")</f>
        <v/>
      </c>
      <c r="U38" s="70" t="str">
        <f>IFERROR(VLOOKUP(TableHandbook[[#This Row],[UDC]],TableSPUCPRCOM[],7,FALSE),"")</f>
        <v/>
      </c>
    </row>
    <row r="39" spans="1:21" x14ac:dyDescent="0.3">
      <c r="A39" s="5" t="s">
        <v>127</v>
      </c>
      <c r="B39" s="6">
        <v>4</v>
      </c>
      <c r="C39" s="6"/>
      <c r="D39" s="5" t="s">
        <v>258</v>
      </c>
      <c r="E39" s="6">
        <v>25</v>
      </c>
      <c r="F39" s="90" t="s">
        <v>208</v>
      </c>
      <c r="G39" s="25" t="str">
        <f>IFERROR(IF(VLOOKUP(TableHandbook[[#This Row],[UDC]],TableAvailabilities[],2,FALSE)&gt;0,"Y",""),"")</f>
        <v/>
      </c>
      <c r="H39" s="25" t="str">
        <f>IFERROR(IF(VLOOKUP(TableHandbook[[#This Row],[UDC]],TableAvailabilities[],3,FALSE)&gt;0,"Y",""),"")</f>
        <v/>
      </c>
      <c r="I39" s="25" t="str">
        <f>IFERROR(IF(VLOOKUP(TableHandbook[[#This Row],[UDC]],TableAvailabilities[],4,FALSE)&gt;0,"Y",""),"")</f>
        <v>Y</v>
      </c>
      <c r="J39" s="25" t="str">
        <f>IFERROR(IF(VLOOKUP(TableHandbook[[#This Row],[UDC]],TableAvailabilities[],5,FALSE)&gt;0,"Y",""),"")</f>
        <v/>
      </c>
      <c r="K39" s="68" t="s">
        <v>226</v>
      </c>
      <c r="L39" s="70" t="str">
        <f>IFERROR(VLOOKUP(TableHandbook[[#This Row],[UDC]],TableBMASCOMS[],7,FALSE),"")</f>
        <v/>
      </c>
      <c r="M39" s="70" t="str">
        <f>IFERROR(VLOOKUP(TableHandbook[[#This Row],[UDC]],TableSPUCCSCOM[],7,FALSE),"")</f>
        <v/>
      </c>
      <c r="N39" s="70" t="str">
        <f>IFERROR(VLOOKUP(TableHandbook[[#This Row],[UDC]],TableSPUCJOURL[],7,FALSE),"")</f>
        <v/>
      </c>
      <c r="O39" s="70" t="str">
        <f>IFERROR(VLOOKUP(TableHandbook[[#This Row],[UDC]],TableSPUCWMCOM[],7,FALSE),"")</f>
        <v/>
      </c>
      <c r="P39" s="70" t="str">
        <f>IFERROR(VLOOKUP(TableHandbook[[#This Row],[UDC]],TableSPUCDECOM[],7,FALSE),"")</f>
        <v/>
      </c>
      <c r="Q39" s="70" t="str">
        <f>IFERROR(VLOOKUP(TableHandbook[[#This Row],[UDC]],TableSPUCGRCOM[],7,FALSE),"")</f>
        <v/>
      </c>
      <c r="R39" s="70" t="str">
        <f>IFERROR(VLOOKUP(TableHandbook[[#This Row],[UDC]],TableSPUPJOURL[],7,FALSE),"")</f>
        <v>Core</v>
      </c>
      <c r="S39" s="70" t="str">
        <f>IFERROR(VLOOKUP(TableHandbook[[#This Row],[UDC]],TableSPUCMKCOM[],7,FALSE),"")</f>
        <v/>
      </c>
      <c r="T39" s="70" t="str">
        <f>IFERROR(VLOOKUP(TableHandbook[[#This Row],[UDC]],TableSPUCPHCOM[],7,FALSE),"")</f>
        <v/>
      </c>
      <c r="U39" s="70" t="str">
        <f>IFERROR(VLOOKUP(TableHandbook[[#This Row],[UDC]],TableSPUCPRCOM[],7,FALSE),"")</f>
        <v/>
      </c>
    </row>
    <row r="40" spans="1:21" x14ac:dyDescent="0.3">
      <c r="A40" s="5" t="s">
        <v>259</v>
      </c>
      <c r="B40" s="6">
        <v>3</v>
      </c>
      <c r="C40" s="6"/>
      <c r="D40" s="5" t="s">
        <v>260</v>
      </c>
      <c r="E40" s="6">
        <v>25</v>
      </c>
      <c r="F40" s="90" t="s">
        <v>208</v>
      </c>
      <c r="G40" s="25" t="str">
        <f>IFERROR(IF(VLOOKUP(TableHandbook[[#This Row],[UDC]],TableAvailabilities[],2,FALSE)&gt;0,"Y",""),"")</f>
        <v/>
      </c>
      <c r="H40" s="25" t="str">
        <f>IFERROR(IF(VLOOKUP(TableHandbook[[#This Row],[UDC]],TableAvailabilities[],3,FALSE)&gt;0,"Y",""),"")</f>
        <v/>
      </c>
      <c r="I40" s="25" t="str">
        <f>IFERROR(IF(VLOOKUP(TableHandbook[[#This Row],[UDC]],TableAvailabilities[],4,FALSE)&gt;0,"Y",""),"")</f>
        <v/>
      </c>
      <c r="J40" s="25" t="str">
        <f>IFERROR(IF(VLOOKUP(TableHandbook[[#This Row],[UDC]],TableAvailabilities[],5,FALSE)&gt;0,"Y",""),"")</f>
        <v/>
      </c>
      <c r="K40" s="68" t="s">
        <v>228</v>
      </c>
      <c r="L40" s="70" t="str">
        <f>IFERROR(VLOOKUP(TableHandbook[[#This Row],[UDC]],TableBMASCOMS[],7,FALSE),"")</f>
        <v/>
      </c>
      <c r="M40" s="70" t="str">
        <f>IFERROR(VLOOKUP(TableHandbook[[#This Row],[UDC]],TableSPUCCSCOM[],7,FALSE),"")</f>
        <v/>
      </c>
      <c r="N40" s="70" t="str">
        <f>IFERROR(VLOOKUP(TableHandbook[[#This Row],[UDC]],TableSPUCJOURL[],7,FALSE),"")</f>
        <v/>
      </c>
      <c r="O40" s="70" t="str">
        <f>IFERROR(VLOOKUP(TableHandbook[[#This Row],[UDC]],TableSPUCWMCOM[],7,FALSE),"")</f>
        <v/>
      </c>
      <c r="P40" s="70" t="str">
        <f>IFERROR(VLOOKUP(TableHandbook[[#This Row],[UDC]],TableSPUCDECOM[],7,FALSE),"")</f>
        <v/>
      </c>
      <c r="Q40" s="70" t="str">
        <f>IFERROR(VLOOKUP(TableHandbook[[#This Row],[UDC]],TableSPUCGRCOM[],7,FALSE),"")</f>
        <v/>
      </c>
      <c r="R40" s="70" t="str">
        <f>IFERROR(VLOOKUP(TableHandbook[[#This Row],[UDC]],TableSPUPJOURL[],7,FALSE),"")</f>
        <v/>
      </c>
      <c r="S40" s="70" t="str">
        <f>IFERROR(VLOOKUP(TableHandbook[[#This Row],[UDC]],TableSPUCMKCOM[],7,FALSE),"")</f>
        <v/>
      </c>
      <c r="T40" s="70" t="str">
        <f>IFERROR(VLOOKUP(TableHandbook[[#This Row],[UDC]],TableSPUCPHCOM[],7,FALSE),"")</f>
        <v/>
      </c>
      <c r="U40" s="70" t="str">
        <f>IFERROR(VLOOKUP(TableHandbook[[#This Row],[UDC]],TableSPUCPRCOM[],7,FALSE),"")</f>
        <v/>
      </c>
    </row>
    <row r="41" spans="1:21" x14ac:dyDescent="0.3">
      <c r="A41" s="5" t="s">
        <v>136</v>
      </c>
      <c r="B41" s="6">
        <v>4</v>
      </c>
      <c r="C41" s="6"/>
      <c r="D41" s="5" t="s">
        <v>261</v>
      </c>
      <c r="E41" s="6">
        <v>25</v>
      </c>
      <c r="F41" s="90" t="s">
        <v>208</v>
      </c>
      <c r="G41" s="25" t="str">
        <f>IFERROR(IF(VLOOKUP(TableHandbook[[#This Row],[UDC]],TableAvailabilities[],2,FALSE)&gt;0,"Y",""),"")</f>
        <v/>
      </c>
      <c r="H41" s="25" t="str">
        <f>IFERROR(IF(VLOOKUP(TableHandbook[[#This Row],[UDC]],TableAvailabilities[],3,FALSE)&gt;0,"Y",""),"")</f>
        <v/>
      </c>
      <c r="I41" s="25" t="str">
        <f>IFERROR(IF(VLOOKUP(TableHandbook[[#This Row],[UDC]],TableAvailabilities[],4,FALSE)&gt;0,"Y",""),"")</f>
        <v>Y</v>
      </c>
      <c r="J41" s="25" t="str">
        <f>IFERROR(IF(VLOOKUP(TableHandbook[[#This Row],[UDC]],TableAvailabilities[],5,FALSE)&gt;0,"Y",""),"")</f>
        <v/>
      </c>
      <c r="K41" s="68" t="s">
        <v>226</v>
      </c>
      <c r="L41" s="70" t="str">
        <f>IFERROR(VLOOKUP(TableHandbook[[#This Row],[UDC]],TableBMASCOMS[],7,FALSE),"")</f>
        <v/>
      </c>
      <c r="M41" s="70" t="str">
        <f>IFERROR(VLOOKUP(TableHandbook[[#This Row],[UDC]],TableSPUCCSCOM[],7,FALSE),"")</f>
        <v/>
      </c>
      <c r="N41" s="70" t="str">
        <f>IFERROR(VLOOKUP(TableHandbook[[#This Row],[UDC]],TableSPUCJOURL[],7,FALSE),"")</f>
        <v/>
      </c>
      <c r="O41" s="70" t="str">
        <f>IFERROR(VLOOKUP(TableHandbook[[#This Row],[UDC]],TableSPUCWMCOM[],7,FALSE),"")</f>
        <v/>
      </c>
      <c r="P41" s="70" t="str">
        <f>IFERROR(VLOOKUP(TableHandbook[[#This Row],[UDC]],TableSPUCDECOM[],7,FALSE),"")</f>
        <v/>
      </c>
      <c r="Q41" s="70" t="str">
        <f>IFERROR(VLOOKUP(TableHandbook[[#This Row],[UDC]],TableSPUCGRCOM[],7,FALSE),"")</f>
        <v/>
      </c>
      <c r="R41" s="70" t="str">
        <f>IFERROR(VLOOKUP(TableHandbook[[#This Row],[UDC]],TableSPUPJOURL[],7,FALSE),"")</f>
        <v>Core</v>
      </c>
      <c r="S41" s="70" t="str">
        <f>IFERROR(VLOOKUP(TableHandbook[[#This Row],[UDC]],TableSPUCMKCOM[],7,FALSE),"")</f>
        <v/>
      </c>
      <c r="T41" s="70" t="str">
        <f>IFERROR(VLOOKUP(TableHandbook[[#This Row],[UDC]],TableSPUCPHCOM[],7,FALSE),"")</f>
        <v/>
      </c>
      <c r="U41" s="70" t="str">
        <f>IFERROR(VLOOKUP(TableHandbook[[#This Row],[UDC]],TableSPUCPRCOM[],7,FALSE),"")</f>
        <v/>
      </c>
    </row>
    <row r="42" spans="1:21" x14ac:dyDescent="0.3">
      <c r="A42" s="5" t="s">
        <v>262</v>
      </c>
      <c r="B42" s="6">
        <v>3</v>
      </c>
      <c r="C42" s="6"/>
      <c r="D42" s="5" t="s">
        <v>263</v>
      </c>
      <c r="E42" s="6">
        <v>25</v>
      </c>
      <c r="F42" s="90" t="s">
        <v>208</v>
      </c>
      <c r="G42" s="25" t="str">
        <f>IFERROR(IF(VLOOKUP(TableHandbook[[#This Row],[UDC]],TableAvailabilities[],2,FALSE)&gt;0,"Y",""),"")</f>
        <v/>
      </c>
      <c r="H42" s="25" t="str">
        <f>IFERROR(IF(VLOOKUP(TableHandbook[[#This Row],[UDC]],TableAvailabilities[],3,FALSE)&gt;0,"Y",""),"")</f>
        <v/>
      </c>
      <c r="I42" s="25" t="str">
        <f>IFERROR(IF(VLOOKUP(TableHandbook[[#This Row],[UDC]],TableAvailabilities[],4,FALSE)&gt;0,"Y",""),"")</f>
        <v/>
      </c>
      <c r="J42" s="25" t="str">
        <f>IFERROR(IF(VLOOKUP(TableHandbook[[#This Row],[UDC]],TableAvailabilities[],5,FALSE)&gt;0,"Y",""),"")</f>
        <v/>
      </c>
      <c r="K42" s="68" t="s">
        <v>228</v>
      </c>
      <c r="L42" s="70" t="str">
        <f>IFERROR(VLOOKUP(TableHandbook[[#This Row],[UDC]],TableBMASCOMS[],7,FALSE),"")</f>
        <v/>
      </c>
      <c r="M42" s="70" t="str">
        <f>IFERROR(VLOOKUP(TableHandbook[[#This Row],[UDC]],TableSPUCCSCOM[],7,FALSE),"")</f>
        <v/>
      </c>
      <c r="N42" s="70" t="str">
        <f>IFERROR(VLOOKUP(TableHandbook[[#This Row],[UDC]],TableSPUCJOURL[],7,FALSE),"")</f>
        <v/>
      </c>
      <c r="O42" s="70" t="str">
        <f>IFERROR(VLOOKUP(TableHandbook[[#This Row],[UDC]],TableSPUCWMCOM[],7,FALSE),"")</f>
        <v/>
      </c>
      <c r="P42" s="70" t="str">
        <f>IFERROR(VLOOKUP(TableHandbook[[#This Row],[UDC]],TableSPUCDECOM[],7,FALSE),"")</f>
        <v/>
      </c>
      <c r="Q42" s="70" t="str">
        <f>IFERROR(VLOOKUP(TableHandbook[[#This Row],[UDC]],TableSPUCGRCOM[],7,FALSE),"")</f>
        <v/>
      </c>
      <c r="R42" s="70" t="str">
        <f>IFERROR(VLOOKUP(TableHandbook[[#This Row],[UDC]],TableSPUPJOURL[],7,FALSE),"")</f>
        <v/>
      </c>
      <c r="S42" s="70" t="str">
        <f>IFERROR(VLOOKUP(TableHandbook[[#This Row],[UDC]],TableSPUCMKCOM[],7,FALSE),"")</f>
        <v/>
      </c>
      <c r="T42" s="70" t="str">
        <f>IFERROR(VLOOKUP(TableHandbook[[#This Row],[UDC]],TableSPUCPHCOM[],7,FALSE),"")</f>
        <v/>
      </c>
      <c r="U42" s="70" t="str">
        <f>IFERROR(VLOOKUP(TableHandbook[[#This Row],[UDC]],TableSPUCPRCOM[],7,FALSE),"")</f>
        <v/>
      </c>
    </row>
    <row r="43" spans="1:21" ht="27" x14ac:dyDescent="0.3">
      <c r="A43" s="5" t="s">
        <v>117</v>
      </c>
      <c r="B43" s="6">
        <v>1</v>
      </c>
      <c r="C43" s="6"/>
      <c r="D43" s="5" t="s">
        <v>264</v>
      </c>
      <c r="E43" s="6">
        <v>25</v>
      </c>
      <c r="F43" s="90" t="s">
        <v>208</v>
      </c>
      <c r="G43" s="25" t="str">
        <f>IFERROR(IF(VLOOKUP(TableHandbook[[#This Row],[UDC]],TableAvailabilities[],2,FALSE)&gt;0,"Y",""),"")</f>
        <v>Y</v>
      </c>
      <c r="H43" s="25" t="str">
        <f>IFERROR(IF(VLOOKUP(TableHandbook[[#This Row],[UDC]],TableAvailabilities[],3,FALSE)&gt;0,"Y",""),"")</f>
        <v>Y</v>
      </c>
      <c r="I43" s="25" t="str">
        <f>IFERROR(IF(VLOOKUP(TableHandbook[[#This Row],[UDC]],TableAvailabilities[],4,FALSE)&gt;0,"Y",""),"")</f>
        <v>Y</v>
      </c>
      <c r="J43" s="25" t="str">
        <f>IFERROR(IF(VLOOKUP(TableHandbook[[#This Row],[UDC]],TableAvailabilities[],5,FALSE)&gt;0,"Y",""),"")</f>
        <v>Y</v>
      </c>
      <c r="K43" s="68" t="s">
        <v>265</v>
      </c>
      <c r="L43" s="70" t="str">
        <f>IFERROR(VLOOKUP(TableHandbook[[#This Row],[UDC]],TableBMASCOMS[],7,FALSE),"")</f>
        <v>Option</v>
      </c>
      <c r="M43" s="70" t="str">
        <f>IFERROR(VLOOKUP(TableHandbook[[#This Row],[UDC]],TableSPUCCSCOM[],7,FALSE),"")</f>
        <v/>
      </c>
      <c r="N43" s="70" t="str">
        <f>IFERROR(VLOOKUP(TableHandbook[[#This Row],[UDC]],TableSPUCJOURL[],7,FALSE),"")</f>
        <v/>
      </c>
      <c r="O43" s="70" t="str">
        <f>IFERROR(VLOOKUP(TableHandbook[[#This Row],[UDC]],TableSPUCWMCOM[],7,FALSE),"")</f>
        <v/>
      </c>
      <c r="P43" s="70" t="str">
        <f>IFERROR(VLOOKUP(TableHandbook[[#This Row],[UDC]],TableSPUCDECOM[],7,FALSE),"")</f>
        <v/>
      </c>
      <c r="Q43" s="70" t="str">
        <f>IFERROR(VLOOKUP(TableHandbook[[#This Row],[UDC]],TableSPUCGRCOM[],7,FALSE),"")</f>
        <v/>
      </c>
      <c r="R43" s="70" t="str">
        <f>IFERROR(VLOOKUP(TableHandbook[[#This Row],[UDC]],TableSPUPJOURL[],7,FALSE),"")</f>
        <v/>
      </c>
      <c r="S43" s="70" t="str">
        <f>IFERROR(VLOOKUP(TableHandbook[[#This Row],[UDC]],TableSPUCMKCOM[],7,FALSE),"")</f>
        <v>Option</v>
      </c>
      <c r="T43" s="70" t="str">
        <f>IFERROR(VLOOKUP(TableHandbook[[#This Row],[UDC]],TableSPUCPHCOM[],7,FALSE),"")</f>
        <v/>
      </c>
      <c r="U43" s="70" t="str">
        <f>IFERROR(VLOOKUP(TableHandbook[[#This Row],[UDC]],TableSPUCPRCOM[],7,FALSE),"")</f>
        <v/>
      </c>
    </row>
    <row r="44" spans="1:21" x14ac:dyDescent="0.3">
      <c r="A44" s="5" t="s">
        <v>133</v>
      </c>
      <c r="B44" s="6">
        <v>1</v>
      </c>
      <c r="C44" s="6"/>
      <c r="D44" s="5" t="s">
        <v>266</v>
      </c>
      <c r="E44" s="6">
        <v>25</v>
      </c>
      <c r="F44" s="90" t="s">
        <v>208</v>
      </c>
      <c r="G44" s="25" t="str">
        <f>IFERROR(IF(VLOOKUP(TableHandbook[[#This Row],[UDC]],TableAvailabilities[],2,FALSE)&gt;0,"Y",""),"")</f>
        <v>Y</v>
      </c>
      <c r="H44" s="25" t="str">
        <f>IFERROR(IF(VLOOKUP(TableHandbook[[#This Row],[UDC]],TableAvailabilities[],3,FALSE)&gt;0,"Y",""),"")</f>
        <v>Y</v>
      </c>
      <c r="I44" s="25" t="str">
        <f>IFERROR(IF(VLOOKUP(TableHandbook[[#This Row],[UDC]],TableAvailabilities[],4,FALSE)&gt;0,"Y",""),"")</f>
        <v/>
      </c>
      <c r="J44" s="25" t="str">
        <f>IFERROR(IF(VLOOKUP(TableHandbook[[#This Row],[UDC]],TableAvailabilities[],5,FALSE)&gt;0,"Y",""),"")</f>
        <v/>
      </c>
      <c r="K44" s="68"/>
      <c r="L44" s="70" t="str">
        <f>IFERROR(VLOOKUP(TableHandbook[[#This Row],[UDC]],TableBMASCOMS[],7,FALSE),"")</f>
        <v/>
      </c>
      <c r="M44" s="70" t="str">
        <f>IFERROR(VLOOKUP(TableHandbook[[#This Row],[UDC]],TableSPUCCSCOM[],7,FALSE),"")</f>
        <v/>
      </c>
      <c r="N44" s="70" t="str">
        <f>IFERROR(VLOOKUP(TableHandbook[[#This Row],[UDC]],TableSPUCJOURL[],7,FALSE),"")</f>
        <v/>
      </c>
      <c r="O44" s="70" t="str">
        <f>IFERROR(VLOOKUP(TableHandbook[[#This Row],[UDC]],TableSPUCWMCOM[],7,FALSE),"")</f>
        <v/>
      </c>
      <c r="P44" s="70" t="str">
        <f>IFERROR(VLOOKUP(TableHandbook[[#This Row],[UDC]],TableSPUCDECOM[],7,FALSE),"")</f>
        <v/>
      </c>
      <c r="Q44" s="70" t="str">
        <f>IFERROR(VLOOKUP(TableHandbook[[#This Row],[UDC]],TableSPUCGRCOM[],7,FALSE),"")</f>
        <v/>
      </c>
      <c r="R44" s="70" t="str">
        <f>IFERROR(VLOOKUP(TableHandbook[[#This Row],[UDC]],TableSPUPJOURL[],7,FALSE),"")</f>
        <v/>
      </c>
      <c r="S44" s="70" t="str">
        <f>IFERROR(VLOOKUP(TableHandbook[[#This Row],[UDC]],TableSPUCMKCOM[],7,FALSE),"")</f>
        <v>Core</v>
      </c>
      <c r="T44" s="70" t="str">
        <f>IFERROR(VLOOKUP(TableHandbook[[#This Row],[UDC]],TableSPUCPHCOM[],7,FALSE),"")</f>
        <v/>
      </c>
      <c r="U44" s="70" t="str">
        <f>IFERROR(VLOOKUP(TableHandbook[[#This Row],[UDC]],TableSPUCPRCOM[],7,FALSE),"")</f>
        <v/>
      </c>
    </row>
    <row r="45" spans="1:21" x14ac:dyDescent="0.3">
      <c r="A45" s="5" t="s">
        <v>166</v>
      </c>
      <c r="B45" s="6">
        <v>1</v>
      </c>
      <c r="C45" s="6"/>
      <c r="D45" s="5" t="s">
        <v>267</v>
      </c>
      <c r="E45" s="6">
        <v>25</v>
      </c>
      <c r="F45" s="90" t="s">
        <v>208</v>
      </c>
      <c r="G45" s="25" t="str">
        <f>IFERROR(IF(VLOOKUP(TableHandbook[[#This Row],[UDC]],TableAvailabilities[],2,FALSE)&gt;0,"Y",""),"")</f>
        <v/>
      </c>
      <c r="H45" s="25" t="str">
        <f>IFERROR(IF(VLOOKUP(TableHandbook[[#This Row],[UDC]],TableAvailabilities[],3,FALSE)&gt;0,"Y",""),"")</f>
        <v/>
      </c>
      <c r="I45" s="25" t="str">
        <f>IFERROR(IF(VLOOKUP(TableHandbook[[#This Row],[UDC]],TableAvailabilities[],4,FALSE)&gt;0,"Y",""),"")</f>
        <v>Y</v>
      </c>
      <c r="J45" s="25" t="str">
        <f>IFERROR(IF(VLOOKUP(TableHandbook[[#This Row],[UDC]],TableAvailabilities[],5,FALSE)&gt;0,"Y",""),"")</f>
        <v/>
      </c>
      <c r="K45" s="68"/>
      <c r="L45" s="70" t="str">
        <f>IFERROR(VLOOKUP(TableHandbook[[#This Row],[UDC]],TableBMASCOMS[],7,FALSE),"")</f>
        <v/>
      </c>
      <c r="M45" s="70" t="str">
        <f>IFERROR(VLOOKUP(TableHandbook[[#This Row],[UDC]],TableSPUCCSCOM[],7,FALSE),"")</f>
        <v/>
      </c>
      <c r="N45" s="70" t="str">
        <f>IFERROR(VLOOKUP(TableHandbook[[#This Row],[UDC]],TableSPUCJOURL[],7,FALSE),"")</f>
        <v/>
      </c>
      <c r="O45" s="70" t="str">
        <f>IFERROR(VLOOKUP(TableHandbook[[#This Row],[UDC]],TableSPUCWMCOM[],7,FALSE),"")</f>
        <v/>
      </c>
      <c r="P45" s="70" t="str">
        <f>IFERROR(VLOOKUP(TableHandbook[[#This Row],[UDC]],TableSPUCDECOM[],7,FALSE),"")</f>
        <v/>
      </c>
      <c r="Q45" s="70" t="str">
        <f>IFERROR(VLOOKUP(TableHandbook[[#This Row],[UDC]],TableSPUCGRCOM[],7,FALSE),"")</f>
        <v/>
      </c>
      <c r="R45" s="70" t="str">
        <f>IFERROR(VLOOKUP(TableHandbook[[#This Row],[UDC]],TableSPUPJOURL[],7,FALSE),"")</f>
        <v/>
      </c>
      <c r="S45" s="70" t="str">
        <f>IFERROR(VLOOKUP(TableHandbook[[#This Row],[UDC]],TableSPUCMKCOM[],7,FALSE),"")</f>
        <v>Option</v>
      </c>
      <c r="T45" s="70" t="str">
        <f>IFERROR(VLOOKUP(TableHandbook[[#This Row],[UDC]],TableSPUCPHCOM[],7,FALSE),"")</f>
        <v/>
      </c>
      <c r="U45" s="70" t="str">
        <f>IFERROR(VLOOKUP(TableHandbook[[#This Row],[UDC]],TableSPUCPRCOM[],7,FALSE),"")</f>
        <v/>
      </c>
    </row>
    <row r="46" spans="1:21" x14ac:dyDescent="0.3">
      <c r="A46" s="5" t="s">
        <v>178</v>
      </c>
      <c r="B46" s="6">
        <v>1</v>
      </c>
      <c r="C46" s="6"/>
      <c r="D46" s="5" t="s">
        <v>268</v>
      </c>
      <c r="E46" s="6">
        <v>25</v>
      </c>
      <c r="F46" s="90" t="s">
        <v>208</v>
      </c>
      <c r="G46" s="25" t="str">
        <f>IFERROR(IF(VLOOKUP(TableHandbook[[#This Row],[UDC]],TableAvailabilities[],2,FALSE)&gt;0,"Y",""),"")</f>
        <v>Y</v>
      </c>
      <c r="H46" s="25" t="str">
        <f>IFERROR(IF(VLOOKUP(TableHandbook[[#This Row],[UDC]],TableAvailabilities[],3,FALSE)&gt;0,"Y",""),"")</f>
        <v>Y</v>
      </c>
      <c r="I46" s="25" t="str">
        <f>IFERROR(IF(VLOOKUP(TableHandbook[[#This Row],[UDC]],TableAvailabilities[],4,FALSE)&gt;0,"Y",""),"")</f>
        <v>Y</v>
      </c>
      <c r="J46" s="25" t="str">
        <f>IFERROR(IF(VLOOKUP(TableHandbook[[#This Row],[UDC]],TableAvailabilities[],5,FALSE)&gt;0,"Y",""),"")</f>
        <v>Y</v>
      </c>
      <c r="K46" s="68"/>
      <c r="L46" s="70" t="str">
        <f>IFERROR(VLOOKUP(TableHandbook[[#This Row],[UDC]],TableBMASCOMS[],7,FALSE),"")</f>
        <v/>
      </c>
      <c r="M46" s="70" t="str">
        <f>IFERROR(VLOOKUP(TableHandbook[[#This Row],[UDC]],TableSPUCCSCOM[],7,FALSE),"")</f>
        <v/>
      </c>
      <c r="N46" s="70" t="str">
        <f>IFERROR(VLOOKUP(TableHandbook[[#This Row],[UDC]],TableSPUCJOURL[],7,FALSE),"")</f>
        <v/>
      </c>
      <c r="O46" s="70" t="str">
        <f>IFERROR(VLOOKUP(TableHandbook[[#This Row],[UDC]],TableSPUCWMCOM[],7,FALSE),"")</f>
        <v/>
      </c>
      <c r="P46" s="70" t="str">
        <f>IFERROR(VLOOKUP(TableHandbook[[#This Row],[UDC]],TableSPUCDECOM[],7,FALSE),"")</f>
        <v/>
      </c>
      <c r="Q46" s="70" t="str">
        <f>IFERROR(VLOOKUP(TableHandbook[[#This Row],[UDC]],TableSPUCGRCOM[],7,FALSE),"")</f>
        <v/>
      </c>
      <c r="R46" s="70" t="str">
        <f>IFERROR(VLOOKUP(TableHandbook[[#This Row],[UDC]],TableSPUPJOURL[],7,FALSE),"")</f>
        <v/>
      </c>
      <c r="S46" s="70" t="str">
        <f>IFERROR(VLOOKUP(TableHandbook[[#This Row],[UDC]],TableSPUCMKCOM[],7,FALSE),"")</f>
        <v>Option</v>
      </c>
      <c r="T46" s="70" t="str">
        <f>IFERROR(VLOOKUP(TableHandbook[[#This Row],[UDC]],TableSPUCPHCOM[],7,FALSE),"")</f>
        <v/>
      </c>
      <c r="U46" s="70" t="str">
        <f>IFERROR(VLOOKUP(TableHandbook[[#This Row],[UDC]],TableSPUCPRCOM[],7,FALSE),"")</f>
        <v/>
      </c>
    </row>
    <row r="47" spans="1:21" x14ac:dyDescent="0.3">
      <c r="A47" s="5" t="s">
        <v>143</v>
      </c>
      <c r="B47" s="6">
        <v>2</v>
      </c>
      <c r="C47" s="6"/>
      <c r="D47" s="5" t="s">
        <v>269</v>
      </c>
      <c r="E47" s="6">
        <v>25</v>
      </c>
      <c r="F47" s="90" t="s">
        <v>208</v>
      </c>
      <c r="G47" s="25" t="str">
        <f>IFERROR(IF(VLOOKUP(TableHandbook[[#This Row],[UDC]],TableAvailabilities[],2,FALSE)&gt;0,"Y",""),"")</f>
        <v>Y</v>
      </c>
      <c r="H47" s="25" t="str">
        <f>IFERROR(IF(VLOOKUP(TableHandbook[[#This Row],[UDC]],TableAvailabilities[],3,FALSE)&gt;0,"Y",""),"")</f>
        <v>Y</v>
      </c>
      <c r="I47" s="25" t="str">
        <f>IFERROR(IF(VLOOKUP(TableHandbook[[#This Row],[UDC]],TableAvailabilities[],4,FALSE)&gt;0,"Y",""),"")</f>
        <v>Y</v>
      </c>
      <c r="J47" s="25" t="str">
        <f>IFERROR(IF(VLOOKUP(TableHandbook[[#This Row],[UDC]],TableAvailabilities[],5,FALSE)&gt;0,"Y",""),"")</f>
        <v>Y</v>
      </c>
      <c r="K47" s="68"/>
      <c r="L47" s="70" t="str">
        <f>IFERROR(VLOOKUP(TableHandbook[[#This Row],[UDC]],TableBMASCOMS[],7,FALSE),"")</f>
        <v/>
      </c>
      <c r="M47" s="70" t="str">
        <f>IFERROR(VLOOKUP(TableHandbook[[#This Row],[UDC]],TableSPUCCSCOM[],7,FALSE),"")</f>
        <v/>
      </c>
      <c r="N47" s="70" t="str">
        <f>IFERROR(VLOOKUP(TableHandbook[[#This Row],[UDC]],TableSPUCJOURL[],7,FALSE),"")</f>
        <v/>
      </c>
      <c r="O47" s="70" t="str">
        <f>IFERROR(VLOOKUP(TableHandbook[[#This Row],[UDC]],TableSPUCWMCOM[],7,FALSE),"")</f>
        <v/>
      </c>
      <c r="P47" s="70" t="str">
        <f>IFERROR(VLOOKUP(TableHandbook[[#This Row],[UDC]],TableSPUCDECOM[],7,FALSE),"")</f>
        <v/>
      </c>
      <c r="Q47" s="70" t="str">
        <f>IFERROR(VLOOKUP(TableHandbook[[#This Row],[UDC]],TableSPUCGRCOM[],7,FALSE),"")</f>
        <v/>
      </c>
      <c r="R47" s="70" t="str">
        <f>IFERROR(VLOOKUP(TableHandbook[[#This Row],[UDC]],TableSPUPJOURL[],7,FALSE),"")</f>
        <v/>
      </c>
      <c r="S47" s="70" t="str">
        <f>IFERROR(VLOOKUP(TableHandbook[[#This Row],[UDC]],TableSPUCMKCOM[],7,FALSE),"")</f>
        <v>Core</v>
      </c>
      <c r="T47" s="70" t="str">
        <f>IFERROR(VLOOKUP(TableHandbook[[#This Row],[UDC]],TableSPUCPHCOM[],7,FALSE),"")</f>
        <v/>
      </c>
      <c r="U47" s="70" t="str">
        <f>IFERROR(VLOOKUP(TableHandbook[[#This Row],[UDC]],TableSPUCPRCOM[],7,FALSE),"")</f>
        <v/>
      </c>
    </row>
    <row r="48" spans="1:21" x14ac:dyDescent="0.3">
      <c r="A48" s="5" t="s">
        <v>183</v>
      </c>
      <c r="B48" s="6">
        <v>1</v>
      </c>
      <c r="C48" s="6"/>
      <c r="D48" s="5" t="s">
        <v>270</v>
      </c>
      <c r="E48" s="6">
        <v>25</v>
      </c>
      <c r="F48" s="90" t="s">
        <v>271</v>
      </c>
      <c r="G48" s="25" t="str">
        <f>IFERROR(IF(VLOOKUP(TableHandbook[[#This Row],[UDC]],TableAvailabilities[],2,FALSE)&gt;0,"Y",""),"")</f>
        <v>Y</v>
      </c>
      <c r="H48" s="25" t="str">
        <f>IFERROR(IF(VLOOKUP(TableHandbook[[#This Row],[UDC]],TableAvailabilities[],3,FALSE)&gt;0,"Y",""),"")</f>
        <v>Y</v>
      </c>
      <c r="I48" s="25" t="str">
        <f>IFERROR(IF(VLOOKUP(TableHandbook[[#This Row],[UDC]],TableAvailabilities[],4,FALSE)&gt;0,"Y",""),"")</f>
        <v>Y</v>
      </c>
      <c r="J48" s="25" t="str">
        <f>IFERROR(IF(VLOOKUP(TableHandbook[[#This Row],[UDC]],TableAvailabilities[],5,FALSE)&gt;0,"Y",""),"")</f>
        <v>Y</v>
      </c>
      <c r="K48" s="68"/>
      <c r="L48" s="70" t="str">
        <f>IFERROR(VLOOKUP(TableHandbook[[#This Row],[UDC]],TableBMASCOMS[],7,FALSE),"")</f>
        <v/>
      </c>
      <c r="M48" s="70" t="str">
        <f>IFERROR(VLOOKUP(TableHandbook[[#This Row],[UDC]],TableSPUCCSCOM[],7,FALSE),"")</f>
        <v/>
      </c>
      <c r="N48" s="70" t="str">
        <f>IFERROR(VLOOKUP(TableHandbook[[#This Row],[UDC]],TableSPUCJOURL[],7,FALSE),"")</f>
        <v/>
      </c>
      <c r="O48" s="70" t="str">
        <f>IFERROR(VLOOKUP(TableHandbook[[#This Row],[UDC]],TableSPUCWMCOM[],7,FALSE),"")</f>
        <v/>
      </c>
      <c r="P48" s="70" t="str">
        <f>IFERROR(VLOOKUP(TableHandbook[[#This Row],[UDC]],TableSPUCDECOM[],7,FALSE),"")</f>
        <v/>
      </c>
      <c r="Q48" s="70" t="str">
        <f>IFERROR(VLOOKUP(TableHandbook[[#This Row],[UDC]],TableSPUCGRCOM[],7,FALSE),"")</f>
        <v/>
      </c>
      <c r="R48" s="70" t="str">
        <f>IFERROR(VLOOKUP(TableHandbook[[#This Row],[UDC]],TableSPUPJOURL[],7,FALSE),"")</f>
        <v/>
      </c>
      <c r="S48" s="70" t="str">
        <f>IFERROR(VLOOKUP(TableHandbook[[#This Row],[UDC]],TableSPUCMKCOM[],7,FALSE),"")</f>
        <v>Option</v>
      </c>
      <c r="T48" s="70" t="str">
        <f>IFERROR(VLOOKUP(TableHandbook[[#This Row],[UDC]],TableSPUCPHCOM[],7,FALSE),"")</f>
        <v/>
      </c>
      <c r="U48" s="70" t="str">
        <f>IFERROR(VLOOKUP(TableHandbook[[#This Row],[UDC]],TableSPUCPRCOM[],7,FALSE),"")</f>
        <v/>
      </c>
    </row>
    <row r="49" spans="1:21" x14ac:dyDescent="0.3">
      <c r="A49" s="5" t="s">
        <v>115</v>
      </c>
      <c r="B49" s="6">
        <v>2</v>
      </c>
      <c r="C49" s="6"/>
      <c r="D49" s="5" t="s">
        <v>272</v>
      </c>
      <c r="E49" s="6">
        <v>25</v>
      </c>
      <c r="F49" s="90" t="s">
        <v>208</v>
      </c>
      <c r="G49" s="25" t="str">
        <f>IFERROR(IF(VLOOKUP(TableHandbook[[#This Row],[UDC]],TableAvailabilities[],2,FALSE)&gt;0,"Y",""),"")</f>
        <v/>
      </c>
      <c r="H49" s="25" t="str">
        <f>IFERROR(IF(VLOOKUP(TableHandbook[[#This Row],[UDC]],TableAvailabilities[],3,FALSE)&gt;0,"Y",""),"")</f>
        <v/>
      </c>
      <c r="I49" s="25" t="str">
        <f>IFERROR(IF(VLOOKUP(TableHandbook[[#This Row],[UDC]],TableAvailabilities[],4,FALSE)&gt;0,"Y",""),"")</f>
        <v>Y</v>
      </c>
      <c r="J49" s="25" t="str">
        <f>IFERROR(IF(VLOOKUP(TableHandbook[[#This Row],[UDC]],TableAvailabilities[],5,FALSE)&gt;0,"Y",""),"")</f>
        <v>Y</v>
      </c>
      <c r="K49" s="68"/>
      <c r="L49" s="70" t="str">
        <f>IFERROR(VLOOKUP(TableHandbook[[#This Row],[UDC]],TableBMASCOMS[],7,FALSE),"")</f>
        <v/>
      </c>
      <c r="M49" s="70" t="str">
        <f>IFERROR(VLOOKUP(TableHandbook[[#This Row],[UDC]],TableSPUCCSCOM[],7,FALSE),"")</f>
        <v/>
      </c>
      <c r="N49" s="70" t="str">
        <f>IFERROR(VLOOKUP(TableHandbook[[#This Row],[UDC]],TableSPUCJOURL[],7,FALSE),"")</f>
        <v/>
      </c>
      <c r="O49" s="70" t="str">
        <f>IFERROR(VLOOKUP(TableHandbook[[#This Row],[UDC]],TableSPUCWMCOM[],7,FALSE),"")</f>
        <v>Core</v>
      </c>
      <c r="P49" s="70" t="str">
        <f>IFERROR(VLOOKUP(TableHandbook[[#This Row],[UDC]],TableSPUCDECOM[],7,FALSE),"")</f>
        <v/>
      </c>
      <c r="Q49" s="70" t="str">
        <f>IFERROR(VLOOKUP(TableHandbook[[#This Row],[UDC]],TableSPUCGRCOM[],7,FALSE),"")</f>
        <v/>
      </c>
      <c r="R49" s="70" t="str">
        <f>IFERROR(VLOOKUP(TableHandbook[[#This Row],[UDC]],TableSPUPJOURL[],7,FALSE),"")</f>
        <v/>
      </c>
      <c r="S49" s="70" t="str">
        <f>IFERROR(VLOOKUP(TableHandbook[[#This Row],[UDC]],TableSPUCMKCOM[],7,FALSE),"")</f>
        <v/>
      </c>
      <c r="T49" s="70" t="str">
        <f>IFERROR(VLOOKUP(TableHandbook[[#This Row],[UDC]],TableSPUCPHCOM[],7,FALSE),"")</f>
        <v/>
      </c>
      <c r="U49" s="70" t="str">
        <f>IFERROR(VLOOKUP(TableHandbook[[#This Row],[UDC]],TableSPUCPRCOM[],7,FALSE),"")</f>
        <v/>
      </c>
    </row>
    <row r="50" spans="1:21" x14ac:dyDescent="0.3">
      <c r="A50" s="5" t="s">
        <v>55</v>
      </c>
      <c r="B50" s="6">
        <v>1</v>
      </c>
      <c r="C50" s="6"/>
      <c r="D50" s="5" t="s">
        <v>273</v>
      </c>
      <c r="E50" s="6">
        <v>25</v>
      </c>
      <c r="F50" s="90" t="s">
        <v>208</v>
      </c>
      <c r="G50" s="25" t="str">
        <f>IFERROR(IF(VLOOKUP(TableHandbook[[#This Row],[UDC]],TableAvailabilities[],2,FALSE)&gt;0,"Y",""),"")</f>
        <v>Y</v>
      </c>
      <c r="H50" s="25" t="str">
        <f>IFERROR(IF(VLOOKUP(TableHandbook[[#This Row],[UDC]],TableAvailabilities[],3,FALSE)&gt;0,"Y",""),"")</f>
        <v>Y</v>
      </c>
      <c r="I50" s="25" t="str">
        <f>IFERROR(IF(VLOOKUP(TableHandbook[[#This Row],[UDC]],TableAvailabilities[],4,FALSE)&gt;0,"Y",""),"")</f>
        <v>Y</v>
      </c>
      <c r="J50" s="25" t="str">
        <f>IFERROR(IF(VLOOKUP(TableHandbook[[#This Row],[UDC]],TableAvailabilities[],5,FALSE)&gt;0,"Y",""),"")</f>
        <v>Y</v>
      </c>
      <c r="K50" s="68"/>
      <c r="L50" s="70" t="str">
        <f>IFERROR(VLOOKUP(TableHandbook[[#This Row],[UDC]],TableBMASCOMS[],7,FALSE),"")</f>
        <v>Core</v>
      </c>
      <c r="M50" s="70" t="str">
        <f>IFERROR(VLOOKUP(TableHandbook[[#This Row],[UDC]],TableSPUCCSCOM[],7,FALSE),"")</f>
        <v/>
      </c>
      <c r="N50" s="70" t="str">
        <f>IFERROR(VLOOKUP(TableHandbook[[#This Row],[UDC]],TableSPUCJOURL[],7,FALSE),"")</f>
        <v/>
      </c>
      <c r="O50" s="70" t="str">
        <f>IFERROR(VLOOKUP(TableHandbook[[#This Row],[UDC]],TableSPUCWMCOM[],7,FALSE),"")</f>
        <v/>
      </c>
      <c r="P50" s="70" t="str">
        <f>IFERROR(VLOOKUP(TableHandbook[[#This Row],[UDC]],TableSPUCDECOM[],7,FALSE),"")</f>
        <v/>
      </c>
      <c r="Q50" s="70" t="str">
        <f>IFERROR(VLOOKUP(TableHandbook[[#This Row],[UDC]],TableSPUCGRCOM[],7,FALSE),"")</f>
        <v/>
      </c>
      <c r="R50" s="70" t="str">
        <f>IFERROR(VLOOKUP(TableHandbook[[#This Row],[UDC]],TableSPUPJOURL[],7,FALSE),"")</f>
        <v/>
      </c>
      <c r="S50" s="70" t="str">
        <f>IFERROR(VLOOKUP(TableHandbook[[#This Row],[UDC]],TableSPUCMKCOM[],7,FALSE),"")</f>
        <v/>
      </c>
      <c r="T50" s="70" t="str">
        <f>IFERROR(VLOOKUP(TableHandbook[[#This Row],[UDC]],TableSPUCPHCOM[],7,FALSE),"")</f>
        <v/>
      </c>
      <c r="U50" s="70" t="str">
        <f>IFERROR(VLOOKUP(TableHandbook[[#This Row],[UDC]],TableSPUCPRCOM[],7,FALSE),"")</f>
        <v/>
      </c>
    </row>
    <row r="51" spans="1:21" x14ac:dyDescent="0.3">
      <c r="A51" s="5" t="s">
        <v>122</v>
      </c>
      <c r="B51" s="6">
        <v>1</v>
      </c>
      <c r="C51" s="6"/>
      <c r="D51" s="5" t="s">
        <v>274</v>
      </c>
      <c r="E51" s="6">
        <v>25</v>
      </c>
      <c r="F51" s="90" t="s">
        <v>208</v>
      </c>
      <c r="G51" s="25" t="str">
        <f>IFERROR(IF(VLOOKUP(TableHandbook[[#This Row],[UDC]],TableAvailabilities[],2,FALSE)&gt;0,"Y",""),"")</f>
        <v>Y</v>
      </c>
      <c r="H51" s="25" t="str">
        <f>IFERROR(IF(VLOOKUP(TableHandbook[[#This Row],[UDC]],TableAvailabilities[],3,FALSE)&gt;0,"Y",""),"")</f>
        <v>Y</v>
      </c>
      <c r="I51" s="25" t="str">
        <f>IFERROR(IF(VLOOKUP(TableHandbook[[#This Row],[UDC]],TableAvailabilities[],4,FALSE)&gt;0,"Y",""),"")</f>
        <v/>
      </c>
      <c r="J51" s="25" t="str">
        <f>IFERROR(IF(VLOOKUP(TableHandbook[[#This Row],[UDC]],TableAvailabilities[],5,FALSE)&gt;0,"Y",""),"")</f>
        <v/>
      </c>
      <c r="K51" s="68"/>
      <c r="L51" s="70" t="str">
        <f>IFERROR(VLOOKUP(TableHandbook[[#This Row],[UDC]],TableBMASCOMS[],7,FALSE),"")</f>
        <v/>
      </c>
      <c r="M51" s="70" t="str">
        <f>IFERROR(VLOOKUP(TableHandbook[[#This Row],[UDC]],TableSPUCCSCOM[],7,FALSE),"")</f>
        <v/>
      </c>
      <c r="N51" s="70" t="str">
        <f>IFERROR(VLOOKUP(TableHandbook[[#This Row],[UDC]],TableSPUCJOURL[],7,FALSE),"")</f>
        <v/>
      </c>
      <c r="O51" s="70" t="str">
        <f>IFERROR(VLOOKUP(TableHandbook[[#This Row],[UDC]],TableSPUCWMCOM[],7,FALSE),"")</f>
        <v>Core</v>
      </c>
      <c r="P51" s="70" t="str">
        <f>IFERROR(VLOOKUP(TableHandbook[[#This Row],[UDC]],TableSPUCDECOM[],7,FALSE),"")</f>
        <v/>
      </c>
      <c r="Q51" s="70" t="str">
        <f>IFERROR(VLOOKUP(TableHandbook[[#This Row],[UDC]],TableSPUCGRCOM[],7,FALSE),"")</f>
        <v/>
      </c>
      <c r="R51" s="70" t="str">
        <f>IFERROR(VLOOKUP(TableHandbook[[#This Row],[UDC]],TableSPUPJOURL[],7,FALSE),"")</f>
        <v/>
      </c>
      <c r="S51" s="70" t="str">
        <f>IFERROR(VLOOKUP(TableHandbook[[#This Row],[UDC]],TableSPUCMKCOM[],7,FALSE),"")</f>
        <v/>
      </c>
      <c r="T51" s="70" t="str">
        <f>IFERROR(VLOOKUP(TableHandbook[[#This Row],[UDC]],TableSPUCPHCOM[],7,FALSE),"")</f>
        <v/>
      </c>
      <c r="U51" s="70" t="str">
        <f>IFERROR(VLOOKUP(TableHandbook[[#This Row],[UDC]],TableSPUCPRCOM[],7,FALSE),"")</f>
        <v/>
      </c>
    </row>
    <row r="52" spans="1:21" x14ac:dyDescent="0.3">
      <c r="A52" s="5" t="s">
        <v>126</v>
      </c>
      <c r="B52" s="6">
        <v>2</v>
      </c>
      <c r="C52" s="6"/>
      <c r="D52" s="5" t="s">
        <v>275</v>
      </c>
      <c r="E52" s="6">
        <v>25</v>
      </c>
      <c r="F52" s="90" t="s">
        <v>208</v>
      </c>
      <c r="G52" s="25" t="str">
        <f>IFERROR(IF(VLOOKUP(TableHandbook[[#This Row],[UDC]],TableAvailabilities[],2,FALSE)&gt;0,"Y",""),"")</f>
        <v/>
      </c>
      <c r="H52" s="25" t="str">
        <f>IFERROR(IF(VLOOKUP(TableHandbook[[#This Row],[UDC]],TableAvailabilities[],3,FALSE)&gt;0,"Y",""),"")</f>
        <v/>
      </c>
      <c r="I52" s="25" t="str">
        <f>IFERROR(IF(VLOOKUP(TableHandbook[[#This Row],[UDC]],TableAvailabilities[],4,FALSE)&gt;0,"Y",""),"")</f>
        <v>Y</v>
      </c>
      <c r="J52" s="25" t="str">
        <f>IFERROR(IF(VLOOKUP(TableHandbook[[#This Row],[UDC]],TableAvailabilities[],5,FALSE)&gt;0,"Y",""),"")</f>
        <v>Y</v>
      </c>
      <c r="K52" s="68"/>
      <c r="L52" s="70" t="str">
        <f>IFERROR(VLOOKUP(TableHandbook[[#This Row],[UDC]],TableBMASCOMS[],7,FALSE),"")</f>
        <v/>
      </c>
      <c r="M52" s="70" t="str">
        <f>IFERROR(VLOOKUP(TableHandbook[[#This Row],[UDC]],TableSPUCCSCOM[],7,FALSE),"")</f>
        <v/>
      </c>
      <c r="N52" s="70" t="str">
        <f>IFERROR(VLOOKUP(TableHandbook[[#This Row],[UDC]],TableSPUCJOURL[],7,FALSE),"")</f>
        <v/>
      </c>
      <c r="O52" s="70" t="str">
        <f>IFERROR(VLOOKUP(TableHandbook[[#This Row],[UDC]],TableSPUCWMCOM[],7,FALSE),"")</f>
        <v>Core</v>
      </c>
      <c r="P52" s="70" t="str">
        <f>IFERROR(VLOOKUP(TableHandbook[[#This Row],[UDC]],TableSPUCDECOM[],7,FALSE),"")</f>
        <v/>
      </c>
      <c r="Q52" s="70" t="str">
        <f>IFERROR(VLOOKUP(TableHandbook[[#This Row],[UDC]],TableSPUCGRCOM[],7,FALSE),"")</f>
        <v/>
      </c>
      <c r="R52" s="70" t="str">
        <f>IFERROR(VLOOKUP(TableHandbook[[#This Row],[UDC]],TableSPUPJOURL[],7,FALSE),"")</f>
        <v/>
      </c>
      <c r="S52" s="70" t="str">
        <f>IFERROR(VLOOKUP(TableHandbook[[#This Row],[UDC]],TableSPUCMKCOM[],7,FALSE),"")</f>
        <v/>
      </c>
      <c r="T52" s="70" t="str">
        <f>IFERROR(VLOOKUP(TableHandbook[[#This Row],[UDC]],TableSPUCPHCOM[],7,FALSE),"")</f>
        <v/>
      </c>
      <c r="U52" s="70" t="str">
        <f>IFERROR(VLOOKUP(TableHandbook[[#This Row],[UDC]],TableSPUCPRCOM[],7,FALSE),"")</f>
        <v/>
      </c>
    </row>
    <row r="53" spans="1:21" x14ac:dyDescent="0.3">
      <c r="A53" s="5" t="s">
        <v>150</v>
      </c>
      <c r="B53" s="6">
        <v>2</v>
      </c>
      <c r="C53" s="6"/>
      <c r="D53" s="5" t="s">
        <v>276</v>
      </c>
      <c r="E53" s="6">
        <v>25</v>
      </c>
      <c r="F53" s="90" t="s">
        <v>208</v>
      </c>
      <c r="G53" s="25" t="str">
        <f>IFERROR(IF(VLOOKUP(TableHandbook[[#This Row],[UDC]],TableAvailabilities[],2,FALSE)&gt;0,"Y",""),"")</f>
        <v>Y</v>
      </c>
      <c r="H53" s="25" t="str">
        <f>IFERROR(IF(VLOOKUP(TableHandbook[[#This Row],[UDC]],TableAvailabilities[],3,FALSE)&gt;0,"Y",""),"")</f>
        <v>Y</v>
      </c>
      <c r="I53" s="25" t="str">
        <f>IFERROR(IF(VLOOKUP(TableHandbook[[#This Row],[UDC]],TableAvailabilities[],4,FALSE)&gt;0,"Y",""),"")</f>
        <v/>
      </c>
      <c r="J53" s="25" t="str">
        <f>IFERROR(IF(VLOOKUP(TableHandbook[[#This Row],[UDC]],TableAvailabilities[],5,FALSE)&gt;0,"Y",""),"")</f>
        <v/>
      </c>
      <c r="K53" s="68"/>
      <c r="L53" s="70" t="str">
        <f>IFERROR(VLOOKUP(TableHandbook[[#This Row],[UDC]],TableBMASCOMS[],7,FALSE),"")</f>
        <v/>
      </c>
      <c r="M53" s="70" t="str">
        <f>IFERROR(VLOOKUP(TableHandbook[[#This Row],[UDC]],TableSPUCCSCOM[],7,FALSE),"")</f>
        <v/>
      </c>
      <c r="N53" s="70" t="str">
        <f>IFERROR(VLOOKUP(TableHandbook[[#This Row],[UDC]],TableSPUCJOURL[],7,FALSE),"")</f>
        <v/>
      </c>
      <c r="O53" s="70" t="str">
        <f>IFERROR(VLOOKUP(TableHandbook[[#This Row],[UDC]],TableSPUCWMCOM[],7,FALSE),"")</f>
        <v>Option</v>
      </c>
      <c r="P53" s="70" t="str">
        <f>IFERROR(VLOOKUP(TableHandbook[[#This Row],[UDC]],TableSPUCDECOM[],7,FALSE),"")</f>
        <v/>
      </c>
      <c r="Q53" s="70" t="str">
        <f>IFERROR(VLOOKUP(TableHandbook[[#This Row],[UDC]],TableSPUCGRCOM[],7,FALSE),"")</f>
        <v/>
      </c>
      <c r="R53" s="70" t="str">
        <f>IFERROR(VLOOKUP(TableHandbook[[#This Row],[UDC]],TableSPUPJOURL[],7,FALSE),"")</f>
        <v/>
      </c>
      <c r="S53" s="70" t="str">
        <f>IFERROR(VLOOKUP(TableHandbook[[#This Row],[UDC]],TableSPUCMKCOM[],7,FALSE),"")</f>
        <v/>
      </c>
      <c r="T53" s="70" t="str">
        <f>IFERROR(VLOOKUP(TableHandbook[[#This Row],[UDC]],TableSPUCPHCOM[],7,FALSE),"")</f>
        <v/>
      </c>
      <c r="U53" s="70" t="str">
        <f>IFERROR(VLOOKUP(TableHandbook[[#This Row],[UDC]],TableSPUCPRCOM[],7,FALSE),"")</f>
        <v/>
      </c>
    </row>
    <row r="54" spans="1:21" x14ac:dyDescent="0.3">
      <c r="A54" s="5" t="s">
        <v>158</v>
      </c>
      <c r="B54" s="6">
        <v>2</v>
      </c>
      <c r="C54" s="6"/>
      <c r="D54" s="5" t="s">
        <v>277</v>
      </c>
      <c r="E54" s="6">
        <v>25</v>
      </c>
      <c r="F54" s="90" t="s">
        <v>208</v>
      </c>
      <c r="G54" s="25" t="str">
        <f>IFERROR(IF(VLOOKUP(TableHandbook[[#This Row],[UDC]],TableAvailabilities[],2,FALSE)&gt;0,"Y",""),"")</f>
        <v/>
      </c>
      <c r="H54" s="25" t="str">
        <f>IFERROR(IF(VLOOKUP(TableHandbook[[#This Row],[UDC]],TableAvailabilities[],3,FALSE)&gt;0,"Y",""),"")</f>
        <v/>
      </c>
      <c r="I54" s="25" t="str">
        <f>IFERROR(IF(VLOOKUP(TableHandbook[[#This Row],[UDC]],TableAvailabilities[],4,FALSE)&gt;0,"Y",""),"")</f>
        <v>Y</v>
      </c>
      <c r="J54" s="25" t="str">
        <f>IFERROR(IF(VLOOKUP(TableHandbook[[#This Row],[UDC]],TableAvailabilities[],5,FALSE)&gt;0,"Y",""),"")</f>
        <v>Y</v>
      </c>
      <c r="K54" s="68"/>
      <c r="L54" s="70" t="str">
        <f>IFERROR(VLOOKUP(TableHandbook[[#This Row],[UDC]],TableBMASCOMS[],7,FALSE),"")</f>
        <v/>
      </c>
      <c r="M54" s="70" t="str">
        <f>IFERROR(VLOOKUP(TableHandbook[[#This Row],[UDC]],TableSPUCCSCOM[],7,FALSE),"")</f>
        <v/>
      </c>
      <c r="N54" s="70" t="str">
        <f>IFERROR(VLOOKUP(TableHandbook[[#This Row],[UDC]],TableSPUCJOURL[],7,FALSE),"")</f>
        <v/>
      </c>
      <c r="O54" s="70" t="str">
        <f>IFERROR(VLOOKUP(TableHandbook[[#This Row],[UDC]],TableSPUCWMCOM[],7,FALSE),"")</f>
        <v>Option</v>
      </c>
      <c r="P54" s="70" t="str">
        <f>IFERROR(VLOOKUP(TableHandbook[[#This Row],[UDC]],TableSPUCDECOM[],7,FALSE),"")</f>
        <v/>
      </c>
      <c r="Q54" s="70" t="str">
        <f>IFERROR(VLOOKUP(TableHandbook[[#This Row],[UDC]],TableSPUCGRCOM[],7,FALSE),"")</f>
        <v/>
      </c>
      <c r="R54" s="70" t="str">
        <f>IFERROR(VLOOKUP(TableHandbook[[#This Row],[UDC]],TableSPUPJOURL[],7,FALSE),"")</f>
        <v/>
      </c>
      <c r="S54" s="70" t="str">
        <f>IFERROR(VLOOKUP(TableHandbook[[#This Row],[UDC]],TableSPUCMKCOM[],7,FALSE),"")</f>
        <v/>
      </c>
      <c r="T54" s="70" t="str">
        <f>IFERROR(VLOOKUP(TableHandbook[[#This Row],[UDC]],TableSPUCPHCOM[],7,FALSE),"")</f>
        <v/>
      </c>
      <c r="U54" s="70" t="str">
        <f>IFERROR(VLOOKUP(TableHandbook[[#This Row],[UDC]],TableSPUCPRCOM[],7,FALSE),"")</f>
        <v/>
      </c>
    </row>
    <row r="55" spans="1:21" x14ac:dyDescent="0.3">
      <c r="A55" s="5" t="s">
        <v>164</v>
      </c>
      <c r="B55" s="6">
        <v>3</v>
      </c>
      <c r="C55" s="6"/>
      <c r="D55" s="5" t="s">
        <v>278</v>
      </c>
      <c r="E55" s="6">
        <v>25</v>
      </c>
      <c r="F55" s="90" t="s">
        <v>208</v>
      </c>
      <c r="G55" s="25" t="str">
        <f>IFERROR(IF(VLOOKUP(TableHandbook[[#This Row],[UDC]],TableAvailabilities[],2,FALSE)&gt;0,"Y",""),"")</f>
        <v>Y</v>
      </c>
      <c r="H55" s="25" t="str">
        <f>IFERROR(IF(VLOOKUP(TableHandbook[[#This Row],[UDC]],TableAvailabilities[],3,FALSE)&gt;0,"Y",""),"")</f>
        <v>Y</v>
      </c>
      <c r="I55" s="25" t="str">
        <f>IFERROR(IF(VLOOKUP(TableHandbook[[#This Row],[UDC]],TableAvailabilities[],4,FALSE)&gt;0,"Y",""),"")</f>
        <v/>
      </c>
      <c r="J55" s="25" t="str">
        <f>IFERROR(IF(VLOOKUP(TableHandbook[[#This Row],[UDC]],TableAvailabilities[],5,FALSE)&gt;0,"Y",""),"")</f>
        <v/>
      </c>
      <c r="K55" s="68"/>
      <c r="L55" s="70" t="str">
        <f>IFERROR(VLOOKUP(TableHandbook[[#This Row],[UDC]],TableBMASCOMS[],7,FALSE),"")</f>
        <v/>
      </c>
      <c r="M55" s="70" t="str">
        <f>IFERROR(VLOOKUP(TableHandbook[[#This Row],[UDC]],TableSPUCCSCOM[],7,FALSE),"")</f>
        <v/>
      </c>
      <c r="N55" s="70" t="str">
        <f>IFERROR(VLOOKUP(TableHandbook[[#This Row],[UDC]],TableSPUCJOURL[],7,FALSE),"")</f>
        <v/>
      </c>
      <c r="O55" s="70" t="str">
        <f>IFERROR(VLOOKUP(TableHandbook[[#This Row],[UDC]],TableSPUCWMCOM[],7,FALSE),"")</f>
        <v>Option</v>
      </c>
      <c r="P55" s="70" t="str">
        <f>IFERROR(VLOOKUP(TableHandbook[[#This Row],[UDC]],TableSPUCDECOM[],7,FALSE),"")</f>
        <v/>
      </c>
      <c r="Q55" s="70" t="str">
        <f>IFERROR(VLOOKUP(TableHandbook[[#This Row],[UDC]],TableSPUCGRCOM[],7,FALSE),"")</f>
        <v/>
      </c>
      <c r="R55" s="70" t="str">
        <f>IFERROR(VLOOKUP(TableHandbook[[#This Row],[UDC]],TableSPUPJOURL[],7,FALSE),"")</f>
        <v/>
      </c>
      <c r="S55" s="70" t="str">
        <f>IFERROR(VLOOKUP(TableHandbook[[#This Row],[UDC]],TableSPUCMKCOM[],7,FALSE),"")</f>
        <v/>
      </c>
      <c r="T55" s="70" t="str">
        <f>IFERROR(VLOOKUP(TableHandbook[[#This Row],[UDC]],TableSPUCPHCOM[],7,FALSE),"")</f>
        <v/>
      </c>
      <c r="U55" s="70" t="str">
        <f>IFERROR(VLOOKUP(TableHandbook[[#This Row],[UDC]],TableSPUCPRCOM[],7,FALSE),"")</f>
        <v/>
      </c>
    </row>
    <row r="56" spans="1:21" x14ac:dyDescent="0.3">
      <c r="A56" s="5" t="s">
        <v>170</v>
      </c>
      <c r="B56" s="6"/>
      <c r="C56" s="6"/>
      <c r="D56" s="5" t="s">
        <v>279</v>
      </c>
      <c r="E56" s="6">
        <v>25</v>
      </c>
      <c r="F56" s="90"/>
      <c r="G56" s="25" t="str">
        <f>IFERROR(IF(VLOOKUP(TableHandbook[[#This Row],[UDC]],TableAvailabilities[],2,FALSE)&gt;0,"Y",""),"")</f>
        <v/>
      </c>
      <c r="H56" s="25" t="str">
        <f>IFERROR(IF(VLOOKUP(TableHandbook[[#This Row],[UDC]],TableAvailabilities[],3,FALSE)&gt;0,"Y",""),"")</f>
        <v/>
      </c>
      <c r="I56" s="25" t="str">
        <f>IFERROR(IF(VLOOKUP(TableHandbook[[#This Row],[UDC]],TableAvailabilities[],4,FALSE)&gt;0,"Y",""),"")</f>
        <v/>
      </c>
      <c r="J56" s="25" t="str">
        <f>IFERROR(IF(VLOOKUP(TableHandbook[[#This Row],[UDC]],TableAvailabilities[],5,FALSE)&gt;0,"Y",""),"")</f>
        <v/>
      </c>
      <c r="K56" s="68"/>
      <c r="L56" s="70" t="str">
        <f>IFERROR(VLOOKUP(TableHandbook[[#This Row],[UDC]],TableBMASCOMS[],7,FALSE),"")</f>
        <v/>
      </c>
      <c r="M56" s="70" t="str">
        <f>IFERROR(VLOOKUP(TableHandbook[[#This Row],[UDC]],TableSPUCCSCOM[],7,FALSE),"")</f>
        <v/>
      </c>
      <c r="N56" s="70" t="str">
        <f>IFERROR(VLOOKUP(TableHandbook[[#This Row],[UDC]],TableSPUCJOURL[],7,FALSE),"")</f>
        <v/>
      </c>
      <c r="O56" s="70" t="str">
        <f>IFERROR(VLOOKUP(TableHandbook[[#This Row],[UDC]],TableSPUCWMCOM[],7,FALSE),"")</f>
        <v/>
      </c>
      <c r="P56" s="70" t="str">
        <f>IFERROR(VLOOKUP(TableHandbook[[#This Row],[UDC]],TableSPUCDECOM[],7,FALSE),"")</f>
        <v>Option</v>
      </c>
      <c r="Q56" s="70" t="str">
        <f>IFERROR(VLOOKUP(TableHandbook[[#This Row],[UDC]],TableSPUCGRCOM[],7,FALSE),"")</f>
        <v/>
      </c>
      <c r="R56" s="70" t="str">
        <f>IFERROR(VLOOKUP(TableHandbook[[#This Row],[UDC]],TableSPUPJOURL[],7,FALSE),"")</f>
        <v/>
      </c>
      <c r="S56" s="70" t="str">
        <f>IFERROR(VLOOKUP(TableHandbook[[#This Row],[UDC]],TableSPUCMKCOM[],7,FALSE),"")</f>
        <v/>
      </c>
      <c r="T56" s="70" t="str">
        <f>IFERROR(VLOOKUP(TableHandbook[[#This Row],[UDC]],TableSPUCPHCOM[],7,FALSE),"")</f>
        <v/>
      </c>
      <c r="U56" s="70" t="str">
        <f>IFERROR(VLOOKUP(TableHandbook[[#This Row],[UDC]],TableSPUCPRCOM[],7,FALSE),"")</f>
        <v/>
      </c>
    </row>
    <row r="57" spans="1:21" x14ac:dyDescent="0.3">
      <c r="A57" s="5" t="s">
        <v>165</v>
      </c>
      <c r="B57" s="6"/>
      <c r="C57" s="6"/>
      <c r="D57" s="5" t="s">
        <v>281</v>
      </c>
      <c r="E57" s="6">
        <v>25</v>
      </c>
      <c r="F57" s="90"/>
      <c r="G57" s="25" t="str">
        <f>IFERROR(IF(VLOOKUP(TableHandbook[[#This Row],[UDC]],TableAvailabilities[],2,FALSE)&gt;0,"Y",""),"")</f>
        <v/>
      </c>
      <c r="H57" s="25" t="str">
        <f>IFERROR(IF(VLOOKUP(TableHandbook[[#This Row],[UDC]],TableAvailabilities[],3,FALSE)&gt;0,"Y",""),"")</f>
        <v/>
      </c>
      <c r="I57" s="25" t="str">
        <f>IFERROR(IF(VLOOKUP(TableHandbook[[#This Row],[UDC]],TableAvailabilities[],4,FALSE)&gt;0,"Y",""),"")</f>
        <v/>
      </c>
      <c r="J57" s="25" t="str">
        <f>IFERROR(IF(VLOOKUP(TableHandbook[[#This Row],[UDC]],TableAvailabilities[],5,FALSE)&gt;0,"Y",""),"")</f>
        <v/>
      </c>
      <c r="K57" s="68"/>
      <c r="L57" s="70" t="str">
        <f>IFERROR(VLOOKUP(TableHandbook[[#This Row],[UDC]],TableBMASCOMS[],7,FALSE),"")</f>
        <v/>
      </c>
      <c r="M57" s="70" t="str">
        <f>IFERROR(VLOOKUP(TableHandbook[[#This Row],[UDC]],TableSPUCCSCOM[],7,FALSE),"")</f>
        <v/>
      </c>
      <c r="N57" s="70" t="str">
        <f>IFERROR(VLOOKUP(TableHandbook[[#This Row],[UDC]],TableSPUCJOURL[],7,FALSE),"")</f>
        <v/>
      </c>
      <c r="O57" s="70" t="str">
        <f>IFERROR(VLOOKUP(TableHandbook[[#This Row],[UDC]],TableSPUCWMCOM[],7,FALSE),"")</f>
        <v/>
      </c>
      <c r="P57" s="70" t="str">
        <f>IFERROR(VLOOKUP(TableHandbook[[#This Row],[UDC]],TableSPUCDECOM[],7,FALSE),"")</f>
        <v/>
      </c>
      <c r="Q57" s="70" t="str">
        <f>IFERROR(VLOOKUP(TableHandbook[[#This Row],[UDC]],TableSPUCGRCOM[],7,FALSE),"")</f>
        <v>Option</v>
      </c>
      <c r="R57" s="70" t="str">
        <f>IFERROR(VLOOKUP(TableHandbook[[#This Row],[UDC]],TableSPUPJOURL[],7,FALSE),"")</f>
        <v/>
      </c>
      <c r="S57" s="70" t="str">
        <f>IFERROR(VLOOKUP(TableHandbook[[#This Row],[UDC]],TableSPUCMKCOM[],7,FALSE),"")</f>
        <v/>
      </c>
      <c r="T57" s="70" t="str">
        <f>IFERROR(VLOOKUP(TableHandbook[[#This Row],[UDC]],TableSPUCPHCOM[],7,FALSE),"")</f>
        <v/>
      </c>
      <c r="U57" s="70" t="str">
        <f>IFERROR(VLOOKUP(TableHandbook[[#This Row],[UDC]],TableSPUCPRCOM[],7,FALSE),"")</f>
        <v/>
      </c>
    </row>
    <row r="58" spans="1:21" x14ac:dyDescent="0.3">
      <c r="A58" s="5" t="s">
        <v>282</v>
      </c>
      <c r="B58" s="6"/>
      <c r="C58" s="6"/>
      <c r="D58" s="5" t="s">
        <v>283</v>
      </c>
      <c r="E58" s="6">
        <v>100</v>
      </c>
      <c r="F58" s="90"/>
      <c r="G58" s="25" t="str">
        <f>IFERROR(IF(VLOOKUP(TableHandbook[[#This Row],[UDC]],TableAvailabilities[],2,FALSE)&gt;0,"Y",""),"")</f>
        <v/>
      </c>
      <c r="H58" s="25" t="str">
        <f>IFERROR(IF(VLOOKUP(TableHandbook[[#This Row],[UDC]],TableAvailabilities[],3,FALSE)&gt;0,"Y",""),"")</f>
        <v/>
      </c>
      <c r="I58" s="25" t="str">
        <f>IFERROR(IF(VLOOKUP(TableHandbook[[#This Row],[UDC]],TableAvailabilities[],4,FALSE)&gt;0,"Y",""),"")</f>
        <v/>
      </c>
      <c r="J58" s="25" t="str">
        <f>IFERROR(IF(VLOOKUP(TableHandbook[[#This Row],[UDC]],TableAvailabilities[],5,FALSE)&gt;0,"Y",""),"")</f>
        <v/>
      </c>
      <c r="K58" s="68"/>
      <c r="L58" s="70" t="str">
        <f>IFERROR(VLOOKUP(TableHandbook[[#This Row],[UDC]],TableBMASCOMS[],7,FALSE),"")</f>
        <v/>
      </c>
      <c r="M58" s="70" t="str">
        <f>IFERROR(VLOOKUP(TableHandbook[[#This Row],[UDC]],TableSPUCCSCOM[],7,FALSE),"")</f>
        <v/>
      </c>
      <c r="N58" s="70" t="str">
        <f>IFERROR(VLOOKUP(TableHandbook[[#This Row],[UDC]],TableSPUCJOURL[],7,FALSE),"")</f>
        <v>Option</v>
      </c>
      <c r="O58" s="70" t="str">
        <f>IFERROR(VLOOKUP(TableHandbook[[#This Row],[UDC]],TableSPUCWMCOM[],7,FALSE),"")</f>
        <v/>
      </c>
      <c r="P58" s="70" t="str">
        <f>IFERROR(VLOOKUP(TableHandbook[[#This Row],[UDC]],TableSPUCDECOM[],7,FALSE),"")</f>
        <v/>
      </c>
      <c r="Q58" s="70" t="str">
        <f>IFERROR(VLOOKUP(TableHandbook[[#This Row],[UDC]],TableSPUCGRCOM[],7,FALSE),"")</f>
        <v/>
      </c>
      <c r="R58" s="70" t="str">
        <f>IFERROR(VLOOKUP(TableHandbook[[#This Row],[UDC]],TableSPUPJOURL[],7,FALSE),"")</f>
        <v/>
      </c>
      <c r="S58" s="70" t="str">
        <f>IFERROR(VLOOKUP(TableHandbook[[#This Row],[UDC]],TableSPUCMKCOM[],7,FALSE),"")</f>
        <v/>
      </c>
      <c r="T58" s="70" t="str">
        <f>IFERROR(VLOOKUP(TableHandbook[[#This Row],[UDC]],TableSPUCPHCOM[],7,FALSE),"")</f>
        <v/>
      </c>
      <c r="U58" s="70" t="str">
        <f>IFERROR(VLOOKUP(TableHandbook[[#This Row],[UDC]],TableSPUCPRCOM[],7,FALSE),"")</f>
        <v/>
      </c>
    </row>
    <row r="59" spans="1:21" x14ac:dyDescent="0.3">
      <c r="A59" s="5" t="s">
        <v>160</v>
      </c>
      <c r="B59" s="6"/>
      <c r="C59" s="6"/>
      <c r="D59" s="5" t="s">
        <v>284</v>
      </c>
      <c r="E59" s="6">
        <v>50</v>
      </c>
      <c r="F59" s="90"/>
      <c r="G59" s="25" t="str">
        <f>IFERROR(IF(VLOOKUP(TableHandbook[[#This Row],[UDC]],TableAvailabilities[],2,FALSE)&gt;0,"Y",""),"")</f>
        <v/>
      </c>
      <c r="H59" s="25" t="str">
        <f>IFERROR(IF(VLOOKUP(TableHandbook[[#This Row],[UDC]],TableAvailabilities[],3,FALSE)&gt;0,"Y",""),"")</f>
        <v/>
      </c>
      <c r="I59" s="25" t="str">
        <f>IFERROR(IF(VLOOKUP(TableHandbook[[#This Row],[UDC]],TableAvailabilities[],4,FALSE)&gt;0,"Y",""),"")</f>
        <v/>
      </c>
      <c r="J59" s="25" t="str">
        <f>IFERROR(IF(VLOOKUP(TableHandbook[[#This Row],[UDC]],TableAvailabilities[],5,FALSE)&gt;0,"Y",""),"")</f>
        <v/>
      </c>
      <c r="K59" s="68"/>
      <c r="L59" s="70" t="str">
        <f>IFERROR(VLOOKUP(TableHandbook[[#This Row],[UDC]],TableBMASCOMS[],7,FALSE),"")</f>
        <v/>
      </c>
      <c r="M59" s="70" t="str">
        <f>IFERROR(VLOOKUP(TableHandbook[[#This Row],[UDC]],TableSPUCCSCOM[],7,FALSE),"")</f>
        <v/>
      </c>
      <c r="N59" s="70" t="str">
        <f>IFERROR(VLOOKUP(TableHandbook[[#This Row],[UDC]],TableSPUCJOURL[],7,FALSE),"")</f>
        <v/>
      </c>
      <c r="O59" s="70" t="str">
        <f>IFERROR(VLOOKUP(TableHandbook[[#This Row],[UDC]],TableSPUCWMCOM[],7,FALSE),"")</f>
        <v/>
      </c>
      <c r="P59" s="70" t="str">
        <f>IFERROR(VLOOKUP(TableHandbook[[#This Row],[UDC]],TableSPUCDECOM[],7,FALSE),"")</f>
        <v/>
      </c>
      <c r="Q59" s="70" t="str">
        <f>IFERROR(VLOOKUP(TableHandbook[[#This Row],[UDC]],TableSPUCGRCOM[],7,FALSE),"")</f>
        <v/>
      </c>
      <c r="R59" s="70" t="str">
        <f>IFERROR(VLOOKUP(TableHandbook[[#This Row],[UDC]],TableSPUPJOURL[],7,FALSE),"")</f>
        <v/>
      </c>
      <c r="S59" s="70" t="str">
        <f>IFERROR(VLOOKUP(TableHandbook[[#This Row],[UDC]],TableSPUCMKCOM[],7,FALSE),"")</f>
        <v>Option</v>
      </c>
      <c r="T59" s="70" t="str">
        <f>IFERROR(VLOOKUP(TableHandbook[[#This Row],[UDC]],TableSPUCPHCOM[],7,FALSE),"")</f>
        <v/>
      </c>
      <c r="U59" s="70" t="str">
        <f>IFERROR(VLOOKUP(TableHandbook[[#This Row],[UDC]],TableSPUCPRCOM[],7,FALSE),"")</f>
        <v/>
      </c>
    </row>
    <row r="60" spans="1:21" x14ac:dyDescent="0.3">
      <c r="A60" s="5" t="s">
        <v>167</v>
      </c>
      <c r="B60" s="6"/>
      <c r="C60" s="6"/>
      <c r="D60" s="5" t="s">
        <v>285</v>
      </c>
      <c r="E60" s="6">
        <v>25</v>
      </c>
      <c r="F60" s="90"/>
      <c r="G60" s="25" t="str">
        <f>IFERROR(IF(VLOOKUP(TableHandbook[[#This Row],[UDC]],TableAvailabilities[],2,FALSE)&gt;0,"Y",""),"")</f>
        <v/>
      </c>
      <c r="H60" s="25" t="str">
        <f>IFERROR(IF(VLOOKUP(TableHandbook[[#This Row],[UDC]],TableAvailabilities[],3,FALSE)&gt;0,"Y",""),"")</f>
        <v/>
      </c>
      <c r="I60" s="25" t="str">
        <f>IFERROR(IF(VLOOKUP(TableHandbook[[#This Row],[UDC]],TableAvailabilities[],4,FALSE)&gt;0,"Y",""),"")</f>
        <v/>
      </c>
      <c r="J60" s="25" t="str">
        <f>IFERROR(IF(VLOOKUP(TableHandbook[[#This Row],[UDC]],TableAvailabilities[],5,FALSE)&gt;0,"Y",""),"")</f>
        <v/>
      </c>
      <c r="K60" s="68"/>
      <c r="L60" s="70" t="str">
        <f>IFERROR(VLOOKUP(TableHandbook[[#This Row],[UDC]],TableBMASCOMS[],7,FALSE),"")</f>
        <v/>
      </c>
      <c r="M60" s="70" t="str">
        <f>IFERROR(VLOOKUP(TableHandbook[[#This Row],[UDC]],TableSPUCCSCOM[],7,FALSE),"")</f>
        <v/>
      </c>
      <c r="N60" s="70" t="str">
        <f>IFERROR(VLOOKUP(TableHandbook[[#This Row],[UDC]],TableSPUCJOURL[],7,FALSE),"")</f>
        <v/>
      </c>
      <c r="O60" s="70" t="str">
        <f>IFERROR(VLOOKUP(TableHandbook[[#This Row],[UDC]],TableSPUCWMCOM[],7,FALSE),"")</f>
        <v/>
      </c>
      <c r="P60" s="70" t="str">
        <f>IFERROR(VLOOKUP(TableHandbook[[#This Row],[UDC]],TableSPUCDECOM[],7,FALSE),"")</f>
        <v/>
      </c>
      <c r="Q60" s="70" t="str">
        <f>IFERROR(VLOOKUP(TableHandbook[[#This Row],[UDC]],TableSPUCGRCOM[],7,FALSE),"")</f>
        <v/>
      </c>
      <c r="R60" s="70" t="str">
        <f>IFERROR(VLOOKUP(TableHandbook[[#This Row],[UDC]],TableSPUPJOURL[],7,FALSE),"")</f>
        <v/>
      </c>
      <c r="S60" s="70" t="str">
        <f>IFERROR(VLOOKUP(TableHandbook[[#This Row],[UDC]],TableSPUCMKCOM[],7,FALSE),"")</f>
        <v/>
      </c>
      <c r="T60" s="70" t="str">
        <f>IFERROR(VLOOKUP(TableHandbook[[#This Row],[UDC]],TableSPUCPHCOM[],7,FALSE),"")</f>
        <v/>
      </c>
      <c r="U60" s="70" t="str">
        <f>IFERROR(VLOOKUP(TableHandbook[[#This Row],[UDC]],TableSPUCPRCOM[],7,FALSE),"")</f>
        <v>Option</v>
      </c>
    </row>
    <row r="61" spans="1:21" x14ac:dyDescent="0.3">
      <c r="A61" s="5" t="s">
        <v>140</v>
      </c>
      <c r="B61" s="6"/>
      <c r="C61" s="6"/>
      <c r="D61" s="5" t="s">
        <v>286</v>
      </c>
      <c r="E61" s="6">
        <v>25</v>
      </c>
      <c r="F61" s="90"/>
      <c r="G61" s="25" t="str">
        <f>IFERROR(IF(VLOOKUP(TableHandbook[[#This Row],[UDC]],TableAvailabilities[],2,FALSE)&gt;0,"Y",""),"")</f>
        <v/>
      </c>
      <c r="H61" s="25" t="str">
        <f>IFERROR(IF(VLOOKUP(TableHandbook[[#This Row],[UDC]],TableAvailabilities[],3,FALSE)&gt;0,"Y",""),"")</f>
        <v/>
      </c>
      <c r="I61" s="25" t="str">
        <f>IFERROR(IF(VLOOKUP(TableHandbook[[#This Row],[UDC]],TableAvailabilities[],4,FALSE)&gt;0,"Y",""),"")</f>
        <v/>
      </c>
      <c r="J61" s="25" t="str">
        <f>IFERROR(IF(VLOOKUP(TableHandbook[[#This Row],[UDC]],TableAvailabilities[],5,FALSE)&gt;0,"Y",""),"")</f>
        <v/>
      </c>
      <c r="K61" s="68"/>
      <c r="L61" s="70" t="str">
        <f>IFERROR(VLOOKUP(TableHandbook[[#This Row],[UDC]],TableBMASCOMS[],7,FALSE),"")</f>
        <v/>
      </c>
      <c r="M61" s="70" t="str">
        <f>IFERROR(VLOOKUP(TableHandbook[[#This Row],[UDC]],TableSPUCCSCOM[],7,FALSE),"")</f>
        <v/>
      </c>
      <c r="N61" s="70" t="str">
        <f>IFERROR(VLOOKUP(TableHandbook[[#This Row],[UDC]],TableSPUCJOURL[],7,FALSE),"")</f>
        <v/>
      </c>
      <c r="O61" s="70" t="str">
        <f>IFERROR(VLOOKUP(TableHandbook[[#This Row],[UDC]],TableSPUCWMCOM[],7,FALSE),"")</f>
        <v>Option</v>
      </c>
      <c r="P61" s="70" t="str">
        <f>IFERROR(VLOOKUP(TableHandbook[[#This Row],[UDC]],TableSPUCDECOM[],7,FALSE),"")</f>
        <v/>
      </c>
      <c r="Q61" s="70" t="str">
        <f>IFERROR(VLOOKUP(TableHandbook[[#This Row],[UDC]],TableSPUCGRCOM[],7,FALSE),"")</f>
        <v/>
      </c>
      <c r="R61" s="70" t="str">
        <f>IFERROR(VLOOKUP(TableHandbook[[#This Row],[UDC]],TableSPUPJOURL[],7,FALSE),"")</f>
        <v/>
      </c>
      <c r="S61" s="70" t="str">
        <f>IFERROR(VLOOKUP(TableHandbook[[#This Row],[UDC]],TableSPUCMKCOM[],7,FALSE),"")</f>
        <v/>
      </c>
      <c r="T61" s="70" t="str">
        <f>IFERROR(VLOOKUP(TableHandbook[[#This Row],[UDC]],TableSPUCPHCOM[],7,FALSE),"")</f>
        <v/>
      </c>
      <c r="U61" s="70" t="str">
        <f>IFERROR(VLOOKUP(TableHandbook[[#This Row],[UDC]],TableSPUCPRCOM[],7,FALSE),"")</f>
        <v/>
      </c>
    </row>
    <row r="62" spans="1:21" x14ac:dyDescent="0.3">
      <c r="A62" s="5" t="s">
        <v>64</v>
      </c>
      <c r="B62" s="6"/>
      <c r="C62" s="6"/>
      <c r="D62" s="5" t="s">
        <v>287</v>
      </c>
      <c r="E62" s="6">
        <v>25</v>
      </c>
      <c r="F62" s="90"/>
      <c r="G62" s="25" t="str">
        <f>IFERROR(IF(VLOOKUP(TableHandbook[[#This Row],[UDC]],TableAvailabilities[],2,FALSE)&gt;0,"Y",""),"")</f>
        <v/>
      </c>
      <c r="H62" s="25" t="str">
        <f>IFERROR(IF(VLOOKUP(TableHandbook[[#This Row],[UDC]],TableAvailabilities[],3,FALSE)&gt;0,"Y",""),"")</f>
        <v/>
      </c>
      <c r="I62" s="25" t="str">
        <f>IFERROR(IF(VLOOKUP(TableHandbook[[#This Row],[UDC]],TableAvailabilities[],4,FALSE)&gt;0,"Y",""),"")</f>
        <v/>
      </c>
      <c r="J62" s="25" t="str">
        <f>IFERROR(IF(VLOOKUP(TableHandbook[[#This Row],[UDC]],TableAvailabilities[],5,FALSE)&gt;0,"Y",""),"")</f>
        <v/>
      </c>
      <c r="K62" s="68"/>
      <c r="L62" s="70" t="str">
        <f>IFERROR(VLOOKUP(TableHandbook[[#This Row],[UDC]],TableBMASCOMS[],7,FALSE),"")</f>
        <v>Option</v>
      </c>
      <c r="M62" s="70" t="str">
        <f>IFERROR(VLOOKUP(TableHandbook[[#This Row],[UDC]],TableSPUCCSCOM[],7,FALSE),"")</f>
        <v/>
      </c>
      <c r="N62" s="70" t="str">
        <f>IFERROR(VLOOKUP(TableHandbook[[#This Row],[UDC]],TableSPUCJOURL[],7,FALSE),"")</f>
        <v/>
      </c>
      <c r="O62" s="70" t="str">
        <f>IFERROR(VLOOKUP(TableHandbook[[#This Row],[UDC]],TableSPUCWMCOM[],7,FALSE),"")</f>
        <v/>
      </c>
      <c r="P62" s="70" t="str">
        <f>IFERROR(VLOOKUP(TableHandbook[[#This Row],[UDC]],TableSPUCDECOM[],7,FALSE),"")</f>
        <v/>
      </c>
      <c r="Q62" s="70" t="str">
        <f>IFERROR(VLOOKUP(TableHandbook[[#This Row],[UDC]],TableSPUCGRCOM[],7,FALSE),"")</f>
        <v/>
      </c>
      <c r="R62" s="70" t="str">
        <f>IFERROR(VLOOKUP(TableHandbook[[#This Row],[UDC]],TableSPUPJOURL[],7,FALSE),"")</f>
        <v/>
      </c>
      <c r="S62" s="70" t="str">
        <f>IFERROR(VLOOKUP(TableHandbook[[#This Row],[UDC]],TableSPUCMKCOM[],7,FALSE),"")</f>
        <v/>
      </c>
      <c r="T62" s="70" t="str">
        <f>IFERROR(VLOOKUP(TableHandbook[[#This Row],[UDC]],TableSPUCPHCOM[],7,FALSE),"")</f>
        <v/>
      </c>
      <c r="U62" s="70" t="str">
        <f>IFERROR(VLOOKUP(TableHandbook[[#This Row],[UDC]],TableSPUCPRCOM[],7,FALSE),"")</f>
        <v/>
      </c>
    </row>
    <row r="63" spans="1:21" x14ac:dyDescent="0.3">
      <c r="A63" s="5" t="s">
        <v>135</v>
      </c>
      <c r="B63" s="6">
        <v>3</v>
      </c>
      <c r="C63" s="6"/>
      <c r="D63" s="5" t="s">
        <v>288</v>
      </c>
      <c r="E63" s="6">
        <v>25</v>
      </c>
      <c r="F63" s="90" t="s">
        <v>208</v>
      </c>
      <c r="G63" s="25" t="str">
        <f>IFERROR(IF(VLOOKUP(TableHandbook[[#This Row],[UDC]],TableAvailabilities[],2,FALSE)&gt;0,"Y",""),"")</f>
        <v>Y</v>
      </c>
      <c r="H63" s="25" t="str">
        <f>IFERROR(IF(VLOOKUP(TableHandbook[[#This Row],[UDC]],TableAvailabilities[],3,FALSE)&gt;0,"Y",""),"")</f>
        <v/>
      </c>
      <c r="I63" s="25" t="str">
        <f>IFERROR(IF(VLOOKUP(TableHandbook[[#This Row],[UDC]],TableAvailabilities[],4,FALSE)&gt;0,"Y",""),"")</f>
        <v>Y</v>
      </c>
      <c r="J63" s="25" t="str">
        <f>IFERROR(IF(VLOOKUP(TableHandbook[[#This Row],[UDC]],TableAvailabilities[],5,FALSE)&gt;0,"Y",""),"")</f>
        <v/>
      </c>
      <c r="K63" s="68"/>
      <c r="L63" s="70" t="str">
        <f>IFERROR(VLOOKUP(TableHandbook[[#This Row],[UDC]],TableBMASCOMS[],7,FALSE),"")</f>
        <v/>
      </c>
      <c r="M63" s="70" t="str">
        <f>IFERROR(VLOOKUP(TableHandbook[[#This Row],[UDC]],TableSPUCCSCOM[],7,FALSE),"")</f>
        <v/>
      </c>
      <c r="N63" s="70" t="str">
        <f>IFERROR(VLOOKUP(TableHandbook[[#This Row],[UDC]],TableSPUCJOURL[],7,FALSE),"")</f>
        <v/>
      </c>
      <c r="O63" s="70" t="str">
        <f>IFERROR(VLOOKUP(TableHandbook[[#This Row],[UDC]],TableSPUCWMCOM[],7,FALSE),"")</f>
        <v/>
      </c>
      <c r="P63" s="70" t="str">
        <f>IFERROR(VLOOKUP(TableHandbook[[#This Row],[UDC]],TableSPUCDECOM[],7,FALSE),"")</f>
        <v/>
      </c>
      <c r="Q63" s="70" t="str">
        <f>IFERROR(VLOOKUP(TableHandbook[[#This Row],[UDC]],TableSPUCGRCOM[],7,FALSE),"")</f>
        <v/>
      </c>
      <c r="R63" s="70" t="str">
        <f>IFERROR(VLOOKUP(TableHandbook[[#This Row],[UDC]],TableSPUPJOURL[],7,FALSE),"")</f>
        <v/>
      </c>
      <c r="S63" s="70" t="str">
        <f>IFERROR(VLOOKUP(TableHandbook[[#This Row],[UDC]],TableSPUCMKCOM[],7,FALSE),"")</f>
        <v/>
      </c>
      <c r="T63" s="70" t="str">
        <f>IFERROR(VLOOKUP(TableHandbook[[#This Row],[UDC]],TableSPUCPHCOM[],7,FALSE),"")</f>
        <v/>
      </c>
      <c r="U63" s="70" t="str">
        <f>IFERROR(VLOOKUP(TableHandbook[[#This Row],[UDC]],TableSPUCPRCOM[],7,FALSE),"")</f>
        <v>Core</v>
      </c>
    </row>
    <row r="64" spans="1:21" x14ac:dyDescent="0.3">
      <c r="A64" s="5" t="s">
        <v>145</v>
      </c>
      <c r="B64" s="6">
        <v>2</v>
      </c>
      <c r="C64" s="6"/>
      <c r="D64" s="5" t="s">
        <v>289</v>
      </c>
      <c r="E64" s="6">
        <v>25</v>
      </c>
      <c r="F64" s="90" t="s">
        <v>208</v>
      </c>
      <c r="G64" s="25" t="str">
        <f>IFERROR(IF(VLOOKUP(TableHandbook[[#This Row],[UDC]],TableAvailabilities[],2,FALSE)&gt;0,"Y",""),"")</f>
        <v>Y</v>
      </c>
      <c r="H64" s="25" t="str">
        <f>IFERROR(IF(VLOOKUP(TableHandbook[[#This Row],[UDC]],TableAvailabilities[],3,FALSE)&gt;0,"Y",""),"")</f>
        <v/>
      </c>
      <c r="I64" s="25" t="str">
        <f>IFERROR(IF(VLOOKUP(TableHandbook[[#This Row],[UDC]],TableAvailabilities[],4,FALSE)&gt;0,"Y",""),"")</f>
        <v>Y</v>
      </c>
      <c r="J64" s="25" t="str">
        <f>IFERROR(IF(VLOOKUP(TableHandbook[[#This Row],[UDC]],TableAvailabilities[],5,FALSE)&gt;0,"Y",""),"")</f>
        <v/>
      </c>
      <c r="K64" s="68"/>
      <c r="L64" s="70" t="str">
        <f>IFERROR(VLOOKUP(TableHandbook[[#This Row],[UDC]],TableBMASCOMS[],7,FALSE),"")</f>
        <v/>
      </c>
      <c r="M64" s="70" t="str">
        <f>IFERROR(VLOOKUP(TableHandbook[[#This Row],[UDC]],TableSPUCCSCOM[],7,FALSE),"")</f>
        <v/>
      </c>
      <c r="N64" s="70" t="str">
        <f>IFERROR(VLOOKUP(TableHandbook[[#This Row],[UDC]],TableSPUCJOURL[],7,FALSE),"")</f>
        <v/>
      </c>
      <c r="O64" s="70" t="str">
        <f>IFERROR(VLOOKUP(TableHandbook[[#This Row],[UDC]],TableSPUCWMCOM[],7,FALSE),"")</f>
        <v/>
      </c>
      <c r="P64" s="70" t="str">
        <f>IFERROR(VLOOKUP(TableHandbook[[#This Row],[UDC]],TableSPUCDECOM[],7,FALSE),"")</f>
        <v/>
      </c>
      <c r="Q64" s="70" t="str">
        <f>IFERROR(VLOOKUP(TableHandbook[[#This Row],[UDC]],TableSPUCGRCOM[],7,FALSE),"")</f>
        <v/>
      </c>
      <c r="R64" s="70" t="str">
        <f>IFERROR(VLOOKUP(TableHandbook[[#This Row],[UDC]],TableSPUPJOURL[],7,FALSE),"")</f>
        <v/>
      </c>
      <c r="S64" s="70" t="str">
        <f>IFERROR(VLOOKUP(TableHandbook[[#This Row],[UDC]],TableSPUCMKCOM[],7,FALSE),"")</f>
        <v/>
      </c>
      <c r="T64" s="70" t="str">
        <f>IFERROR(VLOOKUP(TableHandbook[[#This Row],[UDC]],TableSPUCPHCOM[],7,FALSE),"")</f>
        <v/>
      </c>
      <c r="U64" s="70" t="str">
        <f>IFERROR(VLOOKUP(TableHandbook[[#This Row],[UDC]],TableSPUCPRCOM[],7,FALSE),"")</f>
        <v>Core</v>
      </c>
    </row>
    <row r="65" spans="1:21" x14ac:dyDescent="0.3">
      <c r="A65" s="5" t="s">
        <v>118</v>
      </c>
      <c r="B65" s="6">
        <v>3</v>
      </c>
      <c r="C65" s="6"/>
      <c r="D65" s="5" t="s">
        <v>290</v>
      </c>
      <c r="E65" s="6">
        <v>25</v>
      </c>
      <c r="F65" s="90" t="s">
        <v>208</v>
      </c>
      <c r="G65" s="25" t="str">
        <f>IFERROR(IF(VLOOKUP(TableHandbook[[#This Row],[UDC]],TableAvailabilities[],2,FALSE)&gt;0,"Y",""),"")</f>
        <v>Y</v>
      </c>
      <c r="H65" s="25" t="str">
        <f>IFERROR(IF(VLOOKUP(TableHandbook[[#This Row],[UDC]],TableAvailabilities[],3,FALSE)&gt;0,"Y",""),"")</f>
        <v/>
      </c>
      <c r="I65" s="25" t="str">
        <f>IFERROR(IF(VLOOKUP(TableHandbook[[#This Row],[UDC]],TableAvailabilities[],4,FALSE)&gt;0,"Y",""),"")</f>
        <v>Y</v>
      </c>
      <c r="J65" s="25" t="str">
        <f>IFERROR(IF(VLOOKUP(TableHandbook[[#This Row],[UDC]],TableAvailabilities[],5,FALSE)&gt;0,"Y",""),"")</f>
        <v/>
      </c>
      <c r="K65" s="68"/>
      <c r="L65" s="70" t="str">
        <f>IFERROR(VLOOKUP(TableHandbook[[#This Row],[UDC]],TableBMASCOMS[],7,FALSE),"")</f>
        <v>Option</v>
      </c>
      <c r="M65" s="70" t="str">
        <f>IFERROR(VLOOKUP(TableHandbook[[#This Row],[UDC]],TableSPUCCSCOM[],7,FALSE),"")</f>
        <v/>
      </c>
      <c r="N65" s="70" t="str">
        <f>IFERROR(VLOOKUP(TableHandbook[[#This Row],[UDC]],TableSPUCJOURL[],7,FALSE),"")</f>
        <v/>
      </c>
      <c r="O65" s="70" t="str">
        <f>IFERROR(VLOOKUP(TableHandbook[[#This Row],[UDC]],TableSPUCWMCOM[],7,FALSE),"")</f>
        <v/>
      </c>
      <c r="P65" s="70" t="str">
        <f>IFERROR(VLOOKUP(TableHandbook[[#This Row],[UDC]],TableSPUCDECOM[],7,FALSE),"")</f>
        <v/>
      </c>
      <c r="Q65" s="70" t="str">
        <f>IFERROR(VLOOKUP(TableHandbook[[#This Row],[UDC]],TableSPUCGRCOM[],7,FALSE),"")</f>
        <v/>
      </c>
      <c r="R65" s="70" t="str">
        <f>IFERROR(VLOOKUP(TableHandbook[[#This Row],[UDC]],TableSPUPJOURL[],7,FALSE),"")</f>
        <v/>
      </c>
      <c r="S65" s="70" t="str">
        <f>IFERROR(VLOOKUP(TableHandbook[[#This Row],[UDC]],TableSPUCMKCOM[],7,FALSE),"")</f>
        <v/>
      </c>
      <c r="T65" s="70" t="str">
        <f>IFERROR(VLOOKUP(TableHandbook[[#This Row],[UDC]],TableSPUCPHCOM[],7,FALSE),"")</f>
        <v/>
      </c>
      <c r="U65" s="70" t="str">
        <f>IFERROR(VLOOKUP(TableHandbook[[#This Row],[UDC]],TableSPUCPRCOM[],7,FALSE),"")</f>
        <v/>
      </c>
    </row>
    <row r="66" spans="1:21" x14ac:dyDescent="0.3">
      <c r="A66" s="5" t="s">
        <v>173</v>
      </c>
      <c r="B66" s="6">
        <v>3</v>
      </c>
      <c r="C66" s="6"/>
      <c r="D66" s="5" t="s">
        <v>291</v>
      </c>
      <c r="E66" s="6">
        <v>25</v>
      </c>
      <c r="F66" s="90" t="s">
        <v>208</v>
      </c>
      <c r="G66" s="25" t="str">
        <f>IFERROR(IF(VLOOKUP(TableHandbook[[#This Row],[UDC]],TableAvailabilities[],2,FALSE)&gt;0,"Y",""),"")</f>
        <v>Y</v>
      </c>
      <c r="H66" s="25" t="str">
        <f>IFERROR(IF(VLOOKUP(TableHandbook[[#This Row],[UDC]],TableAvailabilities[],3,FALSE)&gt;0,"Y",""),"")</f>
        <v/>
      </c>
      <c r="I66" s="25" t="str">
        <f>IFERROR(IF(VLOOKUP(TableHandbook[[#This Row],[UDC]],TableAvailabilities[],4,FALSE)&gt;0,"Y",""),"")</f>
        <v/>
      </c>
      <c r="J66" s="25" t="str">
        <f>IFERROR(IF(VLOOKUP(TableHandbook[[#This Row],[UDC]],TableAvailabilities[],5,FALSE)&gt;0,"Y",""),"")</f>
        <v/>
      </c>
      <c r="K66" s="68"/>
      <c r="L66" s="70" t="str">
        <f>IFERROR(VLOOKUP(TableHandbook[[#This Row],[UDC]],TableBMASCOMS[],7,FALSE),"")</f>
        <v/>
      </c>
      <c r="M66" s="70" t="str">
        <f>IFERROR(VLOOKUP(TableHandbook[[#This Row],[UDC]],TableSPUCCSCOM[],7,FALSE),"")</f>
        <v/>
      </c>
      <c r="N66" s="70" t="str">
        <f>IFERROR(VLOOKUP(TableHandbook[[#This Row],[UDC]],TableSPUCJOURL[],7,FALSE),"")</f>
        <v/>
      </c>
      <c r="O66" s="70" t="str">
        <f>IFERROR(VLOOKUP(TableHandbook[[#This Row],[UDC]],TableSPUCWMCOM[],7,FALSE),"")</f>
        <v/>
      </c>
      <c r="P66" s="70" t="str">
        <f>IFERROR(VLOOKUP(TableHandbook[[#This Row],[UDC]],TableSPUCDECOM[],7,FALSE),"")</f>
        <v/>
      </c>
      <c r="Q66" s="70" t="str">
        <f>IFERROR(VLOOKUP(TableHandbook[[#This Row],[UDC]],TableSPUCGRCOM[],7,FALSE),"")</f>
        <v/>
      </c>
      <c r="R66" s="70" t="str">
        <f>IFERROR(VLOOKUP(TableHandbook[[#This Row],[UDC]],TableSPUPJOURL[],7,FALSE),"")</f>
        <v/>
      </c>
      <c r="S66" s="70" t="str">
        <f>IFERROR(VLOOKUP(TableHandbook[[#This Row],[UDC]],TableSPUCMKCOM[],7,FALSE),"")</f>
        <v/>
      </c>
      <c r="T66" s="70" t="str">
        <f>IFERROR(VLOOKUP(TableHandbook[[#This Row],[UDC]],TableSPUCPHCOM[],7,FALSE),"")</f>
        <v/>
      </c>
      <c r="U66" s="70" t="str">
        <f>IFERROR(VLOOKUP(TableHandbook[[#This Row],[UDC]],TableSPUCPRCOM[],7,FALSE),"")</f>
        <v>Option</v>
      </c>
    </row>
    <row r="67" spans="1:21" x14ac:dyDescent="0.3">
      <c r="A67" s="5" t="s">
        <v>154</v>
      </c>
      <c r="B67" s="6">
        <v>3</v>
      </c>
      <c r="C67" s="6"/>
      <c r="D67" s="5" t="s">
        <v>292</v>
      </c>
      <c r="E67" s="6">
        <v>25</v>
      </c>
      <c r="F67" s="90" t="s">
        <v>208</v>
      </c>
      <c r="G67" s="25" t="str">
        <f>IFERROR(IF(VLOOKUP(TableHandbook[[#This Row],[UDC]],TableAvailabilities[],2,FALSE)&gt;0,"Y",""),"")</f>
        <v/>
      </c>
      <c r="H67" s="25" t="str">
        <f>IFERROR(IF(VLOOKUP(TableHandbook[[#This Row],[UDC]],TableAvailabilities[],3,FALSE)&gt;0,"Y",""),"")</f>
        <v/>
      </c>
      <c r="I67" s="25" t="str">
        <f>IFERROR(IF(VLOOKUP(TableHandbook[[#This Row],[UDC]],TableAvailabilities[],4,FALSE)&gt;0,"Y",""),"")</f>
        <v>Y</v>
      </c>
      <c r="J67" s="25" t="str">
        <f>IFERROR(IF(VLOOKUP(TableHandbook[[#This Row],[UDC]],TableAvailabilities[],5,FALSE)&gt;0,"Y",""),"")</f>
        <v/>
      </c>
      <c r="K67" s="68"/>
      <c r="L67" s="70" t="str">
        <f>IFERROR(VLOOKUP(TableHandbook[[#This Row],[UDC]],TableBMASCOMS[],7,FALSE),"")</f>
        <v/>
      </c>
      <c r="M67" s="70" t="str">
        <f>IFERROR(VLOOKUP(TableHandbook[[#This Row],[UDC]],TableSPUCCSCOM[],7,FALSE),"")</f>
        <v/>
      </c>
      <c r="N67" s="70" t="str">
        <f>IFERROR(VLOOKUP(TableHandbook[[#This Row],[UDC]],TableSPUCJOURL[],7,FALSE),"")</f>
        <v/>
      </c>
      <c r="O67" s="70" t="str">
        <f>IFERROR(VLOOKUP(TableHandbook[[#This Row],[UDC]],TableSPUCWMCOM[],7,FALSE),"")</f>
        <v/>
      </c>
      <c r="P67" s="70" t="str">
        <f>IFERROR(VLOOKUP(TableHandbook[[#This Row],[UDC]],TableSPUCDECOM[],7,FALSE),"")</f>
        <v/>
      </c>
      <c r="Q67" s="70" t="str">
        <f>IFERROR(VLOOKUP(TableHandbook[[#This Row],[UDC]],TableSPUCGRCOM[],7,FALSE),"")</f>
        <v/>
      </c>
      <c r="R67" s="70" t="str">
        <f>IFERROR(VLOOKUP(TableHandbook[[#This Row],[UDC]],TableSPUPJOURL[],7,FALSE),"")</f>
        <v/>
      </c>
      <c r="S67" s="70" t="str">
        <f>IFERROR(VLOOKUP(TableHandbook[[#This Row],[UDC]],TableSPUCMKCOM[],7,FALSE),"")</f>
        <v/>
      </c>
      <c r="T67" s="70" t="str">
        <f>IFERROR(VLOOKUP(TableHandbook[[#This Row],[UDC]],TableSPUCPHCOM[],7,FALSE),"")</f>
        <v/>
      </c>
      <c r="U67" s="70" t="str">
        <f>IFERROR(VLOOKUP(TableHandbook[[#This Row],[UDC]],TableSPUCPRCOM[],7,FALSE),"")</f>
        <v>Core</v>
      </c>
    </row>
    <row r="68" spans="1:21" x14ac:dyDescent="0.3">
      <c r="A68" s="5" t="s">
        <v>179</v>
      </c>
      <c r="B68" s="6">
        <v>1</v>
      </c>
      <c r="C68" s="6"/>
      <c r="D68" s="5" t="s">
        <v>293</v>
      </c>
      <c r="E68" s="6">
        <v>25</v>
      </c>
      <c r="F68" s="90" t="s">
        <v>208</v>
      </c>
      <c r="G68" s="25" t="str">
        <f>IFERROR(IF(VLOOKUP(TableHandbook[[#This Row],[UDC]],TableAvailabilities[],2,FALSE)&gt;0,"Y",""),"")</f>
        <v>Y</v>
      </c>
      <c r="H68" s="25" t="str">
        <f>IFERROR(IF(VLOOKUP(TableHandbook[[#This Row],[UDC]],TableAvailabilities[],3,FALSE)&gt;0,"Y",""),"")</f>
        <v/>
      </c>
      <c r="I68" s="25" t="str">
        <f>IFERROR(IF(VLOOKUP(TableHandbook[[#This Row],[UDC]],TableAvailabilities[],4,FALSE)&gt;0,"Y",""),"")</f>
        <v/>
      </c>
      <c r="J68" s="25" t="str">
        <f>IFERROR(IF(VLOOKUP(TableHandbook[[#This Row],[UDC]],TableAvailabilities[],5,FALSE)&gt;0,"Y",""),"")</f>
        <v/>
      </c>
      <c r="K68" s="68"/>
      <c r="L68" s="70" t="str">
        <f>IFERROR(VLOOKUP(TableHandbook[[#This Row],[UDC]],TableBMASCOMS[],7,FALSE),"")</f>
        <v/>
      </c>
      <c r="M68" s="70" t="str">
        <f>IFERROR(VLOOKUP(TableHandbook[[#This Row],[UDC]],TableSPUCCSCOM[],7,FALSE),"")</f>
        <v/>
      </c>
      <c r="N68" s="70" t="str">
        <f>IFERROR(VLOOKUP(TableHandbook[[#This Row],[UDC]],TableSPUCJOURL[],7,FALSE),"")</f>
        <v/>
      </c>
      <c r="O68" s="70" t="str">
        <f>IFERROR(VLOOKUP(TableHandbook[[#This Row],[UDC]],TableSPUCWMCOM[],7,FALSE),"")</f>
        <v/>
      </c>
      <c r="P68" s="70" t="str">
        <f>IFERROR(VLOOKUP(TableHandbook[[#This Row],[UDC]],TableSPUCDECOM[],7,FALSE),"")</f>
        <v/>
      </c>
      <c r="Q68" s="70" t="str">
        <f>IFERROR(VLOOKUP(TableHandbook[[#This Row],[UDC]],TableSPUCGRCOM[],7,FALSE),"")</f>
        <v/>
      </c>
      <c r="R68" s="70" t="str">
        <f>IFERROR(VLOOKUP(TableHandbook[[#This Row],[UDC]],TableSPUPJOURL[],7,FALSE),"")</f>
        <v/>
      </c>
      <c r="S68" s="70" t="str">
        <f>IFERROR(VLOOKUP(TableHandbook[[#This Row],[UDC]],TableSPUCMKCOM[],7,FALSE),"")</f>
        <v/>
      </c>
      <c r="T68" s="70" t="str">
        <f>IFERROR(VLOOKUP(TableHandbook[[#This Row],[UDC]],TableSPUCPHCOM[],7,FALSE),"")</f>
        <v/>
      </c>
      <c r="U68" s="70" t="str">
        <f>IFERROR(VLOOKUP(TableHandbook[[#This Row],[UDC]],TableSPUCPRCOM[],7,FALSE),"")</f>
        <v>Option</v>
      </c>
    </row>
    <row r="69" spans="1:21" x14ac:dyDescent="0.3">
      <c r="A69" s="5" t="s">
        <v>196</v>
      </c>
      <c r="B69" s="6">
        <v>2</v>
      </c>
      <c r="C69" s="6"/>
      <c r="D69" s="5" t="s">
        <v>294</v>
      </c>
      <c r="E69" s="6">
        <v>25</v>
      </c>
      <c r="F69" s="90" t="s">
        <v>208</v>
      </c>
      <c r="G69" s="25" t="str">
        <f>IFERROR(IF(VLOOKUP(TableHandbook[[#This Row],[UDC]],TableAvailabilities[],2,FALSE)&gt;0,"Y",""),"")</f>
        <v/>
      </c>
      <c r="H69" s="25" t="str">
        <f>IFERROR(IF(VLOOKUP(TableHandbook[[#This Row],[UDC]],TableAvailabilities[],3,FALSE)&gt;0,"Y",""),"")</f>
        <v/>
      </c>
      <c r="I69" s="25" t="str">
        <f>IFERROR(IF(VLOOKUP(TableHandbook[[#This Row],[UDC]],TableAvailabilities[],4,FALSE)&gt;0,"Y",""),"")</f>
        <v>Y</v>
      </c>
      <c r="J69" s="25" t="str">
        <f>IFERROR(IF(VLOOKUP(TableHandbook[[#This Row],[UDC]],TableAvailabilities[],5,FALSE)&gt;0,"Y",""),"")</f>
        <v/>
      </c>
      <c r="K69" s="68"/>
      <c r="L69" s="70" t="str">
        <f>IFERROR(VLOOKUP(TableHandbook[[#This Row],[UDC]],TableBMASCOMS[],7,FALSE),"")</f>
        <v>Option</v>
      </c>
      <c r="M69" s="70" t="str">
        <f>IFERROR(VLOOKUP(TableHandbook[[#This Row],[UDC]],TableSPUCCSCOM[],7,FALSE),"")</f>
        <v/>
      </c>
      <c r="N69" s="70" t="str">
        <f>IFERROR(VLOOKUP(TableHandbook[[#This Row],[UDC]],TableSPUCJOURL[],7,FALSE),"")</f>
        <v/>
      </c>
      <c r="O69" s="70" t="str">
        <f>IFERROR(VLOOKUP(TableHandbook[[#This Row],[UDC]],TableSPUCWMCOM[],7,FALSE),"")</f>
        <v/>
      </c>
      <c r="P69" s="70" t="str">
        <f>IFERROR(VLOOKUP(TableHandbook[[#This Row],[UDC]],TableSPUCDECOM[],7,FALSE),"")</f>
        <v/>
      </c>
      <c r="Q69" s="70" t="str">
        <f>IFERROR(VLOOKUP(TableHandbook[[#This Row],[UDC]],TableSPUCGRCOM[],7,FALSE),"")</f>
        <v/>
      </c>
      <c r="R69" s="70" t="str">
        <f>IFERROR(VLOOKUP(TableHandbook[[#This Row],[UDC]],TableSPUPJOURL[],7,FALSE),"")</f>
        <v/>
      </c>
      <c r="S69" s="70" t="str">
        <f>IFERROR(VLOOKUP(TableHandbook[[#This Row],[UDC]],TableSPUCMKCOM[],7,FALSE),"")</f>
        <v/>
      </c>
      <c r="T69" s="70" t="str">
        <f>IFERROR(VLOOKUP(TableHandbook[[#This Row],[UDC]],TableSPUCPHCOM[],7,FALSE),"")</f>
        <v/>
      </c>
      <c r="U69" s="70" t="str">
        <f>IFERROR(VLOOKUP(TableHandbook[[#This Row],[UDC]],TableSPUCPRCOM[],7,FALSE),"")</f>
        <v/>
      </c>
    </row>
    <row r="70" spans="1:21" x14ac:dyDescent="0.3">
      <c r="A70" s="5" t="s">
        <v>111</v>
      </c>
      <c r="B70" s="6"/>
      <c r="C70" s="6"/>
      <c r="D70" s="5" t="s">
        <v>295</v>
      </c>
      <c r="E70" s="6"/>
      <c r="F70" s="90"/>
      <c r="G70" s="25" t="str">
        <f>IFERROR(IF(VLOOKUP(TableHandbook[[#This Row],[UDC]],TableAvailabilities[],2,FALSE)&gt;0,"Y",""),"")</f>
        <v/>
      </c>
      <c r="H70" s="25" t="str">
        <f>IFERROR(IF(VLOOKUP(TableHandbook[[#This Row],[UDC]],TableAvailabilities[],3,FALSE)&gt;0,"Y",""),"")</f>
        <v/>
      </c>
      <c r="I70" s="25" t="str">
        <f>IFERROR(IF(VLOOKUP(TableHandbook[[#This Row],[UDC]],TableAvailabilities[],4,FALSE)&gt;0,"Y",""),"")</f>
        <v/>
      </c>
      <c r="J70" s="25" t="str">
        <f>IFERROR(IF(VLOOKUP(TableHandbook[[#This Row],[UDC]],TableAvailabilities[],5,FALSE)&gt;0,"Y",""),"")</f>
        <v/>
      </c>
      <c r="K70" s="68"/>
      <c r="L70" s="70" t="str">
        <f>IFERROR(VLOOKUP(TableHandbook[[#This Row],[UDC]],TableBMASCOMS[],7,FALSE),"")</f>
        <v/>
      </c>
      <c r="M70" s="70" t="str">
        <f>IFERROR(VLOOKUP(TableHandbook[[#This Row],[UDC]],TableSPUCCSCOM[],7,FALSE),"")</f>
        <v/>
      </c>
      <c r="N70" s="70" t="str">
        <f>IFERROR(VLOOKUP(TableHandbook[[#This Row],[UDC]],TableSPUCJOURL[],7,FALSE),"")</f>
        <v/>
      </c>
      <c r="O70" s="70" t="str">
        <f>IFERROR(VLOOKUP(TableHandbook[[#This Row],[UDC]],TableSPUCWMCOM[],7,FALSE),"")</f>
        <v/>
      </c>
      <c r="P70" s="70" t="str">
        <f>IFERROR(VLOOKUP(TableHandbook[[#This Row],[UDC]],TableSPUCDECOM[],7,FALSE),"")</f>
        <v/>
      </c>
      <c r="Q70" s="70" t="str">
        <f>IFERROR(VLOOKUP(TableHandbook[[#This Row],[UDC]],TableSPUCGRCOM[],7,FALSE),"")</f>
        <v/>
      </c>
      <c r="R70" s="70" t="str">
        <f>IFERROR(VLOOKUP(TableHandbook[[#This Row],[UDC]],TableSPUPJOURL[],7,FALSE),"")</f>
        <v/>
      </c>
      <c r="S70" s="70" t="str">
        <f>IFERROR(VLOOKUP(TableHandbook[[#This Row],[UDC]],TableSPUCMKCOM[],7,FALSE),"")</f>
        <v/>
      </c>
      <c r="T70" s="70" t="str">
        <f>IFERROR(VLOOKUP(TableHandbook[[#This Row],[UDC]],TableSPUCPHCOM[],7,FALSE),"")</f>
        <v/>
      </c>
      <c r="U70" s="70" t="str">
        <f>IFERROR(VLOOKUP(TableHandbook[[#This Row],[UDC]],TableSPUCPRCOM[],7,FALSE),"")</f>
        <v/>
      </c>
    </row>
    <row r="71" spans="1:21" x14ac:dyDescent="0.3">
      <c r="A71" s="5" t="s">
        <v>130</v>
      </c>
      <c r="B71" s="6">
        <v>1</v>
      </c>
      <c r="C71" s="6"/>
      <c r="D71" s="5" t="s">
        <v>296</v>
      </c>
      <c r="E71" s="6">
        <v>25</v>
      </c>
      <c r="F71" s="90" t="s">
        <v>208</v>
      </c>
      <c r="G71" s="25" t="str">
        <f>IFERROR(IF(VLOOKUP(TableHandbook[[#This Row],[UDC]],TableAvailabilities[],2,FALSE)&gt;0,"Y",""),"")</f>
        <v>Y</v>
      </c>
      <c r="H71" s="25" t="str">
        <f>IFERROR(IF(VLOOKUP(TableHandbook[[#This Row],[UDC]],TableAvailabilities[],3,FALSE)&gt;0,"Y",""),"")</f>
        <v/>
      </c>
      <c r="I71" s="25" t="str">
        <f>IFERROR(IF(VLOOKUP(TableHandbook[[#This Row],[UDC]],TableAvailabilities[],4,FALSE)&gt;0,"Y",""),"")</f>
        <v/>
      </c>
      <c r="J71" s="25" t="str">
        <f>IFERROR(IF(VLOOKUP(TableHandbook[[#This Row],[UDC]],TableAvailabilities[],5,FALSE)&gt;0,"Y",""),"")</f>
        <v/>
      </c>
      <c r="K71" s="68"/>
      <c r="L71" s="70" t="str">
        <f>IFERROR(VLOOKUP(TableHandbook[[#This Row],[UDC]],TableBMASCOMS[],7,FALSE),"")</f>
        <v/>
      </c>
      <c r="M71" s="70" t="str">
        <f>IFERROR(VLOOKUP(TableHandbook[[#This Row],[UDC]],TableSPUCCSCOM[],7,FALSE),"")</f>
        <v>Core</v>
      </c>
      <c r="N71" s="70" t="str">
        <f>IFERROR(VLOOKUP(TableHandbook[[#This Row],[UDC]],TableSPUCJOURL[],7,FALSE),"")</f>
        <v/>
      </c>
      <c r="O71" s="70" t="str">
        <f>IFERROR(VLOOKUP(TableHandbook[[#This Row],[UDC]],TableSPUCWMCOM[],7,FALSE),"")</f>
        <v/>
      </c>
      <c r="P71" s="70" t="str">
        <f>IFERROR(VLOOKUP(TableHandbook[[#This Row],[UDC]],TableSPUCDECOM[],7,FALSE),"")</f>
        <v/>
      </c>
      <c r="Q71" s="70" t="str">
        <f>IFERROR(VLOOKUP(TableHandbook[[#This Row],[UDC]],TableSPUCGRCOM[],7,FALSE),"")</f>
        <v/>
      </c>
      <c r="R71" s="70" t="str">
        <f>IFERROR(VLOOKUP(TableHandbook[[#This Row],[UDC]],TableSPUPJOURL[],7,FALSE),"")</f>
        <v/>
      </c>
      <c r="S71" s="70" t="str">
        <f>IFERROR(VLOOKUP(TableHandbook[[#This Row],[UDC]],TableSPUCMKCOM[],7,FALSE),"")</f>
        <v/>
      </c>
      <c r="T71" s="70" t="str">
        <f>IFERROR(VLOOKUP(TableHandbook[[#This Row],[UDC]],TableSPUCPHCOM[],7,FALSE),"")</f>
        <v/>
      </c>
      <c r="U71" s="70" t="str">
        <f>IFERROR(VLOOKUP(TableHandbook[[#This Row],[UDC]],TableSPUCPRCOM[],7,FALSE),"")</f>
        <v/>
      </c>
    </row>
    <row r="72" spans="1:21" x14ac:dyDescent="0.3">
      <c r="A72" s="5" t="s">
        <v>297</v>
      </c>
      <c r="B72" s="6">
        <v>0</v>
      </c>
      <c r="C72" s="6"/>
      <c r="D72" s="5" t="s">
        <v>298</v>
      </c>
      <c r="E72" s="6">
        <v>100</v>
      </c>
      <c r="F72" s="90" t="s">
        <v>100</v>
      </c>
      <c r="G72" s="25" t="str">
        <f>IFERROR(IF(VLOOKUP(TableHandbook[[#This Row],[UDC]],TableAvailabilities[],2,FALSE)&gt;0,"Y",""),"")</f>
        <v/>
      </c>
      <c r="H72" s="25" t="str">
        <f>IFERROR(IF(VLOOKUP(TableHandbook[[#This Row],[UDC]],TableAvailabilities[],3,FALSE)&gt;0,"Y",""),"")</f>
        <v/>
      </c>
      <c r="I72" s="25" t="str">
        <f>IFERROR(IF(VLOOKUP(TableHandbook[[#This Row],[UDC]],TableAvailabilities[],4,FALSE)&gt;0,"Y",""),"")</f>
        <v/>
      </c>
      <c r="J72" s="25" t="str">
        <f>IFERROR(IF(VLOOKUP(TableHandbook[[#This Row],[UDC]],TableAvailabilities[],5,FALSE)&gt;0,"Y",""),"")</f>
        <v/>
      </c>
      <c r="K72" s="68"/>
      <c r="L72" s="70" t="str">
        <f>IFERROR(VLOOKUP(TableHandbook[[#This Row],[UDC]],TableBMASCOMS[],7,FALSE),"")</f>
        <v>Core</v>
      </c>
      <c r="M72" s="70" t="str">
        <f>IFERROR(VLOOKUP(TableHandbook[[#This Row],[UDC]],TableSPUCCSCOM[],7,FALSE),"")</f>
        <v/>
      </c>
      <c r="N72" s="70" t="str">
        <f>IFERROR(VLOOKUP(TableHandbook[[#This Row],[UDC]],TableSPUCJOURL[],7,FALSE),"")</f>
        <v/>
      </c>
      <c r="O72" s="70" t="str">
        <f>IFERROR(VLOOKUP(TableHandbook[[#This Row],[UDC]],TableSPUCWMCOM[],7,FALSE),"")</f>
        <v/>
      </c>
      <c r="P72" s="70" t="str">
        <f>IFERROR(VLOOKUP(TableHandbook[[#This Row],[UDC]],TableSPUCDECOM[],7,FALSE),"")</f>
        <v/>
      </c>
      <c r="Q72" s="70" t="str">
        <f>IFERROR(VLOOKUP(TableHandbook[[#This Row],[UDC]],TableSPUCGRCOM[],7,FALSE),"")</f>
        <v/>
      </c>
      <c r="R72" s="70" t="str">
        <f>IFERROR(VLOOKUP(TableHandbook[[#This Row],[UDC]],TableSPUPJOURL[],7,FALSE),"")</f>
        <v/>
      </c>
      <c r="S72" s="70" t="str">
        <f>IFERROR(VLOOKUP(TableHandbook[[#This Row],[UDC]],TableSPUCMKCOM[],7,FALSE),"")</f>
        <v/>
      </c>
      <c r="T72" s="70" t="str">
        <f>IFERROR(VLOOKUP(TableHandbook[[#This Row],[UDC]],TableSPUCPHCOM[],7,FALSE),"")</f>
        <v/>
      </c>
      <c r="U72" s="70" t="str">
        <f>IFERROR(VLOOKUP(TableHandbook[[#This Row],[UDC]],TableSPUCPRCOM[],7,FALSE),"")</f>
        <v/>
      </c>
    </row>
    <row r="73" spans="1:21" x14ac:dyDescent="0.3">
      <c r="A73" s="5" t="s">
        <v>113</v>
      </c>
      <c r="B73" s="6">
        <v>3</v>
      </c>
      <c r="C73" s="6"/>
      <c r="D73" s="5" t="s">
        <v>299</v>
      </c>
      <c r="E73" s="6">
        <v>25</v>
      </c>
      <c r="F73" s="90" t="s">
        <v>208</v>
      </c>
      <c r="G73" s="25" t="str">
        <f>IFERROR(IF(VLOOKUP(TableHandbook[[#This Row],[UDC]],TableAvailabilities[],2,FALSE)&gt;0,"Y",""),"")</f>
        <v>Y</v>
      </c>
      <c r="H73" s="25" t="str">
        <f>IFERROR(IF(VLOOKUP(TableHandbook[[#This Row],[UDC]],TableAvailabilities[],3,FALSE)&gt;0,"Y",""),"")</f>
        <v/>
      </c>
      <c r="I73" s="25" t="str">
        <f>IFERROR(IF(VLOOKUP(TableHandbook[[#This Row],[UDC]],TableAvailabilities[],4,FALSE)&gt;0,"Y",""),"")</f>
        <v>Y</v>
      </c>
      <c r="J73" s="25" t="str">
        <f>IFERROR(IF(VLOOKUP(TableHandbook[[#This Row],[UDC]],TableAvailabilities[],5,FALSE)&gt;0,"Y",""),"")</f>
        <v/>
      </c>
      <c r="K73" s="68" t="s">
        <v>226</v>
      </c>
      <c r="L73" s="70" t="str">
        <f>IFERROR(VLOOKUP(TableHandbook[[#This Row],[UDC]],TableBMASCOMS[],7,FALSE),"")</f>
        <v>Option</v>
      </c>
      <c r="M73" s="70" t="str">
        <f>IFERROR(VLOOKUP(TableHandbook[[#This Row],[UDC]],TableSPUCCSCOM[],7,FALSE),"")</f>
        <v/>
      </c>
      <c r="N73" s="70" t="str">
        <f>IFERROR(VLOOKUP(TableHandbook[[#This Row],[UDC]],TableSPUCJOURL[],7,FALSE),"")</f>
        <v/>
      </c>
      <c r="O73" s="70" t="str">
        <f>IFERROR(VLOOKUP(TableHandbook[[#This Row],[UDC]],TableSPUCWMCOM[],7,FALSE),"")</f>
        <v/>
      </c>
      <c r="P73" s="70" t="str">
        <f>IFERROR(VLOOKUP(TableHandbook[[#This Row],[UDC]],TableSPUCDECOM[],7,FALSE),"")</f>
        <v/>
      </c>
      <c r="Q73" s="70" t="str">
        <f>IFERROR(VLOOKUP(TableHandbook[[#This Row],[UDC]],TableSPUCGRCOM[],7,FALSE),"")</f>
        <v/>
      </c>
      <c r="R73" s="70" t="str">
        <f>IFERROR(VLOOKUP(TableHandbook[[#This Row],[UDC]],TableSPUPJOURL[],7,FALSE),"")</f>
        <v/>
      </c>
      <c r="S73" s="70" t="str">
        <f>IFERROR(VLOOKUP(TableHandbook[[#This Row],[UDC]],TableSPUCMKCOM[],7,FALSE),"")</f>
        <v/>
      </c>
      <c r="T73" s="70" t="str">
        <f>IFERROR(VLOOKUP(TableHandbook[[#This Row],[UDC]],TableSPUCPHCOM[],7,FALSE),"")</f>
        <v/>
      </c>
      <c r="U73" s="70" t="str">
        <f>IFERROR(VLOOKUP(TableHandbook[[#This Row],[UDC]],TableSPUCPRCOM[],7,FALSE),"")</f>
        <v/>
      </c>
    </row>
    <row r="74" spans="1:21" x14ac:dyDescent="0.3">
      <c r="A74" s="5" t="s">
        <v>300</v>
      </c>
      <c r="B74" s="6">
        <v>2</v>
      </c>
      <c r="C74" s="6"/>
      <c r="D74" s="5" t="s">
        <v>301</v>
      </c>
      <c r="E74" s="6">
        <v>25</v>
      </c>
      <c r="F74" s="90" t="s">
        <v>208</v>
      </c>
      <c r="G74" s="25" t="str">
        <f>IFERROR(IF(VLOOKUP(TableHandbook[[#This Row],[UDC]],TableAvailabilities[],2,FALSE)&gt;0,"Y",""),"")</f>
        <v/>
      </c>
      <c r="H74" s="25" t="str">
        <f>IFERROR(IF(VLOOKUP(TableHandbook[[#This Row],[UDC]],TableAvailabilities[],3,FALSE)&gt;0,"Y",""),"")</f>
        <v/>
      </c>
      <c r="I74" s="25" t="str">
        <f>IFERROR(IF(VLOOKUP(TableHandbook[[#This Row],[UDC]],TableAvailabilities[],4,FALSE)&gt;0,"Y",""),"")</f>
        <v/>
      </c>
      <c r="J74" s="25" t="str">
        <f>IFERROR(IF(VLOOKUP(TableHandbook[[#This Row],[UDC]],TableAvailabilities[],5,FALSE)&gt;0,"Y",""),"")</f>
        <v/>
      </c>
      <c r="K74" s="68" t="s">
        <v>228</v>
      </c>
      <c r="L74" s="70" t="str">
        <f>IFERROR(VLOOKUP(TableHandbook[[#This Row],[UDC]],TableBMASCOMS[],7,FALSE),"")</f>
        <v/>
      </c>
      <c r="M74" s="70" t="str">
        <f>IFERROR(VLOOKUP(TableHandbook[[#This Row],[UDC]],TableSPUCCSCOM[],7,FALSE),"")</f>
        <v/>
      </c>
      <c r="N74" s="70" t="str">
        <f>IFERROR(VLOOKUP(TableHandbook[[#This Row],[UDC]],TableSPUCJOURL[],7,FALSE),"")</f>
        <v/>
      </c>
      <c r="O74" s="70" t="str">
        <f>IFERROR(VLOOKUP(TableHandbook[[#This Row],[UDC]],TableSPUCWMCOM[],7,FALSE),"")</f>
        <v/>
      </c>
      <c r="P74" s="70" t="str">
        <f>IFERROR(VLOOKUP(TableHandbook[[#This Row],[UDC]],TableSPUCDECOM[],7,FALSE),"")</f>
        <v/>
      </c>
      <c r="Q74" s="70" t="str">
        <f>IFERROR(VLOOKUP(TableHandbook[[#This Row],[UDC]],TableSPUCGRCOM[],7,FALSE),"")</f>
        <v/>
      </c>
      <c r="R74" s="70" t="str">
        <f>IFERROR(VLOOKUP(TableHandbook[[#This Row],[UDC]],TableSPUPJOURL[],7,FALSE),"")</f>
        <v/>
      </c>
      <c r="S74" s="70" t="str">
        <f>IFERROR(VLOOKUP(TableHandbook[[#This Row],[UDC]],TableSPUCMKCOM[],7,FALSE),"")</f>
        <v/>
      </c>
      <c r="T74" s="70" t="str">
        <f>IFERROR(VLOOKUP(TableHandbook[[#This Row],[UDC]],TableSPUCPHCOM[],7,FALSE),"")</f>
        <v/>
      </c>
      <c r="U74" s="70" t="str">
        <f>IFERROR(VLOOKUP(TableHandbook[[#This Row],[UDC]],TableSPUCPRCOM[],7,FALSE),"")</f>
        <v/>
      </c>
    </row>
    <row r="75" spans="1:21" x14ac:dyDescent="0.3">
      <c r="A75" s="5" t="s">
        <v>138</v>
      </c>
      <c r="B75" s="6">
        <v>3</v>
      </c>
      <c r="C75" s="6"/>
      <c r="D75" s="5" t="s">
        <v>302</v>
      </c>
      <c r="E75" s="6">
        <v>25</v>
      </c>
      <c r="F75" s="90" t="s">
        <v>208</v>
      </c>
      <c r="G75" s="25" t="str">
        <f>IFERROR(IF(VLOOKUP(TableHandbook[[#This Row],[UDC]],TableAvailabilities[],2,FALSE)&gt;0,"Y",""),"")</f>
        <v>Y</v>
      </c>
      <c r="H75" s="25" t="str">
        <f>IFERROR(IF(VLOOKUP(TableHandbook[[#This Row],[UDC]],TableAvailabilities[],3,FALSE)&gt;0,"Y",""),"")</f>
        <v/>
      </c>
      <c r="I75" s="25" t="str">
        <f>IFERROR(IF(VLOOKUP(TableHandbook[[#This Row],[UDC]],TableAvailabilities[],4,FALSE)&gt;0,"Y",""),"")</f>
        <v>Y</v>
      </c>
      <c r="J75" s="25" t="str">
        <f>IFERROR(IF(VLOOKUP(TableHandbook[[#This Row],[UDC]],TableAvailabilities[],5,FALSE)&gt;0,"Y",""),"")</f>
        <v/>
      </c>
      <c r="K75" s="68"/>
      <c r="L75" s="70" t="str">
        <f>IFERROR(VLOOKUP(TableHandbook[[#This Row],[UDC]],TableBMASCOMS[],7,FALSE),"")</f>
        <v/>
      </c>
      <c r="M75" s="70" t="str">
        <f>IFERROR(VLOOKUP(TableHandbook[[#This Row],[UDC]],TableSPUCCSCOM[],7,FALSE),"")</f>
        <v>Core</v>
      </c>
      <c r="N75" s="70" t="str">
        <f>IFERROR(VLOOKUP(TableHandbook[[#This Row],[UDC]],TableSPUCJOURL[],7,FALSE),"")</f>
        <v/>
      </c>
      <c r="O75" s="70" t="str">
        <f>IFERROR(VLOOKUP(TableHandbook[[#This Row],[UDC]],TableSPUCWMCOM[],7,FALSE),"")</f>
        <v/>
      </c>
      <c r="P75" s="70" t="str">
        <f>IFERROR(VLOOKUP(TableHandbook[[#This Row],[UDC]],TableSPUCDECOM[],7,FALSE),"")</f>
        <v/>
      </c>
      <c r="Q75" s="70" t="str">
        <f>IFERROR(VLOOKUP(TableHandbook[[#This Row],[UDC]],TableSPUCGRCOM[],7,FALSE),"")</f>
        <v/>
      </c>
      <c r="R75" s="70" t="str">
        <f>IFERROR(VLOOKUP(TableHandbook[[#This Row],[UDC]],TableSPUPJOURL[],7,FALSE),"")</f>
        <v/>
      </c>
      <c r="S75" s="70" t="str">
        <f>IFERROR(VLOOKUP(TableHandbook[[#This Row],[UDC]],TableSPUCMKCOM[],7,FALSE),"")</f>
        <v/>
      </c>
      <c r="T75" s="70" t="str">
        <f>IFERROR(VLOOKUP(TableHandbook[[#This Row],[UDC]],TableSPUCPHCOM[],7,FALSE),"")</f>
        <v/>
      </c>
      <c r="U75" s="70" t="str">
        <f>IFERROR(VLOOKUP(TableHandbook[[#This Row],[UDC]],TableSPUCPRCOM[],7,FALSE),"")</f>
        <v/>
      </c>
    </row>
    <row r="76" spans="1:21" x14ac:dyDescent="0.3">
      <c r="A76" s="5" t="s">
        <v>148</v>
      </c>
      <c r="B76" s="6">
        <v>1</v>
      </c>
      <c r="C76" s="6"/>
      <c r="D76" s="5" t="s">
        <v>303</v>
      </c>
      <c r="E76" s="6">
        <v>25</v>
      </c>
      <c r="F76" s="90" t="s">
        <v>304</v>
      </c>
      <c r="G76" s="25" t="str">
        <f>IFERROR(IF(VLOOKUP(TableHandbook[[#This Row],[UDC]],TableAvailabilities[],2,FALSE)&gt;0,"Y",""),"")</f>
        <v/>
      </c>
      <c r="H76" s="25" t="str">
        <f>IFERROR(IF(VLOOKUP(TableHandbook[[#This Row],[UDC]],TableAvailabilities[],3,FALSE)&gt;0,"Y",""),"")</f>
        <v/>
      </c>
      <c r="I76" s="25" t="str">
        <f>IFERROR(IF(VLOOKUP(TableHandbook[[#This Row],[UDC]],TableAvailabilities[],4,FALSE)&gt;0,"Y",""),"")</f>
        <v>Y</v>
      </c>
      <c r="J76" s="25" t="str">
        <f>IFERROR(IF(VLOOKUP(TableHandbook[[#This Row],[UDC]],TableAvailabilities[],5,FALSE)&gt;0,"Y",""),"")</f>
        <v/>
      </c>
      <c r="K76" s="68"/>
      <c r="L76" s="70" t="str">
        <f>IFERROR(VLOOKUP(TableHandbook[[#This Row],[UDC]],TableBMASCOMS[],7,FALSE),"")</f>
        <v/>
      </c>
      <c r="M76" s="70" t="str">
        <f>IFERROR(VLOOKUP(TableHandbook[[#This Row],[UDC]],TableSPUCCSCOM[],7,FALSE),"")</f>
        <v>Core</v>
      </c>
      <c r="N76" s="70" t="str">
        <f>IFERROR(VLOOKUP(TableHandbook[[#This Row],[UDC]],TableSPUCJOURL[],7,FALSE),"")</f>
        <v/>
      </c>
      <c r="O76" s="70" t="str">
        <f>IFERROR(VLOOKUP(TableHandbook[[#This Row],[UDC]],TableSPUCWMCOM[],7,FALSE),"")</f>
        <v/>
      </c>
      <c r="P76" s="70" t="str">
        <f>IFERROR(VLOOKUP(TableHandbook[[#This Row],[UDC]],TableSPUCDECOM[],7,FALSE),"")</f>
        <v/>
      </c>
      <c r="Q76" s="70" t="str">
        <f>IFERROR(VLOOKUP(TableHandbook[[#This Row],[UDC]],TableSPUCGRCOM[],7,FALSE),"")</f>
        <v/>
      </c>
      <c r="R76" s="70" t="str">
        <f>IFERROR(VLOOKUP(TableHandbook[[#This Row],[UDC]],TableSPUPJOURL[],7,FALSE),"")</f>
        <v/>
      </c>
      <c r="S76" s="70" t="str">
        <f>IFERROR(VLOOKUP(TableHandbook[[#This Row],[UDC]],TableSPUCMKCOM[],7,FALSE),"")</f>
        <v/>
      </c>
      <c r="T76" s="70" t="str">
        <f>IFERROR(VLOOKUP(TableHandbook[[#This Row],[UDC]],TableSPUCPHCOM[],7,FALSE),"")</f>
        <v/>
      </c>
      <c r="U76" s="70" t="str">
        <f>IFERROR(VLOOKUP(TableHandbook[[#This Row],[UDC]],TableSPUCPRCOM[],7,FALSE),"")</f>
        <v/>
      </c>
    </row>
    <row r="77" spans="1:21" x14ac:dyDescent="0.3">
      <c r="A77" s="5" t="s">
        <v>156</v>
      </c>
      <c r="B77" s="6">
        <v>5</v>
      </c>
      <c r="C77" s="6"/>
      <c r="D77" s="5" t="s">
        <v>305</v>
      </c>
      <c r="E77" s="6">
        <v>25</v>
      </c>
      <c r="F77" s="90" t="s">
        <v>306</v>
      </c>
      <c r="G77" s="25" t="str">
        <f>IFERROR(IF(VLOOKUP(TableHandbook[[#This Row],[UDC]],TableAvailabilities[],2,FALSE)&gt;0,"Y",""),"")</f>
        <v>Y</v>
      </c>
      <c r="H77" s="25" t="str">
        <f>IFERROR(IF(VLOOKUP(TableHandbook[[#This Row],[UDC]],TableAvailabilities[],3,FALSE)&gt;0,"Y",""),"")</f>
        <v/>
      </c>
      <c r="I77" s="25" t="str">
        <f>IFERROR(IF(VLOOKUP(TableHandbook[[#This Row],[UDC]],TableAvailabilities[],4,FALSE)&gt;0,"Y",""),"")</f>
        <v/>
      </c>
      <c r="J77" s="25" t="str">
        <f>IFERROR(IF(VLOOKUP(TableHandbook[[#This Row],[UDC]],TableAvailabilities[],5,FALSE)&gt;0,"Y",""),"")</f>
        <v/>
      </c>
      <c r="K77" s="68"/>
      <c r="L77" s="70" t="str">
        <f>IFERROR(VLOOKUP(TableHandbook[[#This Row],[UDC]],TableBMASCOMS[],7,FALSE),"")</f>
        <v/>
      </c>
      <c r="M77" s="70" t="str">
        <f>IFERROR(VLOOKUP(TableHandbook[[#This Row],[UDC]],TableSPUCCSCOM[],7,FALSE),"")</f>
        <v>Core</v>
      </c>
      <c r="N77" s="70" t="str">
        <f>IFERROR(VLOOKUP(TableHandbook[[#This Row],[UDC]],TableSPUCJOURL[],7,FALSE),"")</f>
        <v/>
      </c>
      <c r="O77" s="70" t="str">
        <f>IFERROR(VLOOKUP(TableHandbook[[#This Row],[UDC]],TableSPUCWMCOM[],7,FALSE),"")</f>
        <v/>
      </c>
      <c r="P77" s="70" t="str">
        <f>IFERROR(VLOOKUP(TableHandbook[[#This Row],[UDC]],TableSPUCDECOM[],7,FALSE),"")</f>
        <v/>
      </c>
      <c r="Q77" s="70" t="str">
        <f>IFERROR(VLOOKUP(TableHandbook[[#This Row],[UDC]],TableSPUCGRCOM[],7,FALSE),"")</f>
        <v/>
      </c>
      <c r="R77" s="70" t="str">
        <f>IFERROR(VLOOKUP(TableHandbook[[#This Row],[UDC]],TableSPUPJOURL[],7,FALSE),"")</f>
        <v/>
      </c>
      <c r="S77" s="70" t="str">
        <f>IFERROR(VLOOKUP(TableHandbook[[#This Row],[UDC]],TableSPUCMKCOM[],7,FALSE),"")</f>
        <v/>
      </c>
      <c r="T77" s="70" t="str">
        <f>IFERROR(VLOOKUP(TableHandbook[[#This Row],[UDC]],TableSPUCPHCOM[],7,FALSE),"")</f>
        <v/>
      </c>
      <c r="U77" s="70" t="str">
        <f>IFERROR(VLOOKUP(TableHandbook[[#This Row],[UDC]],TableSPUCPRCOM[],7,FALSE),"")</f>
        <v/>
      </c>
    </row>
    <row r="78" spans="1:21" x14ac:dyDescent="0.3">
      <c r="A78" s="5" t="s">
        <v>68</v>
      </c>
      <c r="B78" s="6"/>
      <c r="C78" s="6"/>
      <c r="D78" s="5" t="s">
        <v>307</v>
      </c>
      <c r="E78" s="6">
        <v>100</v>
      </c>
      <c r="F78" s="90"/>
      <c r="G78" s="25" t="str">
        <f>IFERROR(IF(VLOOKUP(TableHandbook[[#This Row],[UDC]],TableAvailabilities[],2,FALSE)&gt;0,"Y",""),"")</f>
        <v/>
      </c>
      <c r="H78" s="25" t="str">
        <f>IFERROR(IF(VLOOKUP(TableHandbook[[#This Row],[UDC]],TableAvailabilities[],3,FALSE)&gt;0,"Y",""),"")</f>
        <v/>
      </c>
      <c r="I78" s="25" t="str">
        <f>IFERROR(IF(VLOOKUP(TableHandbook[[#This Row],[UDC]],TableAvailabilities[],4,FALSE)&gt;0,"Y",""),"")</f>
        <v/>
      </c>
      <c r="J78" s="25" t="str">
        <f>IFERROR(IF(VLOOKUP(TableHandbook[[#This Row],[UDC]],TableAvailabilities[],5,FALSE)&gt;0,"Y",""),"")</f>
        <v/>
      </c>
      <c r="K78" s="68"/>
      <c r="L78" s="70" t="str">
        <f>IFERROR(VLOOKUP(TableHandbook[[#This Row],[UDC]],TableBMASCOMS[],7,FALSE),"")</f>
        <v>Core</v>
      </c>
      <c r="M78" s="70" t="str">
        <f>IFERROR(VLOOKUP(TableHandbook[[#This Row],[UDC]],TableSPUCCSCOM[],7,FALSE),"")</f>
        <v/>
      </c>
      <c r="N78" s="70" t="str">
        <f>IFERROR(VLOOKUP(TableHandbook[[#This Row],[UDC]],TableSPUCJOURL[],7,FALSE),"")</f>
        <v/>
      </c>
      <c r="O78" s="70" t="str">
        <f>IFERROR(VLOOKUP(TableHandbook[[#This Row],[UDC]],TableSPUCWMCOM[],7,FALSE),"")</f>
        <v/>
      </c>
      <c r="P78" s="70" t="str">
        <f>IFERROR(VLOOKUP(TableHandbook[[#This Row],[UDC]],TableSPUCDECOM[],7,FALSE),"")</f>
        <v/>
      </c>
      <c r="Q78" s="70" t="str">
        <f>IFERROR(VLOOKUP(TableHandbook[[#This Row],[UDC]],TableSPUCGRCOM[],7,FALSE),"")</f>
        <v/>
      </c>
      <c r="R78" s="70" t="str">
        <f>IFERROR(VLOOKUP(TableHandbook[[#This Row],[UDC]],TableSPUPJOURL[],7,FALSE),"")</f>
        <v/>
      </c>
      <c r="S78" s="70" t="str">
        <f>IFERROR(VLOOKUP(TableHandbook[[#This Row],[UDC]],TableSPUCMKCOM[],7,FALSE),"")</f>
        <v/>
      </c>
      <c r="T78" s="70" t="str">
        <f>IFERROR(VLOOKUP(TableHandbook[[#This Row],[UDC]],TableSPUCPHCOM[],7,FALSE),"")</f>
        <v/>
      </c>
      <c r="U78" s="70" t="str">
        <f>IFERROR(VLOOKUP(TableHandbook[[#This Row],[UDC]],TableSPUCPRCOM[],7,FALSE),"")</f>
        <v/>
      </c>
    </row>
    <row r="79" spans="1:21" x14ac:dyDescent="0.3">
      <c r="A79" s="5" t="s">
        <v>85</v>
      </c>
      <c r="B79" s="6"/>
      <c r="C79" s="6"/>
      <c r="D79" s="5" t="s">
        <v>308</v>
      </c>
      <c r="E79" s="6">
        <v>75</v>
      </c>
      <c r="F79" s="90"/>
      <c r="G79" s="25" t="str">
        <f>IFERROR(IF(VLOOKUP(TableHandbook[[#This Row],[UDC]],TableAvailabilities[],2,FALSE)&gt;0,"Y",""),"")</f>
        <v/>
      </c>
      <c r="H79" s="25" t="str">
        <f>IFERROR(IF(VLOOKUP(TableHandbook[[#This Row],[UDC]],TableAvailabilities[],3,FALSE)&gt;0,"Y",""),"")</f>
        <v/>
      </c>
      <c r="I79" s="25" t="str">
        <f>IFERROR(IF(VLOOKUP(TableHandbook[[#This Row],[UDC]],TableAvailabilities[],4,FALSE)&gt;0,"Y",""),"")</f>
        <v/>
      </c>
      <c r="J79" s="25" t="str">
        <f>IFERROR(IF(VLOOKUP(TableHandbook[[#This Row],[UDC]],TableAvailabilities[],5,FALSE)&gt;0,"Y",""),"")</f>
        <v/>
      </c>
      <c r="K79" s="68"/>
      <c r="L79" s="70" t="str">
        <f>IFERROR(VLOOKUP(TableHandbook[[#This Row],[UDC]],TableBMASCOMS[],7,FALSE),"")</f>
        <v>Core</v>
      </c>
      <c r="M79" s="70" t="str">
        <f>IFERROR(VLOOKUP(TableHandbook[[#This Row],[UDC]],TableSPUCCSCOM[],7,FALSE),"")</f>
        <v/>
      </c>
      <c r="N79" s="70" t="str">
        <f>IFERROR(VLOOKUP(TableHandbook[[#This Row],[UDC]],TableSPUCJOURL[],7,FALSE),"")</f>
        <v/>
      </c>
      <c r="O79" s="70" t="str">
        <f>IFERROR(VLOOKUP(TableHandbook[[#This Row],[UDC]],TableSPUCWMCOM[],7,FALSE),"")</f>
        <v/>
      </c>
      <c r="P79" s="70" t="str">
        <f>IFERROR(VLOOKUP(TableHandbook[[#This Row],[UDC]],TableSPUCDECOM[],7,FALSE),"")</f>
        <v/>
      </c>
      <c r="Q79" s="70" t="str">
        <f>IFERROR(VLOOKUP(TableHandbook[[#This Row],[UDC]],TableSPUCGRCOM[],7,FALSE),"")</f>
        <v/>
      </c>
      <c r="R79" s="70" t="str">
        <f>IFERROR(VLOOKUP(TableHandbook[[#This Row],[UDC]],TableSPUPJOURL[],7,FALSE),"")</f>
        <v/>
      </c>
      <c r="S79" s="70" t="str">
        <f>IFERROR(VLOOKUP(TableHandbook[[#This Row],[UDC]],TableSPUCMKCOM[],7,FALSE),"")</f>
        <v/>
      </c>
      <c r="T79" s="70" t="str">
        <f>IFERROR(VLOOKUP(TableHandbook[[#This Row],[UDC]],TableSPUCPHCOM[],7,FALSE),"")</f>
        <v/>
      </c>
      <c r="U79" s="70" t="str">
        <f>IFERROR(VLOOKUP(TableHandbook[[#This Row],[UDC]],TableSPUCPRCOM[],7,FALSE),"")</f>
        <v/>
      </c>
    </row>
    <row r="80" spans="1:21" x14ac:dyDescent="0.3">
      <c r="A80" s="5" t="s">
        <v>87</v>
      </c>
      <c r="B80" s="6"/>
      <c r="C80" s="6"/>
      <c r="D80" s="5" t="s">
        <v>309</v>
      </c>
      <c r="E80" s="6">
        <v>75</v>
      </c>
      <c r="F80" s="90"/>
      <c r="G80" s="25" t="str">
        <f>IFERROR(IF(VLOOKUP(TableHandbook[[#This Row],[UDC]],TableAvailabilities[],2,FALSE)&gt;0,"Y",""),"")</f>
        <v/>
      </c>
      <c r="H80" s="25" t="str">
        <f>IFERROR(IF(VLOOKUP(TableHandbook[[#This Row],[UDC]],TableAvailabilities[],3,FALSE)&gt;0,"Y",""),"")</f>
        <v/>
      </c>
      <c r="I80" s="25" t="str">
        <f>IFERROR(IF(VLOOKUP(TableHandbook[[#This Row],[UDC]],TableAvailabilities[],4,FALSE)&gt;0,"Y",""),"")</f>
        <v/>
      </c>
      <c r="J80" s="25" t="str">
        <f>IFERROR(IF(VLOOKUP(TableHandbook[[#This Row],[UDC]],TableAvailabilities[],5,FALSE)&gt;0,"Y",""),"")</f>
        <v/>
      </c>
      <c r="K80" s="68"/>
      <c r="L80" s="70" t="str">
        <f>IFERROR(VLOOKUP(TableHandbook[[#This Row],[UDC]],TableBMASCOMS[],7,FALSE),"")</f>
        <v>Core</v>
      </c>
      <c r="M80" s="70" t="str">
        <f>IFERROR(VLOOKUP(TableHandbook[[#This Row],[UDC]],TableSPUCCSCOM[],7,FALSE),"")</f>
        <v/>
      </c>
      <c r="N80" s="70" t="str">
        <f>IFERROR(VLOOKUP(TableHandbook[[#This Row],[UDC]],TableSPUCJOURL[],7,FALSE),"")</f>
        <v/>
      </c>
      <c r="O80" s="70" t="str">
        <f>IFERROR(VLOOKUP(TableHandbook[[#This Row],[UDC]],TableSPUCWMCOM[],7,FALSE),"")</f>
        <v/>
      </c>
      <c r="P80" s="70" t="str">
        <f>IFERROR(VLOOKUP(TableHandbook[[#This Row],[UDC]],TableSPUCDECOM[],7,FALSE),"")</f>
        <v/>
      </c>
      <c r="Q80" s="70" t="str">
        <f>IFERROR(VLOOKUP(TableHandbook[[#This Row],[UDC]],TableSPUCGRCOM[],7,FALSE),"")</f>
        <v/>
      </c>
      <c r="R80" s="70" t="str">
        <f>IFERROR(VLOOKUP(TableHandbook[[#This Row],[UDC]],TableSPUPJOURL[],7,FALSE),"")</f>
        <v/>
      </c>
      <c r="S80" s="70" t="str">
        <f>IFERROR(VLOOKUP(TableHandbook[[#This Row],[UDC]],TableSPUCMKCOM[],7,FALSE),"")</f>
        <v/>
      </c>
      <c r="T80" s="70" t="str">
        <f>IFERROR(VLOOKUP(TableHandbook[[#This Row],[UDC]],TableSPUCPHCOM[],7,FALSE),"")</f>
        <v/>
      </c>
      <c r="U80" s="70" t="str">
        <f>IFERROR(VLOOKUP(TableHandbook[[#This Row],[UDC]],TableSPUCPRCOM[],7,FALSE),"")</f>
        <v/>
      </c>
    </row>
    <row r="81" spans="1:21" x14ac:dyDescent="0.3">
      <c r="A81" s="5" t="s">
        <v>71</v>
      </c>
      <c r="B81" s="6"/>
      <c r="C81" s="6"/>
      <c r="D81" s="5" t="s">
        <v>310</v>
      </c>
      <c r="E81" s="6">
        <v>100</v>
      </c>
      <c r="F81" s="90"/>
      <c r="G81" s="25" t="str">
        <f>IFERROR(IF(VLOOKUP(TableHandbook[[#This Row],[UDC]],TableAvailabilities[],2,FALSE)&gt;0,"Y",""),"")</f>
        <v/>
      </c>
      <c r="H81" s="25" t="str">
        <f>IFERROR(IF(VLOOKUP(TableHandbook[[#This Row],[UDC]],TableAvailabilities[],3,FALSE)&gt;0,"Y",""),"")</f>
        <v/>
      </c>
      <c r="I81" s="25" t="str">
        <f>IFERROR(IF(VLOOKUP(TableHandbook[[#This Row],[UDC]],TableAvailabilities[],4,FALSE)&gt;0,"Y",""),"")</f>
        <v/>
      </c>
      <c r="J81" s="25" t="str">
        <f>IFERROR(IF(VLOOKUP(TableHandbook[[#This Row],[UDC]],TableAvailabilities[],5,FALSE)&gt;0,"Y",""),"")</f>
        <v/>
      </c>
      <c r="K81" s="68"/>
      <c r="L81" s="70" t="str">
        <f>IFERROR(VLOOKUP(TableHandbook[[#This Row],[UDC]],TableBMASCOMS[],7,FALSE),"")</f>
        <v>Core</v>
      </c>
      <c r="M81" s="70" t="str">
        <f>IFERROR(VLOOKUP(TableHandbook[[#This Row],[UDC]],TableSPUCCSCOM[],7,FALSE),"")</f>
        <v/>
      </c>
      <c r="N81" s="70" t="str">
        <f>IFERROR(VLOOKUP(TableHandbook[[#This Row],[UDC]],TableSPUCJOURL[],7,FALSE),"")</f>
        <v/>
      </c>
      <c r="O81" s="70" t="str">
        <f>IFERROR(VLOOKUP(TableHandbook[[#This Row],[UDC]],TableSPUCWMCOM[],7,FALSE),"")</f>
        <v/>
      </c>
      <c r="P81" s="70" t="str">
        <f>IFERROR(VLOOKUP(TableHandbook[[#This Row],[UDC]],TableSPUCDECOM[],7,FALSE),"")</f>
        <v/>
      </c>
      <c r="Q81" s="70" t="str">
        <f>IFERROR(VLOOKUP(TableHandbook[[#This Row],[UDC]],TableSPUCGRCOM[],7,FALSE),"")</f>
        <v/>
      </c>
      <c r="R81" s="70" t="str">
        <f>IFERROR(VLOOKUP(TableHandbook[[#This Row],[UDC]],TableSPUPJOURL[],7,FALSE),"")</f>
        <v/>
      </c>
      <c r="S81" s="70" t="str">
        <f>IFERROR(VLOOKUP(TableHandbook[[#This Row],[UDC]],TableSPUCMKCOM[],7,FALSE),"")</f>
        <v/>
      </c>
      <c r="T81" s="70" t="str">
        <f>IFERROR(VLOOKUP(TableHandbook[[#This Row],[UDC]],TableSPUCPHCOM[],7,FALSE),"")</f>
        <v/>
      </c>
      <c r="U81" s="70" t="str">
        <f>IFERROR(VLOOKUP(TableHandbook[[#This Row],[UDC]],TableSPUCPRCOM[],7,FALSE),"")</f>
        <v/>
      </c>
    </row>
    <row r="82" spans="1:21" x14ac:dyDescent="0.3">
      <c r="A82" s="5" t="s">
        <v>311</v>
      </c>
      <c r="B82" s="6"/>
      <c r="C82" s="6"/>
      <c r="D82" s="5" t="s">
        <v>312</v>
      </c>
      <c r="E82" s="6">
        <v>100</v>
      </c>
      <c r="F82" s="90"/>
      <c r="G82" s="25" t="str">
        <f>IFERROR(IF(VLOOKUP(TableHandbook[[#This Row],[UDC]],TableAvailabilities[],2,FALSE)&gt;0,"Y",""),"")</f>
        <v/>
      </c>
      <c r="H82" s="25" t="str">
        <f>IFERROR(IF(VLOOKUP(TableHandbook[[#This Row],[UDC]],TableAvailabilities[],3,FALSE)&gt;0,"Y",""),"")</f>
        <v/>
      </c>
      <c r="I82" s="25" t="str">
        <f>IFERROR(IF(VLOOKUP(TableHandbook[[#This Row],[UDC]],TableAvailabilities[],4,FALSE)&gt;0,"Y",""),"")</f>
        <v/>
      </c>
      <c r="J82" s="25" t="str">
        <f>IFERROR(IF(VLOOKUP(TableHandbook[[#This Row],[UDC]],TableAvailabilities[],5,FALSE)&gt;0,"Y",""),"")</f>
        <v/>
      </c>
      <c r="K82" s="68" t="s">
        <v>313</v>
      </c>
      <c r="L82" s="70" t="str">
        <f>IFERROR(VLOOKUP(TableHandbook[[#This Row],[UDC]],TableBMASCOMS[],7,FALSE),"")</f>
        <v/>
      </c>
      <c r="M82" s="70" t="str">
        <f>IFERROR(VLOOKUP(TableHandbook[[#This Row],[UDC]],TableSPUCCSCOM[],7,FALSE),"")</f>
        <v/>
      </c>
      <c r="N82" s="70" t="str">
        <f>IFERROR(VLOOKUP(TableHandbook[[#This Row],[UDC]],TableSPUCJOURL[],7,FALSE),"")</f>
        <v/>
      </c>
      <c r="O82" s="70" t="str">
        <f>IFERROR(VLOOKUP(TableHandbook[[#This Row],[UDC]],TableSPUCWMCOM[],7,FALSE),"")</f>
        <v/>
      </c>
      <c r="P82" s="70" t="str">
        <f>IFERROR(VLOOKUP(TableHandbook[[#This Row],[UDC]],TableSPUCDECOM[],7,FALSE),"")</f>
        <v/>
      </c>
      <c r="Q82" s="70" t="str">
        <f>IFERROR(VLOOKUP(TableHandbook[[#This Row],[UDC]],TableSPUCGRCOM[],7,FALSE),"")</f>
        <v/>
      </c>
      <c r="R82" s="70" t="str">
        <f>IFERROR(VLOOKUP(TableHandbook[[#This Row],[UDC]],TableSPUPJOURL[],7,FALSE),"")</f>
        <v/>
      </c>
      <c r="S82" s="70" t="str">
        <f>IFERROR(VLOOKUP(TableHandbook[[#This Row],[UDC]],TableSPUCMKCOM[],7,FALSE),"")</f>
        <v/>
      </c>
      <c r="T82" s="70" t="str">
        <f>IFERROR(VLOOKUP(TableHandbook[[#This Row],[UDC]],TableSPUCPHCOM[],7,FALSE),"")</f>
        <v/>
      </c>
      <c r="U82" s="70" t="str">
        <f>IFERROR(VLOOKUP(TableHandbook[[#This Row],[UDC]],TableSPUCPRCOM[],7,FALSE),"")</f>
        <v/>
      </c>
    </row>
    <row r="83" spans="1:21" x14ac:dyDescent="0.3">
      <c r="A83" s="5" t="s">
        <v>89</v>
      </c>
      <c r="B83" s="6"/>
      <c r="C83" s="6"/>
      <c r="D83" s="5" t="s">
        <v>314</v>
      </c>
      <c r="E83" s="6">
        <v>50</v>
      </c>
      <c r="F83" s="90"/>
      <c r="G83" s="25" t="str">
        <f>IFERROR(IF(VLOOKUP(TableHandbook[[#This Row],[UDC]],TableAvailabilities[],2,FALSE)&gt;0,"Y",""),"")</f>
        <v/>
      </c>
      <c r="H83" s="25" t="str">
        <f>IFERROR(IF(VLOOKUP(TableHandbook[[#This Row],[UDC]],TableAvailabilities[],3,FALSE)&gt;0,"Y",""),"")</f>
        <v/>
      </c>
      <c r="I83" s="25" t="str">
        <f>IFERROR(IF(VLOOKUP(TableHandbook[[#This Row],[UDC]],TableAvailabilities[],4,FALSE)&gt;0,"Y",""),"")</f>
        <v/>
      </c>
      <c r="J83" s="25" t="str">
        <f>IFERROR(IF(VLOOKUP(TableHandbook[[#This Row],[UDC]],TableAvailabilities[],5,FALSE)&gt;0,"Y",""),"")</f>
        <v/>
      </c>
      <c r="K83" s="68"/>
      <c r="L83" s="70" t="str">
        <f>IFERROR(VLOOKUP(TableHandbook[[#This Row],[UDC]],TableBMASCOMS[],7,FALSE),"")</f>
        <v>Core</v>
      </c>
      <c r="M83" s="70" t="str">
        <f>IFERROR(VLOOKUP(TableHandbook[[#This Row],[UDC]],TableSPUCCSCOM[],7,FALSE),"")</f>
        <v/>
      </c>
      <c r="N83" s="70" t="str">
        <f>IFERROR(VLOOKUP(TableHandbook[[#This Row],[UDC]],TableSPUCJOURL[],7,FALSE),"")</f>
        <v/>
      </c>
      <c r="O83" s="70" t="str">
        <f>IFERROR(VLOOKUP(TableHandbook[[#This Row],[UDC]],TableSPUCWMCOM[],7,FALSE),"")</f>
        <v/>
      </c>
      <c r="P83" s="70" t="str">
        <f>IFERROR(VLOOKUP(TableHandbook[[#This Row],[UDC]],TableSPUCDECOM[],7,FALSE),"")</f>
        <v/>
      </c>
      <c r="Q83" s="70" t="str">
        <f>IFERROR(VLOOKUP(TableHandbook[[#This Row],[UDC]],TableSPUCGRCOM[],7,FALSE),"")</f>
        <v/>
      </c>
      <c r="R83" s="70" t="str">
        <f>IFERROR(VLOOKUP(TableHandbook[[#This Row],[UDC]],TableSPUPJOURL[],7,FALSE),"")</f>
        <v/>
      </c>
      <c r="S83" s="70" t="str">
        <f>IFERROR(VLOOKUP(TableHandbook[[#This Row],[UDC]],TableSPUCMKCOM[],7,FALSE),"")</f>
        <v/>
      </c>
      <c r="T83" s="70" t="str">
        <f>IFERROR(VLOOKUP(TableHandbook[[#This Row],[UDC]],TableSPUCPHCOM[],7,FALSE),"")</f>
        <v/>
      </c>
      <c r="U83" s="70" t="str">
        <f>IFERROR(VLOOKUP(TableHandbook[[#This Row],[UDC]],TableSPUCPRCOM[],7,FALSE),"")</f>
        <v/>
      </c>
    </row>
    <row r="84" spans="1:21" x14ac:dyDescent="0.3">
      <c r="A84" s="5" t="s">
        <v>93</v>
      </c>
      <c r="B84" s="6"/>
      <c r="C84" s="6"/>
      <c r="D84" s="5" t="s">
        <v>315</v>
      </c>
      <c r="E84" s="6">
        <v>100</v>
      </c>
      <c r="F84" s="90"/>
      <c r="G84" s="25" t="str">
        <f>IFERROR(IF(VLOOKUP(TableHandbook[[#This Row],[UDC]],TableAvailabilities[],2,FALSE)&gt;0,"Y",""),"")</f>
        <v/>
      </c>
      <c r="H84" s="25" t="str">
        <f>IFERROR(IF(VLOOKUP(TableHandbook[[#This Row],[UDC]],TableAvailabilities[],3,FALSE)&gt;0,"Y",""),"")</f>
        <v/>
      </c>
      <c r="I84" s="25" t="str">
        <f>IFERROR(IF(VLOOKUP(TableHandbook[[#This Row],[UDC]],TableAvailabilities[],4,FALSE)&gt;0,"Y",""),"")</f>
        <v/>
      </c>
      <c r="J84" s="25" t="str">
        <f>IFERROR(IF(VLOOKUP(TableHandbook[[#This Row],[UDC]],TableAvailabilities[],5,FALSE)&gt;0,"Y",""),"")</f>
        <v/>
      </c>
      <c r="K84" s="68"/>
      <c r="L84" s="70" t="str">
        <f>IFERROR(VLOOKUP(TableHandbook[[#This Row],[UDC]],TableBMASCOMS[],7,FALSE),"")</f>
        <v>Core</v>
      </c>
      <c r="M84" s="70" t="str">
        <f>IFERROR(VLOOKUP(TableHandbook[[#This Row],[UDC]],TableSPUCCSCOM[],7,FALSE),"")</f>
        <v/>
      </c>
      <c r="N84" s="70" t="str">
        <f>IFERROR(VLOOKUP(TableHandbook[[#This Row],[UDC]],TableSPUCJOURL[],7,FALSE),"")</f>
        <v/>
      </c>
      <c r="O84" s="70" t="str">
        <f>IFERROR(VLOOKUP(TableHandbook[[#This Row],[UDC]],TableSPUCWMCOM[],7,FALSE),"")</f>
        <v/>
      </c>
      <c r="P84" s="70" t="str">
        <f>IFERROR(VLOOKUP(TableHandbook[[#This Row],[UDC]],TableSPUCDECOM[],7,FALSE),"")</f>
        <v/>
      </c>
      <c r="Q84" s="70" t="str">
        <f>IFERROR(VLOOKUP(TableHandbook[[#This Row],[UDC]],TableSPUCGRCOM[],7,FALSE),"")</f>
        <v/>
      </c>
      <c r="R84" s="70" t="str">
        <f>IFERROR(VLOOKUP(TableHandbook[[#This Row],[UDC]],TableSPUPJOURL[],7,FALSE),"")</f>
        <v/>
      </c>
      <c r="S84" s="70" t="str">
        <f>IFERROR(VLOOKUP(TableHandbook[[#This Row],[UDC]],TableSPUCMKCOM[],7,FALSE),"")</f>
        <v/>
      </c>
      <c r="T84" s="70" t="str">
        <f>IFERROR(VLOOKUP(TableHandbook[[#This Row],[UDC]],TableSPUCPHCOM[],7,FALSE),"")</f>
        <v/>
      </c>
      <c r="U84" s="70" t="str">
        <f>IFERROR(VLOOKUP(TableHandbook[[#This Row],[UDC]],TableSPUCPRCOM[],7,FALSE),"")</f>
        <v/>
      </c>
    </row>
    <row r="85" spans="1:21" x14ac:dyDescent="0.3">
      <c r="A85" s="5" t="s">
        <v>95</v>
      </c>
      <c r="B85" s="6"/>
      <c r="C85" s="6"/>
      <c r="D85" s="5" t="s">
        <v>316</v>
      </c>
      <c r="E85" s="6">
        <v>75</v>
      </c>
      <c r="F85" s="90"/>
      <c r="G85" s="25" t="str">
        <f>IFERROR(IF(VLOOKUP(TableHandbook[[#This Row],[UDC]],TableAvailabilities[],2,FALSE)&gt;0,"Y",""),"")</f>
        <v/>
      </c>
      <c r="H85" s="25" t="str">
        <f>IFERROR(IF(VLOOKUP(TableHandbook[[#This Row],[UDC]],TableAvailabilities[],3,FALSE)&gt;0,"Y",""),"")</f>
        <v/>
      </c>
      <c r="I85" s="25" t="str">
        <f>IFERROR(IF(VLOOKUP(TableHandbook[[#This Row],[UDC]],TableAvailabilities[],4,FALSE)&gt;0,"Y",""),"")</f>
        <v/>
      </c>
      <c r="J85" s="25" t="str">
        <f>IFERROR(IF(VLOOKUP(TableHandbook[[#This Row],[UDC]],TableAvailabilities[],5,FALSE)&gt;0,"Y",""),"")</f>
        <v/>
      </c>
      <c r="K85" s="68"/>
      <c r="L85" s="70" t="str">
        <f>IFERROR(VLOOKUP(TableHandbook[[#This Row],[UDC]],TableBMASCOMS[],7,FALSE),"")</f>
        <v>Core</v>
      </c>
      <c r="M85" s="70" t="str">
        <f>IFERROR(VLOOKUP(TableHandbook[[#This Row],[UDC]],TableSPUCCSCOM[],7,FALSE),"")</f>
        <v/>
      </c>
      <c r="N85" s="70" t="str">
        <f>IFERROR(VLOOKUP(TableHandbook[[#This Row],[UDC]],TableSPUCJOURL[],7,FALSE),"")</f>
        <v/>
      </c>
      <c r="O85" s="70" t="str">
        <f>IFERROR(VLOOKUP(TableHandbook[[#This Row],[UDC]],TableSPUCWMCOM[],7,FALSE),"")</f>
        <v/>
      </c>
      <c r="P85" s="70" t="str">
        <f>IFERROR(VLOOKUP(TableHandbook[[#This Row],[UDC]],TableSPUCDECOM[],7,FALSE),"")</f>
        <v/>
      </c>
      <c r="Q85" s="70" t="str">
        <f>IFERROR(VLOOKUP(TableHandbook[[#This Row],[UDC]],TableSPUCGRCOM[],7,FALSE),"")</f>
        <v/>
      </c>
      <c r="R85" s="70" t="str">
        <f>IFERROR(VLOOKUP(TableHandbook[[#This Row],[UDC]],TableSPUPJOURL[],7,FALSE),"")</f>
        <v/>
      </c>
      <c r="S85" s="70" t="str">
        <f>IFERROR(VLOOKUP(TableHandbook[[#This Row],[UDC]],TableSPUCMKCOM[],7,FALSE),"")</f>
        <v/>
      </c>
      <c r="T85" s="70" t="str">
        <f>IFERROR(VLOOKUP(TableHandbook[[#This Row],[UDC]],TableSPUCPHCOM[],7,FALSE),"")</f>
        <v/>
      </c>
      <c r="U85" s="70" t="str">
        <f>IFERROR(VLOOKUP(TableHandbook[[#This Row],[UDC]],TableSPUCPRCOM[],7,FALSE),"")</f>
        <v/>
      </c>
    </row>
    <row r="86" spans="1:21" x14ac:dyDescent="0.3">
      <c r="A86" s="5" t="s">
        <v>74</v>
      </c>
      <c r="B86" s="6"/>
      <c r="C86" s="6"/>
      <c r="D86" s="5" t="s">
        <v>317</v>
      </c>
      <c r="E86" s="6">
        <v>75</v>
      </c>
      <c r="F86" s="90"/>
      <c r="G86" s="25" t="str">
        <f>IFERROR(IF(VLOOKUP(TableHandbook[[#This Row],[UDC]],TableAvailabilities[],2,FALSE)&gt;0,"Y",""),"")</f>
        <v/>
      </c>
      <c r="H86" s="25" t="str">
        <f>IFERROR(IF(VLOOKUP(TableHandbook[[#This Row],[UDC]],TableAvailabilities[],3,FALSE)&gt;0,"Y",""),"")</f>
        <v/>
      </c>
      <c r="I86" s="25" t="str">
        <f>IFERROR(IF(VLOOKUP(TableHandbook[[#This Row],[UDC]],TableAvailabilities[],4,FALSE)&gt;0,"Y",""),"")</f>
        <v/>
      </c>
      <c r="J86" s="25" t="str">
        <f>IFERROR(IF(VLOOKUP(TableHandbook[[#This Row],[UDC]],TableAvailabilities[],5,FALSE)&gt;0,"Y",""),"")</f>
        <v/>
      </c>
      <c r="K86" s="68"/>
      <c r="L86" s="70" t="str">
        <f>IFERROR(VLOOKUP(TableHandbook[[#This Row],[UDC]],TableBMASCOMS[],7,FALSE),"")</f>
        <v>Core</v>
      </c>
      <c r="M86" s="70" t="str">
        <f>IFERROR(VLOOKUP(TableHandbook[[#This Row],[UDC]],TableSPUCCSCOM[],7,FALSE),"")</f>
        <v/>
      </c>
      <c r="N86" s="70" t="str">
        <f>IFERROR(VLOOKUP(TableHandbook[[#This Row],[UDC]],TableSPUCJOURL[],7,FALSE),"")</f>
        <v/>
      </c>
      <c r="O86" s="70" t="str">
        <f>IFERROR(VLOOKUP(TableHandbook[[#This Row],[UDC]],TableSPUCWMCOM[],7,FALSE),"")</f>
        <v/>
      </c>
      <c r="P86" s="70" t="str">
        <f>IFERROR(VLOOKUP(TableHandbook[[#This Row],[UDC]],TableSPUCDECOM[],7,FALSE),"")</f>
        <v/>
      </c>
      <c r="Q86" s="70" t="str">
        <f>IFERROR(VLOOKUP(TableHandbook[[#This Row],[UDC]],TableSPUCGRCOM[],7,FALSE),"")</f>
        <v/>
      </c>
      <c r="R86" s="70" t="str">
        <f>IFERROR(VLOOKUP(TableHandbook[[#This Row],[UDC]],TableSPUPJOURL[],7,FALSE),"")</f>
        <v/>
      </c>
      <c r="S86" s="70" t="str">
        <f>IFERROR(VLOOKUP(TableHandbook[[#This Row],[UDC]],TableSPUCMKCOM[],7,FALSE),"")</f>
        <v/>
      </c>
      <c r="T86" s="70" t="str">
        <f>IFERROR(VLOOKUP(TableHandbook[[#This Row],[UDC]],TableSPUCPHCOM[],7,FALSE),"")</f>
        <v/>
      </c>
      <c r="U86" s="70" t="str">
        <f>IFERROR(VLOOKUP(TableHandbook[[#This Row],[UDC]],TableSPUCPRCOM[],7,FALSE),"")</f>
        <v/>
      </c>
    </row>
    <row r="87" spans="1:21" x14ac:dyDescent="0.3">
      <c r="A87" s="5" t="s">
        <v>97</v>
      </c>
      <c r="B87" s="6"/>
      <c r="C87" s="6"/>
      <c r="D87" s="5" t="s">
        <v>318</v>
      </c>
      <c r="E87" s="6">
        <v>100</v>
      </c>
      <c r="F87" s="90" t="s">
        <v>319</v>
      </c>
      <c r="G87" s="25" t="str">
        <f>IFERROR(IF(VLOOKUP(TableHandbook[[#This Row],[UDC]],TableAvailabilities[],2,FALSE)&gt;0,"Y",""),"")</f>
        <v/>
      </c>
      <c r="H87" s="25" t="str">
        <f>IFERROR(IF(VLOOKUP(TableHandbook[[#This Row],[UDC]],TableAvailabilities[],3,FALSE)&gt;0,"Y",""),"")</f>
        <v/>
      </c>
      <c r="I87" s="25" t="str">
        <f>IFERROR(IF(VLOOKUP(TableHandbook[[#This Row],[UDC]],TableAvailabilities[],4,FALSE)&gt;0,"Y",""),"")</f>
        <v/>
      </c>
      <c r="J87" s="25" t="str">
        <f>IFERROR(IF(VLOOKUP(TableHandbook[[#This Row],[UDC]],TableAvailabilities[],5,FALSE)&gt;0,"Y",""),"")</f>
        <v/>
      </c>
      <c r="K87" s="68"/>
      <c r="L87" s="70" t="str">
        <f>IFERROR(VLOOKUP(TableHandbook[[#This Row],[UDC]],TableBMASCOMS[],7,FALSE),"")</f>
        <v>Core</v>
      </c>
      <c r="M87" s="70" t="str">
        <f>IFERROR(VLOOKUP(TableHandbook[[#This Row],[UDC]],TableSPUCCSCOM[],7,FALSE),"")</f>
        <v/>
      </c>
      <c r="N87" s="70" t="str">
        <f>IFERROR(VLOOKUP(TableHandbook[[#This Row],[UDC]],TableSPUCJOURL[],7,FALSE),"")</f>
        <v/>
      </c>
      <c r="O87" s="70" t="str">
        <f>IFERROR(VLOOKUP(TableHandbook[[#This Row],[UDC]],TableSPUCWMCOM[],7,FALSE),"")</f>
        <v/>
      </c>
      <c r="P87" s="70" t="str">
        <f>IFERROR(VLOOKUP(TableHandbook[[#This Row],[UDC]],TableSPUCDECOM[],7,FALSE),"")</f>
        <v/>
      </c>
      <c r="Q87" s="70" t="str">
        <f>IFERROR(VLOOKUP(TableHandbook[[#This Row],[UDC]],TableSPUCGRCOM[],7,FALSE),"")</f>
        <v/>
      </c>
      <c r="R87" s="70" t="str">
        <f>IFERROR(VLOOKUP(TableHandbook[[#This Row],[UDC]],TableSPUPJOURL[],7,FALSE),"")</f>
        <v/>
      </c>
      <c r="S87" s="70" t="str">
        <f>IFERROR(VLOOKUP(TableHandbook[[#This Row],[UDC]],TableSPUCMKCOM[],7,FALSE),"")</f>
        <v/>
      </c>
      <c r="T87" s="70" t="str">
        <f>IFERROR(VLOOKUP(TableHandbook[[#This Row],[UDC]],TableSPUCPHCOM[],7,FALSE),"")</f>
        <v/>
      </c>
      <c r="U87" s="70" t="str">
        <f>IFERROR(VLOOKUP(TableHandbook[[#This Row],[UDC]],TableSPUCPRCOM[],7,FALSE),"")</f>
        <v/>
      </c>
    </row>
    <row r="88" spans="1:21" x14ac:dyDescent="0.3">
      <c r="A88" s="5" t="s">
        <v>172</v>
      </c>
      <c r="B88" s="6">
        <v>1</v>
      </c>
      <c r="C88" s="6"/>
      <c r="D88" s="5" t="s">
        <v>320</v>
      </c>
      <c r="E88" s="6">
        <v>25</v>
      </c>
      <c r="F88" s="90" t="s">
        <v>208</v>
      </c>
      <c r="G88" s="25" t="str">
        <f>IFERROR(IF(VLOOKUP(TableHandbook[[#This Row],[UDC]],TableAvailabilities[],2,FALSE)&gt;0,"Y",""),"")</f>
        <v/>
      </c>
      <c r="H88" s="25" t="str">
        <f>IFERROR(IF(VLOOKUP(TableHandbook[[#This Row],[UDC]],TableAvailabilities[],3,FALSE)&gt;0,"Y",""),"")</f>
        <v/>
      </c>
      <c r="I88" s="25" t="str">
        <f>IFERROR(IF(VLOOKUP(TableHandbook[[#This Row],[UDC]],TableAvailabilities[],4,FALSE)&gt;0,"Y",""),"")</f>
        <v>Y</v>
      </c>
      <c r="J88" s="25" t="str">
        <f>IFERROR(IF(VLOOKUP(TableHandbook[[#This Row],[UDC]],TableAvailabilities[],5,FALSE)&gt;0,"Y",""),"")</f>
        <v/>
      </c>
      <c r="K88" s="68"/>
      <c r="L88" s="70" t="str">
        <f>IFERROR(VLOOKUP(TableHandbook[[#This Row],[UDC]],TableBMASCOMS[],7,FALSE),"")</f>
        <v/>
      </c>
      <c r="M88" s="70" t="str">
        <f>IFERROR(VLOOKUP(TableHandbook[[#This Row],[UDC]],TableSPUCCSCOM[],7,FALSE),"")</f>
        <v/>
      </c>
      <c r="N88" s="70" t="str">
        <f>IFERROR(VLOOKUP(TableHandbook[[#This Row],[UDC]],TableSPUCJOURL[],7,FALSE),"")</f>
        <v/>
      </c>
      <c r="O88" s="70" t="str">
        <f>IFERROR(VLOOKUP(TableHandbook[[#This Row],[UDC]],TableSPUCWMCOM[],7,FALSE),"")</f>
        <v/>
      </c>
      <c r="P88" s="70" t="str">
        <f>IFERROR(VLOOKUP(TableHandbook[[#This Row],[UDC]],TableSPUCDECOM[],7,FALSE),"")</f>
        <v/>
      </c>
      <c r="Q88" s="70" t="str">
        <f>IFERROR(VLOOKUP(TableHandbook[[#This Row],[UDC]],TableSPUCGRCOM[],7,FALSE),"")</f>
        <v/>
      </c>
      <c r="R88" s="70" t="str">
        <f>IFERROR(VLOOKUP(TableHandbook[[#This Row],[UDC]],TableSPUPJOURL[],7,FALSE),"")</f>
        <v/>
      </c>
      <c r="S88" s="70" t="str">
        <f>IFERROR(VLOOKUP(TableHandbook[[#This Row],[UDC]],TableSPUCMKCOM[],7,FALSE),"")</f>
        <v>Option</v>
      </c>
      <c r="T88" s="70" t="str">
        <f>IFERROR(VLOOKUP(TableHandbook[[#This Row],[UDC]],TableSPUCPHCOM[],7,FALSE),"")</f>
        <v/>
      </c>
      <c r="U88" s="70" t="str">
        <f>IFERROR(VLOOKUP(TableHandbook[[#This Row],[UDC]],TableSPUCPRCOM[],7,FALSE),"")</f>
        <v/>
      </c>
    </row>
    <row r="89" spans="1:21" x14ac:dyDescent="0.3">
      <c r="A89" s="5" t="s">
        <v>82</v>
      </c>
      <c r="B89" s="6"/>
      <c r="C89" s="6"/>
      <c r="D89" s="5" t="s">
        <v>321</v>
      </c>
      <c r="E89" s="6">
        <v>25</v>
      </c>
      <c r="F89" s="90" t="s">
        <v>280</v>
      </c>
      <c r="G89" s="25" t="str">
        <f>IFERROR(IF(VLOOKUP(TableHandbook[[#This Row],[UDC]],TableAvailabilities[],2,FALSE)&gt;0,"Y",""),"")</f>
        <v/>
      </c>
      <c r="H89" s="25" t="str">
        <f>IFERROR(IF(VLOOKUP(TableHandbook[[#This Row],[UDC]],TableAvailabilities[],3,FALSE)&gt;0,"Y",""),"")</f>
        <v/>
      </c>
      <c r="I89" s="25" t="str">
        <f>IFERROR(IF(VLOOKUP(TableHandbook[[#This Row],[UDC]],TableAvailabilities[],4,FALSE)&gt;0,"Y",""),"")</f>
        <v/>
      </c>
      <c r="J89" s="25" t="str">
        <f>IFERROR(IF(VLOOKUP(TableHandbook[[#This Row],[UDC]],TableAvailabilities[],5,FALSE)&gt;0,"Y",""),"")</f>
        <v/>
      </c>
      <c r="K89" s="68"/>
      <c r="L89" s="70" t="str">
        <f>IFERROR(VLOOKUP(TableHandbook[[#This Row],[UDC]],TableBMASCOMS[],7,FALSE),"")</f>
        <v/>
      </c>
      <c r="M89" s="70" t="str">
        <f>IFERROR(VLOOKUP(TableHandbook[[#This Row],[UDC]],TableSPUCCSCOM[],7,FALSE),"")</f>
        <v/>
      </c>
      <c r="N89" s="70" t="str">
        <f>IFERROR(VLOOKUP(TableHandbook[[#This Row],[UDC]],TableSPUCJOURL[],7,FALSE),"")</f>
        <v/>
      </c>
      <c r="O89" s="70" t="str">
        <f>IFERROR(VLOOKUP(TableHandbook[[#This Row],[UDC]],TableSPUCWMCOM[],7,FALSE),"")</f>
        <v/>
      </c>
      <c r="P89" s="70" t="str">
        <f>IFERROR(VLOOKUP(TableHandbook[[#This Row],[UDC]],TableSPUCDECOM[],7,FALSE),"")</f>
        <v/>
      </c>
      <c r="Q89" s="70" t="str">
        <f>IFERROR(VLOOKUP(TableHandbook[[#This Row],[UDC]],TableSPUCGRCOM[],7,FALSE),"")</f>
        <v/>
      </c>
      <c r="R89" s="70" t="str">
        <f>IFERROR(VLOOKUP(TableHandbook[[#This Row],[UDC]],TableSPUPJOURL[],7,FALSE),"")</f>
        <v/>
      </c>
      <c r="S89" s="70" t="str">
        <f>IFERROR(VLOOKUP(TableHandbook[[#This Row],[UDC]],TableSPUCMKCOM[],7,FALSE),"")</f>
        <v/>
      </c>
      <c r="T89" s="70" t="str">
        <f>IFERROR(VLOOKUP(TableHandbook[[#This Row],[UDC]],TableSPUCPHCOM[],7,FALSE),"")</f>
        <v/>
      </c>
      <c r="U89" s="70" t="str">
        <f>IFERROR(VLOOKUP(TableHandbook[[#This Row],[UDC]],TableSPUCPRCOM[],7,FALSE),"")</f>
        <v/>
      </c>
    </row>
    <row r="90" spans="1:21" x14ac:dyDescent="0.3">
      <c r="A90" s="5" t="s">
        <v>153</v>
      </c>
      <c r="B90" s="6">
        <v>1</v>
      </c>
      <c r="C90" s="6"/>
      <c r="D90" s="5" t="s">
        <v>322</v>
      </c>
      <c r="E90" s="6">
        <v>25</v>
      </c>
      <c r="F90" s="90" t="s">
        <v>144</v>
      </c>
      <c r="G90" s="25" t="str">
        <f>IFERROR(IF(VLOOKUP(TableHandbook[[#This Row],[UDC]],TableAvailabilities[],2,FALSE)&gt;0,"Y",""),"")</f>
        <v>Y</v>
      </c>
      <c r="H90" s="25" t="str">
        <f>IFERROR(IF(VLOOKUP(TableHandbook[[#This Row],[UDC]],TableAvailabilities[],3,FALSE)&gt;0,"Y",""),"")</f>
        <v/>
      </c>
      <c r="I90" s="25" t="str">
        <f>IFERROR(IF(VLOOKUP(TableHandbook[[#This Row],[UDC]],TableAvailabilities[],4,FALSE)&gt;0,"Y",""),"")</f>
        <v/>
      </c>
      <c r="J90" s="25" t="str">
        <f>IFERROR(IF(VLOOKUP(TableHandbook[[#This Row],[UDC]],TableAvailabilities[],5,FALSE)&gt;0,"Y",""),"")</f>
        <v/>
      </c>
      <c r="K90" s="68"/>
      <c r="L90" s="70" t="str">
        <f>IFERROR(VLOOKUP(TableHandbook[[#This Row],[UDC]],TableBMASCOMS[],7,FALSE),"")</f>
        <v/>
      </c>
      <c r="M90" s="70" t="str">
        <f>IFERROR(VLOOKUP(TableHandbook[[#This Row],[UDC]],TableSPUCCSCOM[],7,FALSE),"")</f>
        <v/>
      </c>
      <c r="N90" s="70" t="str">
        <f>IFERROR(VLOOKUP(TableHandbook[[#This Row],[UDC]],TableSPUCJOURL[],7,FALSE),"")</f>
        <v/>
      </c>
      <c r="O90" s="70" t="str">
        <f>IFERROR(VLOOKUP(TableHandbook[[#This Row],[UDC]],TableSPUCWMCOM[],7,FALSE),"")</f>
        <v/>
      </c>
      <c r="P90" s="70" t="str">
        <f>IFERROR(VLOOKUP(TableHandbook[[#This Row],[UDC]],TableSPUCDECOM[],7,FALSE),"")</f>
        <v/>
      </c>
      <c r="Q90" s="70" t="str">
        <f>IFERROR(VLOOKUP(TableHandbook[[#This Row],[UDC]],TableSPUCGRCOM[],7,FALSE),"")</f>
        <v/>
      </c>
      <c r="R90" s="70" t="str">
        <f>IFERROR(VLOOKUP(TableHandbook[[#This Row],[UDC]],TableSPUPJOURL[],7,FALSE),"")</f>
        <v/>
      </c>
      <c r="S90" s="70" t="str">
        <f>IFERROR(VLOOKUP(TableHandbook[[#This Row],[UDC]],TableSPUCMKCOM[],7,FALSE),"")</f>
        <v/>
      </c>
      <c r="T90" s="70" t="str">
        <f>IFERROR(VLOOKUP(TableHandbook[[#This Row],[UDC]],TableSPUCPHCOM[],7,FALSE),"")</f>
        <v>Core</v>
      </c>
      <c r="U90" s="70" t="str">
        <f>IFERROR(VLOOKUP(TableHandbook[[#This Row],[UDC]],TableSPUCPRCOM[],7,FALSE),"")</f>
        <v/>
      </c>
    </row>
    <row r="91" spans="1:21" x14ac:dyDescent="0.3">
      <c r="A91" s="5" t="s">
        <v>161</v>
      </c>
      <c r="B91" s="6">
        <v>1</v>
      </c>
      <c r="C91" s="6"/>
      <c r="D91" s="5" t="s">
        <v>323</v>
      </c>
      <c r="E91" s="6">
        <v>25</v>
      </c>
      <c r="F91" s="90" t="s">
        <v>153</v>
      </c>
      <c r="G91" s="25" t="str">
        <f>IFERROR(IF(VLOOKUP(TableHandbook[[#This Row],[UDC]],TableAvailabilities[],2,FALSE)&gt;0,"Y",""),"")</f>
        <v/>
      </c>
      <c r="H91" s="25" t="str">
        <f>IFERROR(IF(VLOOKUP(TableHandbook[[#This Row],[UDC]],TableAvailabilities[],3,FALSE)&gt;0,"Y",""),"")</f>
        <v/>
      </c>
      <c r="I91" s="25" t="str">
        <f>IFERROR(IF(VLOOKUP(TableHandbook[[#This Row],[UDC]],TableAvailabilities[],4,FALSE)&gt;0,"Y",""),"")</f>
        <v>Y</v>
      </c>
      <c r="J91" s="25" t="str">
        <f>IFERROR(IF(VLOOKUP(TableHandbook[[#This Row],[UDC]],TableAvailabilities[],5,FALSE)&gt;0,"Y",""),"")</f>
        <v/>
      </c>
      <c r="K91" s="68"/>
      <c r="L91" s="70" t="str">
        <f>IFERROR(VLOOKUP(TableHandbook[[#This Row],[UDC]],TableBMASCOMS[],7,FALSE),"")</f>
        <v/>
      </c>
      <c r="M91" s="70" t="str">
        <f>IFERROR(VLOOKUP(TableHandbook[[#This Row],[UDC]],TableSPUCCSCOM[],7,FALSE),"")</f>
        <v/>
      </c>
      <c r="N91" s="70" t="str">
        <f>IFERROR(VLOOKUP(TableHandbook[[#This Row],[UDC]],TableSPUCJOURL[],7,FALSE),"")</f>
        <v/>
      </c>
      <c r="O91" s="70" t="str">
        <f>IFERROR(VLOOKUP(TableHandbook[[#This Row],[UDC]],TableSPUCWMCOM[],7,FALSE),"")</f>
        <v/>
      </c>
      <c r="P91" s="70" t="str">
        <f>IFERROR(VLOOKUP(TableHandbook[[#This Row],[UDC]],TableSPUCDECOM[],7,FALSE),"")</f>
        <v/>
      </c>
      <c r="Q91" s="70" t="str">
        <f>IFERROR(VLOOKUP(TableHandbook[[#This Row],[UDC]],TableSPUCGRCOM[],7,FALSE),"")</f>
        <v/>
      </c>
      <c r="R91" s="70" t="str">
        <f>IFERROR(VLOOKUP(TableHandbook[[#This Row],[UDC]],TableSPUPJOURL[],7,FALSE),"")</f>
        <v/>
      </c>
      <c r="S91" s="70" t="str">
        <f>IFERROR(VLOOKUP(TableHandbook[[#This Row],[UDC]],TableSPUCMKCOM[],7,FALSE),"")</f>
        <v/>
      </c>
      <c r="T91" s="70" t="str">
        <f>IFERROR(VLOOKUP(TableHandbook[[#This Row],[UDC]],TableSPUCPHCOM[],7,FALSE),"")</f>
        <v>Core</v>
      </c>
      <c r="U91" s="70" t="str">
        <f>IFERROR(VLOOKUP(TableHandbook[[#This Row],[UDC]],TableSPUCPRCOM[],7,FALSE),"")</f>
        <v/>
      </c>
    </row>
  </sheetData>
  <sortState xmlns:xlrd2="http://schemas.microsoft.com/office/spreadsheetml/2017/richdata2" ref="A24:D36">
    <sortCondition ref="A24"/>
  </sortState>
  <conditionalFormatting sqref="A3:A91">
    <cfRule type="duplicateValues" dxfId="39" priority="123"/>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2"/>
  <sheetViews>
    <sheetView zoomScale="70" zoomScaleNormal="70" workbookViewId="0">
      <selection activeCell="H46" sqref="H46"/>
    </sheetView>
  </sheetViews>
  <sheetFormatPr defaultRowHeight="15.6" x14ac:dyDescent="0.3"/>
  <cols>
    <col min="1" max="1" width="15" bestFit="1" customWidth="1"/>
    <col min="2" max="2" width="6.8984375" style="2" bestFit="1" customWidth="1"/>
    <col min="3" max="3" width="12" bestFit="1" customWidth="1"/>
    <col min="4" max="4" width="61.8984375" bestFit="1" customWidth="1"/>
    <col min="5" max="5" width="8.59765625" style="2" bestFit="1" customWidth="1"/>
    <col min="6" max="6" width="6.5" bestFit="1" customWidth="1"/>
    <col min="7" max="7" width="18.5" bestFit="1" customWidth="1"/>
    <col min="8" max="8" width="12" bestFit="1" customWidth="1"/>
    <col min="9" max="9" width="14.5" bestFit="1" customWidth="1"/>
    <col min="10" max="10" width="21.09765625" bestFit="1" customWidth="1"/>
    <col min="11" max="11" width="6.19921875" bestFit="1" customWidth="1"/>
    <col min="12" max="12" width="42.3984375" bestFit="1" customWidth="1"/>
    <col min="13" max="13" width="14.69921875" bestFit="1" customWidth="1"/>
    <col min="14" max="14" width="12.5" bestFit="1" customWidth="1"/>
    <col min="15" max="15" width="11.19921875" bestFit="1" customWidth="1"/>
    <col min="16" max="16" width="10.09765625" bestFit="1" customWidth="1"/>
    <col min="17" max="17" width="19.59765625" bestFit="1" customWidth="1"/>
    <col min="18" max="18" width="7.19921875" customWidth="1"/>
  </cols>
  <sheetData>
    <row r="1" spans="1:18" x14ac:dyDescent="0.3">
      <c r="B1"/>
      <c r="E1"/>
      <c r="F1" s="22"/>
      <c r="G1" s="23" t="s">
        <v>324</v>
      </c>
      <c r="H1" s="83">
        <v>45658</v>
      </c>
      <c r="I1" s="39"/>
      <c r="J1" s="85" t="s">
        <v>57</v>
      </c>
      <c r="K1" s="84" t="s">
        <v>58</v>
      </c>
      <c r="L1" s="39" t="s">
        <v>11</v>
      </c>
      <c r="M1" s="39"/>
      <c r="N1" s="56" t="s">
        <v>325</v>
      </c>
      <c r="O1" s="40">
        <v>45610</v>
      </c>
      <c r="P1" s="66">
        <v>45292</v>
      </c>
    </row>
    <row r="2" spans="1:18" x14ac:dyDescent="0.3">
      <c r="A2" t="s">
        <v>0</v>
      </c>
      <c r="B2" s="2" t="s">
        <v>326</v>
      </c>
      <c r="C2" t="s">
        <v>327</v>
      </c>
      <c r="D2" t="s">
        <v>3</v>
      </c>
      <c r="E2" s="24" t="s">
        <v>328</v>
      </c>
      <c r="F2" t="s">
        <v>329</v>
      </c>
      <c r="G2" t="s">
        <v>330</v>
      </c>
      <c r="H2" t="s">
        <v>331</v>
      </c>
      <c r="I2" t="s">
        <v>23</v>
      </c>
      <c r="J2" t="s">
        <v>332</v>
      </c>
      <c r="K2" t="s">
        <v>1</v>
      </c>
      <c r="L2" t="s">
        <v>333</v>
      </c>
      <c r="M2" t="s">
        <v>50</v>
      </c>
      <c r="N2" t="s">
        <v>334</v>
      </c>
      <c r="O2" t="s">
        <v>335</v>
      </c>
      <c r="Q2" t="s">
        <v>336</v>
      </c>
      <c r="R2" t="s">
        <v>1</v>
      </c>
    </row>
    <row r="3" spans="1:18" x14ac:dyDescent="0.3">
      <c r="A3" t="str">
        <f>TableBMASCOMS[[#This Row],[Study Package Code]]</f>
        <v>COMS1010</v>
      </c>
      <c r="B3" s="2">
        <f>TableBMASCOMS[[#This Row],[Ver]]</f>
        <v>2</v>
      </c>
      <c r="D3" t="str">
        <f>TableBMASCOMS[[#This Row],[Structure Line]]</f>
        <v>Academic and Professional Communications</v>
      </c>
      <c r="E3" s="24">
        <f>TableBMASCOMS[[#This Row],[Credit Points]]</f>
        <v>25</v>
      </c>
      <c r="F3">
        <v>1</v>
      </c>
      <c r="G3" t="s">
        <v>337</v>
      </c>
      <c r="H3">
        <v>1</v>
      </c>
      <c r="I3" t="s">
        <v>338</v>
      </c>
      <c r="J3" t="s">
        <v>53</v>
      </c>
      <c r="K3">
        <v>2</v>
      </c>
      <c r="L3" t="s">
        <v>210</v>
      </c>
      <c r="M3">
        <v>25</v>
      </c>
      <c r="N3" s="40">
        <v>42917</v>
      </c>
      <c r="O3" s="40"/>
      <c r="Q3" t="s">
        <v>53</v>
      </c>
      <c r="R3">
        <v>2</v>
      </c>
    </row>
    <row r="4" spans="1:18" x14ac:dyDescent="0.3">
      <c r="A4" t="str">
        <f>TableBMASCOMS[[#This Row],[Study Package Code]]</f>
        <v>COMS1003</v>
      </c>
      <c r="B4" s="2">
        <f>TableBMASCOMS[[#This Row],[Ver]]</f>
        <v>3</v>
      </c>
      <c r="D4" t="str">
        <f>TableBMASCOMS[[#This Row],[Structure Line]]</f>
        <v>Culture to Cultures</v>
      </c>
      <c r="E4" s="24">
        <f>TableBMASCOMS[[#This Row],[Credit Points]]</f>
        <v>25</v>
      </c>
      <c r="F4">
        <v>2</v>
      </c>
      <c r="G4" t="s">
        <v>337</v>
      </c>
      <c r="H4">
        <v>1</v>
      </c>
      <c r="I4" t="s">
        <v>338</v>
      </c>
      <c r="J4" t="s">
        <v>62</v>
      </c>
      <c r="K4">
        <v>3</v>
      </c>
      <c r="L4" t="s">
        <v>209</v>
      </c>
      <c r="M4">
        <v>25</v>
      </c>
      <c r="N4" s="40">
        <v>44562</v>
      </c>
      <c r="O4" s="40"/>
      <c r="Q4" t="s">
        <v>62</v>
      </c>
      <c r="R4">
        <v>3</v>
      </c>
    </row>
    <row r="5" spans="1:18" x14ac:dyDescent="0.3">
      <c r="A5" t="str">
        <f>TableBMASCOMS[[#This Row],[Study Package Code]]</f>
        <v>NETS1001</v>
      </c>
      <c r="B5" s="2">
        <f>TableBMASCOMS[[#This Row],[Ver]]</f>
        <v>1</v>
      </c>
      <c r="D5" t="str">
        <f>TableBMASCOMS[[#This Row],[Structure Line]]</f>
        <v>Web Communications</v>
      </c>
      <c r="E5" s="24">
        <f>TableBMASCOMS[[#This Row],[Credit Points]]</f>
        <v>25</v>
      </c>
      <c r="F5">
        <v>3</v>
      </c>
      <c r="G5" t="s">
        <v>337</v>
      </c>
      <c r="H5">
        <v>1</v>
      </c>
      <c r="I5" t="s">
        <v>339</v>
      </c>
      <c r="J5" t="s">
        <v>55</v>
      </c>
      <c r="K5">
        <v>1</v>
      </c>
      <c r="L5" t="s">
        <v>273</v>
      </c>
      <c r="M5">
        <v>25</v>
      </c>
      <c r="N5" s="40">
        <v>42005</v>
      </c>
      <c r="O5" s="40"/>
      <c r="Q5" t="s">
        <v>55</v>
      </c>
      <c r="R5">
        <v>1</v>
      </c>
    </row>
    <row r="6" spans="1:18" x14ac:dyDescent="0.3">
      <c r="A6" t="str">
        <f>TableBMASCOMS[[#This Row],[Study Package Code]]</f>
        <v>COMS1001</v>
      </c>
      <c r="B6" s="2">
        <f>TableBMASCOMS[[#This Row],[Ver]]</f>
        <v>1</v>
      </c>
      <c r="D6" t="str">
        <f>TableBMASCOMS[[#This Row],[Structure Line]]</f>
        <v>Engaging Media</v>
      </c>
      <c r="E6" s="24">
        <f>TableBMASCOMS[[#This Row],[Credit Points]]</f>
        <v>25</v>
      </c>
      <c r="F6">
        <v>4</v>
      </c>
      <c r="G6" t="s">
        <v>337</v>
      </c>
      <c r="H6">
        <v>1</v>
      </c>
      <c r="I6" t="s">
        <v>339</v>
      </c>
      <c r="J6" t="s">
        <v>63</v>
      </c>
      <c r="K6">
        <v>1</v>
      </c>
      <c r="L6" t="s">
        <v>207</v>
      </c>
      <c r="M6">
        <v>25</v>
      </c>
      <c r="N6" s="40">
        <v>42005</v>
      </c>
      <c r="O6" s="40"/>
      <c r="Q6" t="s">
        <v>63</v>
      </c>
      <c r="R6">
        <v>1</v>
      </c>
    </row>
    <row r="7" spans="1:18" x14ac:dyDescent="0.3">
      <c r="A7" t="str">
        <f>TableBMASCOMS[[#This Row],[Study Package Code]]</f>
        <v>Opt-Y1</v>
      </c>
      <c r="B7" s="2">
        <f>TableBMASCOMS[[#This Row],[Ver]]</f>
        <v>0</v>
      </c>
      <c r="D7" t="str">
        <f>TableBMASCOMS[[#This Row],[Structure Line]]</f>
        <v>Choose First Year Options</v>
      </c>
      <c r="E7" s="24">
        <f>TableBMASCOMS[[#This Row],[Credit Points]]</f>
        <v>100</v>
      </c>
      <c r="F7">
        <v>5</v>
      </c>
      <c r="G7" t="s">
        <v>340</v>
      </c>
      <c r="H7">
        <v>1</v>
      </c>
      <c r="I7" t="s">
        <v>341</v>
      </c>
      <c r="J7" t="s">
        <v>64</v>
      </c>
      <c r="K7">
        <v>0</v>
      </c>
      <c r="L7" t="s">
        <v>342</v>
      </c>
      <c r="M7">
        <v>100</v>
      </c>
      <c r="N7" s="40"/>
      <c r="O7" s="40"/>
      <c r="Q7" t="s">
        <v>64</v>
      </c>
      <c r="R7">
        <v>0</v>
      </c>
    </row>
    <row r="8" spans="1:18" x14ac:dyDescent="0.3">
      <c r="A8" t="str">
        <f>TableBMASCOMS[[#This Row],[Study Package Code]]</f>
        <v>COMS2000</v>
      </c>
      <c r="B8" s="2">
        <f>TableBMASCOMS[[#This Row],[Ver]]</f>
        <v>2</v>
      </c>
      <c r="D8" t="str">
        <f>TableBMASCOMS[[#This Row],[Structure Line]]</f>
        <v>Media, Culture and Consumption</v>
      </c>
      <c r="E8" s="24">
        <f>TableBMASCOMS[[#This Row],[Credit Points]]</f>
        <v>25</v>
      </c>
      <c r="F8">
        <v>6</v>
      </c>
      <c r="G8" t="s">
        <v>337</v>
      </c>
      <c r="H8">
        <v>2</v>
      </c>
      <c r="I8" s="27" t="s">
        <v>341</v>
      </c>
      <c r="J8" s="27" t="s">
        <v>81</v>
      </c>
      <c r="K8" s="27">
        <v>2</v>
      </c>
      <c r="L8" s="27" t="s">
        <v>211</v>
      </c>
      <c r="M8">
        <v>25</v>
      </c>
      <c r="N8" s="40">
        <v>44927</v>
      </c>
      <c r="O8" s="40"/>
      <c r="Q8" t="s">
        <v>81</v>
      </c>
      <c r="R8">
        <v>2</v>
      </c>
    </row>
    <row r="9" spans="1:18" x14ac:dyDescent="0.3">
      <c r="A9" t="str">
        <f>TableBMASCOMS[[#This Row],[Study Package Code]]</f>
        <v>COMS2001</v>
      </c>
      <c r="B9" s="2">
        <f>TableBMASCOMS[[#This Row],[Ver]]</f>
        <v>1</v>
      </c>
      <c r="D9" t="str">
        <f>TableBMASCOMS[[#This Row],[Structure Line]]</f>
        <v>Asian Media in Transition</v>
      </c>
      <c r="E9" s="24">
        <f>TableBMASCOMS[[#This Row],[Credit Points]]</f>
        <v>25</v>
      </c>
      <c r="F9">
        <v>7</v>
      </c>
      <c r="G9" t="s">
        <v>337</v>
      </c>
      <c r="H9">
        <v>2</v>
      </c>
      <c r="I9" s="27" t="s">
        <v>341</v>
      </c>
      <c r="J9" s="27" t="s">
        <v>79</v>
      </c>
      <c r="K9" s="27">
        <v>1</v>
      </c>
      <c r="L9" s="27" t="s">
        <v>213</v>
      </c>
      <c r="M9">
        <v>25</v>
      </c>
      <c r="N9" s="40">
        <v>42005</v>
      </c>
      <c r="O9" s="40"/>
      <c r="Q9" t="s">
        <v>79</v>
      </c>
      <c r="R9">
        <v>1</v>
      </c>
    </row>
    <row r="10" spans="1:18" x14ac:dyDescent="0.3">
      <c r="A10" t="str">
        <f>TableBMASCOMS[[#This Row],[Study Package Code]]</f>
        <v>FirstSpecialisation</v>
      </c>
      <c r="B10" s="2">
        <f>TableBMASCOMS[[#This Row],[Ver]]</f>
        <v>0</v>
      </c>
      <c r="D10" t="str">
        <f>TableBMASCOMS[[#This Row],[Structure Line]]</f>
        <v>Choose your First Specialisation</v>
      </c>
      <c r="E10" s="24">
        <f>TableBMASCOMS[[#This Row],[Credit Points]]</f>
        <v>100</v>
      </c>
      <c r="F10">
        <v>8</v>
      </c>
      <c r="G10" t="s">
        <v>337</v>
      </c>
      <c r="H10">
        <v>2</v>
      </c>
      <c r="I10" s="27" t="s">
        <v>341</v>
      </c>
      <c r="J10" s="27" t="s">
        <v>220</v>
      </c>
      <c r="K10" s="27">
        <v>0</v>
      </c>
      <c r="L10" s="27" t="s">
        <v>221</v>
      </c>
      <c r="M10">
        <v>100</v>
      </c>
      <c r="N10" s="40"/>
      <c r="O10" s="40"/>
      <c r="Q10" t="s">
        <v>220</v>
      </c>
      <c r="R10">
        <v>0</v>
      </c>
    </row>
    <row r="11" spans="1:18" x14ac:dyDescent="0.3">
      <c r="A11" t="str">
        <f>TableBMASCOMS[[#This Row],[Study Package Code]]</f>
        <v>SecondSpecialisation</v>
      </c>
      <c r="B11" s="2">
        <f>TableBMASCOMS[[#This Row],[Ver]]</f>
        <v>0</v>
      </c>
      <c r="D11" t="str">
        <f>TableBMASCOMS[[#This Row],[Structure Line]]</f>
        <v>Choose your Second Specialisation</v>
      </c>
      <c r="E11" s="24">
        <f>TableBMASCOMS[[#This Row],[Credit Points]]</f>
        <v>100</v>
      </c>
      <c r="F11">
        <v>9</v>
      </c>
      <c r="G11" t="s">
        <v>337</v>
      </c>
      <c r="H11">
        <v>2</v>
      </c>
      <c r="I11" s="27" t="s">
        <v>341</v>
      </c>
      <c r="J11" s="27" t="s">
        <v>297</v>
      </c>
      <c r="K11" s="27">
        <v>0</v>
      </c>
      <c r="L11" s="27" t="s">
        <v>298</v>
      </c>
      <c r="M11">
        <v>100</v>
      </c>
      <c r="N11" s="40"/>
      <c r="O11" s="40"/>
      <c r="Q11" t="s">
        <v>297</v>
      </c>
      <c r="R11">
        <v>0</v>
      </c>
    </row>
    <row r="12" spans="1:18" x14ac:dyDescent="0.3">
      <c r="A12" t="str">
        <f>TableBMASCOMS[[#This Row],[Study Package Code]]</f>
        <v>Elective</v>
      </c>
      <c r="B12" s="2">
        <f>TableBMASCOMS[[#This Row],[Ver]]</f>
        <v>0</v>
      </c>
      <c r="D12" t="str">
        <f>TableBMASCOMS[[#This Row],[Structure Line]]</f>
        <v>Choose Electives</v>
      </c>
      <c r="E12" s="24">
        <f>TableBMASCOMS[[#This Row],[Credit Points]]</f>
        <v>100</v>
      </c>
      <c r="F12">
        <v>10</v>
      </c>
      <c r="G12" t="s">
        <v>217</v>
      </c>
      <c r="H12">
        <v>2</v>
      </c>
      <c r="I12" t="s">
        <v>341</v>
      </c>
      <c r="J12" t="s">
        <v>217</v>
      </c>
      <c r="L12" t="s">
        <v>343</v>
      </c>
      <c r="M12">
        <v>100</v>
      </c>
      <c r="N12" s="40"/>
      <c r="O12" s="40"/>
      <c r="Q12" t="s">
        <v>217</v>
      </c>
    </row>
    <row r="13" spans="1:18" x14ac:dyDescent="0.3">
      <c r="A13" t="str">
        <f>TableBMASCOMS[[#This Row],[Study Package Code]]</f>
        <v>COMS3001</v>
      </c>
      <c r="B13" s="2">
        <f>TableBMASCOMS[[#This Row],[Ver]]</f>
        <v>1</v>
      </c>
      <c r="D13" t="str">
        <f>TableBMASCOMS[[#This Row],[Structure Line]]</f>
        <v>Media and Communications Capstone</v>
      </c>
      <c r="E13" s="24">
        <f>TableBMASCOMS[[#This Row],[Credit Points]]</f>
        <v>50</v>
      </c>
      <c r="F13">
        <v>11</v>
      </c>
      <c r="G13" t="s">
        <v>337</v>
      </c>
      <c r="H13">
        <v>3</v>
      </c>
      <c r="I13" t="s">
        <v>339</v>
      </c>
      <c r="J13" t="s">
        <v>98</v>
      </c>
      <c r="K13">
        <v>1</v>
      </c>
      <c r="L13" t="s">
        <v>215</v>
      </c>
      <c r="M13">
        <v>50</v>
      </c>
      <c r="N13" s="40">
        <v>44197</v>
      </c>
      <c r="O13" s="40"/>
      <c r="Q13" t="s">
        <v>98</v>
      </c>
      <c r="R13">
        <v>1</v>
      </c>
    </row>
    <row r="14" spans="1:18" x14ac:dyDescent="0.3">
      <c r="A14" t="str">
        <f>TableBMASCOMS[[#This Row],[Study Package Code]]</f>
        <v>GRDE1004</v>
      </c>
      <c r="B14" s="2">
        <f>TableBMASCOMS[[#This Row],[Ver]]</f>
        <v>2</v>
      </c>
      <c r="D14" t="str">
        <f>TableBMASCOMS[[#This Row],[Structure Line]]</f>
        <v>Design Computing</v>
      </c>
      <c r="E14" s="24">
        <f>TableBMASCOMS[[#This Row],[Credit Points]]</f>
        <v>25</v>
      </c>
      <c r="F14">
        <v>5</v>
      </c>
      <c r="G14" t="s">
        <v>340</v>
      </c>
      <c r="H14">
        <v>1</v>
      </c>
      <c r="I14" t="s">
        <v>341</v>
      </c>
      <c r="J14" t="s">
        <v>116</v>
      </c>
      <c r="K14">
        <v>2</v>
      </c>
      <c r="L14" t="s">
        <v>222</v>
      </c>
      <c r="M14">
        <v>25</v>
      </c>
      <c r="N14" s="40">
        <v>43101</v>
      </c>
      <c r="O14" s="40"/>
      <c r="Q14" t="s">
        <v>116</v>
      </c>
      <c r="R14">
        <v>2</v>
      </c>
    </row>
    <row r="15" spans="1:18" x14ac:dyDescent="0.3">
      <c r="A15" t="str">
        <f>TableBMASCOMS[[#This Row],[Study Package Code]]</f>
        <v>GRDE1016</v>
      </c>
      <c r="B15" s="2">
        <f>TableBMASCOMS[[#This Row],[Ver]]</f>
        <v>2</v>
      </c>
      <c r="D15" t="str">
        <f>TableBMASCOMS[[#This Row],[Structure Line]]</f>
        <v>Digital Design 1</v>
      </c>
      <c r="E15" s="24">
        <f>TableBMASCOMS[[#This Row],[Credit Points]]</f>
        <v>25</v>
      </c>
      <c r="F15">
        <v>5</v>
      </c>
      <c r="G15" t="s">
        <v>340</v>
      </c>
      <c r="H15">
        <v>1</v>
      </c>
      <c r="I15" t="s">
        <v>341</v>
      </c>
      <c r="J15" t="s">
        <v>123</v>
      </c>
      <c r="K15">
        <v>2</v>
      </c>
      <c r="L15" t="s">
        <v>224</v>
      </c>
      <c r="M15">
        <v>25</v>
      </c>
      <c r="N15" s="40">
        <v>44197</v>
      </c>
      <c r="O15" s="40"/>
      <c r="Q15" t="s">
        <v>123</v>
      </c>
      <c r="R15">
        <v>2</v>
      </c>
    </row>
    <row r="16" spans="1:18" x14ac:dyDescent="0.3">
      <c r="A16" t="str">
        <f>TableBMASCOMS[[#This Row],[Study Package Code]]</f>
        <v>JOUR1002</v>
      </c>
      <c r="B16" s="2">
        <f>TableBMASCOMS[[#This Row],[Ver]]</f>
        <v>1</v>
      </c>
      <c r="D16" t="str">
        <f>TableBMASCOMS[[#This Row],[Structure Line]]</f>
        <v>Introduction to Journalism</v>
      </c>
      <c r="E16" s="24">
        <f>TableBMASCOMS[[#This Row],[Credit Points]]</f>
        <v>25</v>
      </c>
      <c r="F16">
        <v>5</v>
      </c>
      <c r="G16" t="s">
        <v>340</v>
      </c>
      <c r="H16">
        <v>1</v>
      </c>
      <c r="I16" t="s">
        <v>341</v>
      </c>
      <c r="J16" t="s">
        <v>114</v>
      </c>
      <c r="K16">
        <v>1</v>
      </c>
      <c r="L16" t="s">
        <v>244</v>
      </c>
      <c r="M16">
        <v>25</v>
      </c>
      <c r="N16" s="40">
        <v>45658</v>
      </c>
      <c r="O16" s="40"/>
      <c r="Q16" t="s">
        <v>344</v>
      </c>
      <c r="R16">
        <v>2</v>
      </c>
    </row>
    <row r="17" spans="1:18" x14ac:dyDescent="0.3">
      <c r="A17" t="str">
        <f>TableBMASCOMS[[#This Row],[Study Package Code]]</f>
        <v>MKTG1000</v>
      </c>
      <c r="B17" s="2">
        <f>TableBMASCOMS[[#This Row],[Ver]]</f>
        <v>1</v>
      </c>
      <c r="D17" t="str">
        <f>TableBMASCOMS[[#This Row],[Structure Line]]</f>
        <v>Discovering Marketing</v>
      </c>
      <c r="E17" s="24">
        <f>TableBMASCOMS[[#This Row],[Credit Points]]</f>
        <v>25</v>
      </c>
      <c r="F17">
        <v>5</v>
      </c>
      <c r="G17" t="s">
        <v>340</v>
      </c>
      <c r="H17">
        <v>1</v>
      </c>
      <c r="I17" t="s">
        <v>341</v>
      </c>
      <c r="J17" t="s">
        <v>117</v>
      </c>
      <c r="K17">
        <v>1</v>
      </c>
      <c r="L17" t="s">
        <v>264</v>
      </c>
      <c r="M17">
        <v>25</v>
      </c>
      <c r="N17" s="40">
        <v>42005</v>
      </c>
      <c r="O17" s="40"/>
      <c r="Q17" t="s">
        <v>117</v>
      </c>
      <c r="R17">
        <v>1</v>
      </c>
    </row>
    <row r="18" spans="1:18" x14ac:dyDescent="0.3">
      <c r="A18" t="str">
        <f>TableBMASCOMS[[#This Row],[Study Package Code]]</f>
        <v>PUBR2002</v>
      </c>
      <c r="B18" s="2">
        <f>TableBMASCOMS[[#This Row],[Ver]]</f>
        <v>3</v>
      </c>
      <c r="D18" t="str">
        <f>TableBMASCOMS[[#This Row],[Structure Line]]</f>
        <v>Discovering Public Relations</v>
      </c>
      <c r="E18" s="24">
        <f>TableBMASCOMS[[#This Row],[Credit Points]]</f>
        <v>25</v>
      </c>
      <c r="F18">
        <v>5</v>
      </c>
      <c r="G18" t="s">
        <v>340</v>
      </c>
      <c r="H18">
        <v>1</v>
      </c>
      <c r="I18" t="s">
        <v>341</v>
      </c>
      <c r="J18" t="s">
        <v>118</v>
      </c>
      <c r="K18">
        <v>3</v>
      </c>
      <c r="L18" t="s">
        <v>290</v>
      </c>
      <c r="M18">
        <v>25</v>
      </c>
      <c r="N18" s="40">
        <v>44562</v>
      </c>
      <c r="O18" s="40"/>
      <c r="Q18" t="s">
        <v>118</v>
      </c>
      <c r="R18">
        <v>3</v>
      </c>
    </row>
    <row r="19" spans="1:18" x14ac:dyDescent="0.3">
      <c r="A19" t="str">
        <f>TableBMASCOMS[[#This Row],[Study Package Code]]</f>
        <v>PWRP1003</v>
      </c>
      <c r="B19" s="2">
        <f>TableBMASCOMS[[#This Row],[Ver]]</f>
        <v>2</v>
      </c>
      <c r="D19" t="str">
        <f>TableBMASCOMS[[#This Row],[Structure Line]]</f>
        <v>Skills in Professional Writing</v>
      </c>
      <c r="E19" s="24">
        <f>TableBMASCOMS[[#This Row],[Credit Points]]</f>
        <v>25</v>
      </c>
      <c r="F19">
        <v>5</v>
      </c>
      <c r="G19" t="s">
        <v>340</v>
      </c>
      <c r="H19">
        <v>1</v>
      </c>
      <c r="I19" t="s">
        <v>341</v>
      </c>
      <c r="J19" t="s">
        <v>196</v>
      </c>
      <c r="K19">
        <v>2</v>
      </c>
      <c r="L19" t="s">
        <v>294</v>
      </c>
      <c r="M19">
        <v>25</v>
      </c>
      <c r="N19" s="40">
        <v>45292</v>
      </c>
      <c r="O19" s="40"/>
      <c r="Q19" t="s">
        <v>196</v>
      </c>
      <c r="R19">
        <v>2</v>
      </c>
    </row>
    <row r="20" spans="1:18" x14ac:dyDescent="0.3">
      <c r="A20" t="str">
        <f>TableBMASCOMS[[#This Row],[Study Package Code]]</f>
        <v>SPRO1000</v>
      </c>
      <c r="B20" s="2">
        <f>TableBMASCOMS[[#This Row],[Ver]]</f>
        <v>3</v>
      </c>
      <c r="D20" t="str">
        <f>TableBMASCOMS[[#This Row],[Structure Line]]</f>
        <v>Introduction to Screen Practice</v>
      </c>
      <c r="E20" s="24">
        <f>TableBMASCOMS[[#This Row],[Credit Points]]</f>
        <v>25</v>
      </c>
      <c r="F20">
        <v>5</v>
      </c>
      <c r="G20" t="s">
        <v>340</v>
      </c>
      <c r="H20">
        <v>1</v>
      </c>
      <c r="I20" t="s">
        <v>341</v>
      </c>
      <c r="J20" t="s">
        <v>113</v>
      </c>
      <c r="K20">
        <v>3</v>
      </c>
      <c r="L20" t="s">
        <v>299</v>
      </c>
      <c r="M20">
        <v>25</v>
      </c>
      <c r="N20" s="40">
        <v>45658</v>
      </c>
      <c r="O20" s="40"/>
      <c r="Q20" t="s">
        <v>113</v>
      </c>
      <c r="R20">
        <v>2</v>
      </c>
    </row>
    <row r="21" spans="1:18" x14ac:dyDescent="0.3">
      <c r="A21" t="str">
        <f>TableBMASCOMS[[#This Row],[Study Package Code]]</f>
        <v>SPUC-CSCOM</v>
      </c>
      <c r="B21" s="2">
        <f>TableBMASCOMS[[#This Row],[Ver]]</f>
        <v>1</v>
      </c>
      <c r="D21" t="str">
        <f>TableBMASCOMS[[#This Row],[Structure Line]]</f>
        <v>Corporate Screen Communication Specialisation</v>
      </c>
      <c r="E21" s="24">
        <f>TableBMASCOMS[[#This Row],[Credit Points]]</f>
        <v>100</v>
      </c>
      <c r="F21">
        <v>8</v>
      </c>
      <c r="G21" t="s">
        <v>337</v>
      </c>
      <c r="H21">
        <v>2</v>
      </c>
      <c r="I21" s="27" t="s">
        <v>341</v>
      </c>
      <c r="J21" t="s">
        <v>68</v>
      </c>
      <c r="K21">
        <v>1</v>
      </c>
      <c r="L21" t="s">
        <v>67</v>
      </c>
      <c r="M21">
        <v>100</v>
      </c>
      <c r="N21" s="40">
        <v>44197</v>
      </c>
      <c r="O21" s="40"/>
      <c r="Q21" t="s">
        <v>68</v>
      </c>
      <c r="R21">
        <v>1</v>
      </c>
    </row>
    <row r="22" spans="1:18" x14ac:dyDescent="0.3">
      <c r="A22" t="str">
        <f>TableBMASCOMS[[#This Row],[Study Package Code]]</f>
        <v>SPUC-JOURL</v>
      </c>
      <c r="B22" s="2">
        <f>TableBMASCOMS[[#This Row],[Ver]]</f>
        <v>2</v>
      </c>
      <c r="D22" t="str">
        <f>TableBMASCOMS[[#This Row],[Structure Line]]</f>
        <v>Journalism Specialisation</v>
      </c>
      <c r="E22" s="24">
        <f>TableBMASCOMS[[#This Row],[Credit Points]]</f>
        <v>100</v>
      </c>
      <c r="F22">
        <v>8</v>
      </c>
      <c r="G22" t="s">
        <v>337</v>
      </c>
      <c r="H22">
        <v>2</v>
      </c>
      <c r="I22" s="27" t="s">
        <v>341</v>
      </c>
      <c r="J22" t="s">
        <v>71</v>
      </c>
      <c r="K22">
        <v>2</v>
      </c>
      <c r="L22" t="s">
        <v>14</v>
      </c>
      <c r="M22">
        <v>100</v>
      </c>
      <c r="N22" s="40">
        <v>45658</v>
      </c>
      <c r="O22" s="40"/>
      <c r="Q22" t="s">
        <v>76</v>
      </c>
      <c r="R22">
        <v>1</v>
      </c>
    </row>
    <row r="23" spans="1:18" x14ac:dyDescent="0.3">
      <c r="A23" t="str">
        <f>TableBMASCOMS[[#This Row],[Study Package Code]]</f>
        <v>SPUC-WMCOM</v>
      </c>
      <c r="B23" s="2">
        <f>TableBMASCOMS[[#This Row],[Ver]]</f>
        <v>1</v>
      </c>
      <c r="D23" t="str">
        <f>TableBMASCOMS[[#This Row],[Structure Line]]</f>
        <v>Web Media Specialisation</v>
      </c>
      <c r="E23" s="24">
        <f>TableBMASCOMS[[#This Row],[Credit Points]]</f>
        <v>100</v>
      </c>
      <c r="F23">
        <v>8</v>
      </c>
      <c r="G23" t="s">
        <v>337</v>
      </c>
      <c r="H23">
        <v>2</v>
      </c>
      <c r="I23" s="27" t="s">
        <v>341</v>
      </c>
      <c r="J23" t="s">
        <v>74</v>
      </c>
      <c r="K23">
        <v>1</v>
      </c>
      <c r="L23" t="s">
        <v>73</v>
      </c>
      <c r="M23">
        <v>100</v>
      </c>
      <c r="N23" s="40">
        <v>44197</v>
      </c>
      <c r="O23" s="40"/>
      <c r="Q23" t="s">
        <v>74</v>
      </c>
      <c r="R23">
        <v>1</v>
      </c>
    </row>
    <row r="24" spans="1:18" x14ac:dyDescent="0.3">
      <c r="A24" t="str">
        <f>TableBMASCOMS[[#This Row],[Study Package Code]]</f>
        <v>SPUC-CSCOM</v>
      </c>
      <c r="B24" s="2">
        <f>TableBMASCOMS[[#This Row],[Ver]]</f>
        <v>1</v>
      </c>
      <c r="D24" t="str">
        <f>TableBMASCOMS[[#This Row],[Structure Line]]</f>
        <v>Corporate Screen Communication Specialisation</v>
      </c>
      <c r="E24" s="24">
        <f>TableBMASCOMS[[#This Row],[Credit Points]]</f>
        <v>100</v>
      </c>
      <c r="F24">
        <v>9</v>
      </c>
      <c r="G24" t="s">
        <v>337</v>
      </c>
      <c r="H24">
        <v>2</v>
      </c>
      <c r="I24" s="27" t="s">
        <v>341</v>
      </c>
      <c r="J24" t="s">
        <v>68</v>
      </c>
      <c r="K24">
        <v>1</v>
      </c>
      <c r="L24" t="s">
        <v>67</v>
      </c>
      <c r="M24">
        <v>100</v>
      </c>
      <c r="N24" s="40">
        <v>44197</v>
      </c>
      <c r="O24" s="40"/>
      <c r="Q24" t="s">
        <v>68</v>
      </c>
      <c r="R24">
        <v>1</v>
      </c>
    </row>
    <row r="25" spans="1:18" x14ac:dyDescent="0.3">
      <c r="A25" t="str">
        <f>TableBMASCOMS[[#This Row],[Study Package Code]]</f>
        <v>SPUC-DECOM</v>
      </c>
      <c r="B25" s="2">
        <f>TableBMASCOMS[[#This Row],[Ver]]</f>
        <v>1</v>
      </c>
      <c r="D25" t="str">
        <f>TableBMASCOMS[[#This Row],[Structure Line]]</f>
        <v>Digital Experience Communication Specialisation</v>
      </c>
      <c r="E25" s="24">
        <f>TableBMASCOMS[[#This Row],[Credit Points]]</f>
        <v>100</v>
      </c>
      <c r="F25">
        <v>9</v>
      </c>
      <c r="G25" t="s">
        <v>337</v>
      </c>
      <c r="H25">
        <v>2</v>
      </c>
      <c r="I25" s="27" t="s">
        <v>341</v>
      </c>
      <c r="J25" t="s">
        <v>85</v>
      </c>
      <c r="K25">
        <v>1</v>
      </c>
      <c r="L25" t="s">
        <v>17</v>
      </c>
      <c r="M25">
        <v>100</v>
      </c>
      <c r="N25" s="40">
        <v>44197</v>
      </c>
      <c r="O25" s="40"/>
      <c r="Q25" t="s">
        <v>85</v>
      </c>
      <c r="R25">
        <v>1</v>
      </c>
    </row>
    <row r="26" spans="1:18" x14ac:dyDescent="0.3">
      <c r="A26" t="str">
        <f>TableBMASCOMS[[#This Row],[Study Package Code]]</f>
        <v>SPUC-GRCOM</v>
      </c>
      <c r="B26" s="2">
        <f>TableBMASCOMS[[#This Row],[Ver]]</f>
        <v>1</v>
      </c>
      <c r="D26" t="str">
        <f>TableBMASCOMS[[#This Row],[Structure Line]]</f>
        <v>Graphic Communication Specialisation</v>
      </c>
      <c r="E26" s="24">
        <f>TableBMASCOMS[[#This Row],[Credit Points]]</f>
        <v>100</v>
      </c>
      <c r="F26">
        <v>9</v>
      </c>
      <c r="G26" t="s">
        <v>337</v>
      </c>
      <c r="H26">
        <v>2</v>
      </c>
      <c r="I26" s="27" t="s">
        <v>341</v>
      </c>
      <c r="J26" t="s">
        <v>87</v>
      </c>
      <c r="K26">
        <v>1</v>
      </c>
      <c r="L26" t="s">
        <v>86</v>
      </c>
      <c r="M26">
        <v>100</v>
      </c>
      <c r="N26" s="40">
        <v>44197</v>
      </c>
      <c r="O26" s="40"/>
      <c r="Q26" t="s">
        <v>87</v>
      </c>
      <c r="R26">
        <v>1</v>
      </c>
    </row>
    <row r="27" spans="1:18" x14ac:dyDescent="0.3">
      <c r="A27" t="str">
        <f>TableBMASCOMS[[#This Row],[Study Package Code]]</f>
        <v>SPUC-JOURL</v>
      </c>
      <c r="B27" s="2">
        <f>TableBMASCOMS[[#This Row],[Ver]]</f>
        <v>2</v>
      </c>
      <c r="D27" t="str">
        <f>TableBMASCOMS[[#This Row],[Structure Line]]</f>
        <v>Journalism Specialisation</v>
      </c>
      <c r="E27" s="24">
        <f>TableBMASCOMS[[#This Row],[Credit Points]]</f>
        <v>100</v>
      </c>
      <c r="F27">
        <v>9</v>
      </c>
      <c r="G27" t="s">
        <v>337</v>
      </c>
      <c r="H27">
        <v>2</v>
      </c>
      <c r="I27" s="27" t="s">
        <v>341</v>
      </c>
      <c r="J27" t="s">
        <v>71</v>
      </c>
      <c r="K27">
        <v>2</v>
      </c>
      <c r="L27" t="s">
        <v>14</v>
      </c>
      <c r="M27">
        <v>100</v>
      </c>
      <c r="N27" s="40">
        <v>45658</v>
      </c>
      <c r="O27" s="40"/>
      <c r="Q27" t="s">
        <v>76</v>
      </c>
      <c r="R27">
        <v>1</v>
      </c>
    </row>
    <row r="28" spans="1:18" x14ac:dyDescent="0.3">
      <c r="A28" t="str">
        <f>TableBMASCOMS[[#This Row],[Study Package Code]]</f>
        <v>SPUC-MKCOM</v>
      </c>
      <c r="B28" s="2">
        <f>TableBMASCOMS[[#This Row],[Ver]]</f>
        <v>2</v>
      </c>
      <c r="D28" t="str">
        <f>TableBMASCOMS[[#This Row],[Structure Line]]</f>
        <v>Marketing Communication Specialisation</v>
      </c>
      <c r="E28" s="24">
        <f>TableBMASCOMS[[#This Row],[Credit Points]]</f>
        <v>100</v>
      </c>
      <c r="F28">
        <v>9</v>
      </c>
      <c r="G28" t="s">
        <v>337</v>
      </c>
      <c r="H28">
        <v>2</v>
      </c>
      <c r="I28" s="27" t="s">
        <v>341</v>
      </c>
      <c r="J28" t="s">
        <v>89</v>
      </c>
      <c r="K28">
        <v>2</v>
      </c>
      <c r="L28" t="s">
        <v>88</v>
      </c>
      <c r="M28">
        <v>100</v>
      </c>
      <c r="N28" s="40">
        <v>45292</v>
      </c>
      <c r="O28" s="40"/>
      <c r="Q28" t="s">
        <v>89</v>
      </c>
      <c r="R28">
        <v>2</v>
      </c>
    </row>
    <row r="29" spans="1:18" x14ac:dyDescent="0.3">
      <c r="A29" t="str">
        <f>TableBMASCOMS[[#This Row],[Study Package Code]]</f>
        <v>SPUC-PHCOM</v>
      </c>
      <c r="B29" s="2">
        <f>TableBMASCOMS[[#This Row],[Ver]]</f>
        <v>1</v>
      </c>
      <c r="D29" t="str">
        <f>TableBMASCOMS[[#This Row],[Structure Line]]</f>
        <v>Photography Communication Specialisation</v>
      </c>
      <c r="E29" s="24">
        <f>TableBMASCOMS[[#This Row],[Credit Points]]</f>
        <v>100</v>
      </c>
      <c r="F29">
        <v>9</v>
      </c>
      <c r="G29" t="s">
        <v>337</v>
      </c>
      <c r="H29">
        <v>2</v>
      </c>
      <c r="I29" s="27" t="s">
        <v>341</v>
      </c>
      <c r="J29" t="s">
        <v>93</v>
      </c>
      <c r="K29">
        <v>1</v>
      </c>
      <c r="L29" t="s">
        <v>92</v>
      </c>
      <c r="M29">
        <v>100</v>
      </c>
      <c r="N29" s="40">
        <v>44197</v>
      </c>
      <c r="O29" s="40"/>
      <c r="Q29" t="s">
        <v>93</v>
      </c>
      <c r="R29">
        <v>1</v>
      </c>
    </row>
    <row r="30" spans="1:18" x14ac:dyDescent="0.3">
      <c r="A30" t="str">
        <f>TableBMASCOMS[[#This Row],[Study Package Code]]</f>
        <v>SPUC-PRCOM</v>
      </c>
      <c r="B30" s="2">
        <f>TableBMASCOMS[[#This Row],[Ver]]</f>
        <v>1</v>
      </c>
      <c r="D30" t="str">
        <f>TableBMASCOMS[[#This Row],[Structure Line]]</f>
        <v>Public Relations Communication Specialisation</v>
      </c>
      <c r="E30" s="24">
        <f>TableBMASCOMS[[#This Row],[Credit Points]]</f>
        <v>100</v>
      </c>
      <c r="F30">
        <v>9</v>
      </c>
      <c r="G30" t="s">
        <v>337</v>
      </c>
      <c r="H30">
        <v>2</v>
      </c>
      <c r="I30" s="27" t="s">
        <v>341</v>
      </c>
      <c r="J30" t="s">
        <v>95</v>
      </c>
      <c r="K30">
        <v>1</v>
      </c>
      <c r="L30" t="s">
        <v>94</v>
      </c>
      <c r="M30">
        <v>100</v>
      </c>
      <c r="N30" s="40">
        <v>44197</v>
      </c>
      <c r="O30" s="40"/>
      <c r="Q30" t="s">
        <v>95</v>
      </c>
      <c r="R30">
        <v>1</v>
      </c>
    </row>
    <row r="31" spans="1:18" x14ac:dyDescent="0.3">
      <c r="A31" t="str">
        <f>TableBMASCOMS[[#This Row],[Study Package Code]]</f>
        <v>SPUC-WMCOM</v>
      </c>
      <c r="B31" s="2">
        <f>TableBMASCOMS[[#This Row],[Ver]]</f>
        <v>1</v>
      </c>
      <c r="D31" t="str">
        <f>TableBMASCOMS[[#This Row],[Structure Line]]</f>
        <v>Web Media Specialisation</v>
      </c>
      <c r="E31" s="24">
        <f>TableBMASCOMS[[#This Row],[Credit Points]]</f>
        <v>100</v>
      </c>
      <c r="F31">
        <v>9</v>
      </c>
      <c r="G31" t="s">
        <v>337</v>
      </c>
      <c r="H31">
        <v>2</v>
      </c>
      <c r="I31" s="27" t="s">
        <v>341</v>
      </c>
      <c r="J31" t="s">
        <v>74</v>
      </c>
      <c r="K31">
        <v>1</v>
      </c>
      <c r="L31" t="s">
        <v>73</v>
      </c>
      <c r="M31">
        <v>100</v>
      </c>
      <c r="N31" s="40">
        <v>44197</v>
      </c>
      <c r="O31" s="40"/>
      <c r="Q31" t="s">
        <v>74</v>
      </c>
      <c r="R31">
        <v>1</v>
      </c>
    </row>
    <row r="32" spans="1:18" x14ac:dyDescent="0.3">
      <c r="A32" t="str">
        <f>TableBMASCOMS[[#This Row],[Study Package Code]]</f>
        <v>SPUP-JOURL</v>
      </c>
      <c r="B32" s="2">
        <f>TableBMASCOMS[[#This Row],[Ver]]</f>
        <v>1</v>
      </c>
      <c r="D32" t="str">
        <f>TableBMASCOMS[[#This Row],[Structure Line]]</f>
        <v>Pre-Masters Journalism Specialisation</v>
      </c>
      <c r="E32" s="24">
        <f>TableBMASCOMS[[#This Row],[Credit Points]]</f>
        <v>100</v>
      </c>
      <c r="F32">
        <v>9</v>
      </c>
      <c r="G32" t="s">
        <v>337</v>
      </c>
      <c r="H32">
        <v>2</v>
      </c>
      <c r="I32" s="27" t="s">
        <v>341</v>
      </c>
      <c r="J32" t="s">
        <v>97</v>
      </c>
      <c r="K32">
        <v>1</v>
      </c>
      <c r="L32" t="s">
        <v>96</v>
      </c>
      <c r="M32">
        <v>100</v>
      </c>
      <c r="N32" s="40">
        <v>45292</v>
      </c>
      <c r="O32" s="40"/>
      <c r="Q32" t="s">
        <v>97</v>
      </c>
      <c r="R32">
        <v>1</v>
      </c>
    </row>
    <row r="33" spans="1:18" x14ac:dyDescent="0.3">
      <c r="B33"/>
      <c r="E33"/>
      <c r="F33" s="22"/>
      <c r="G33" s="23" t="s">
        <v>324</v>
      </c>
      <c r="H33" s="87">
        <v>44197</v>
      </c>
      <c r="I33" s="39"/>
      <c r="J33" s="85" t="s">
        <v>68</v>
      </c>
      <c r="K33" s="88" t="s">
        <v>69</v>
      </c>
      <c r="L33" s="39" t="s">
        <v>67</v>
      </c>
      <c r="M33" s="39"/>
      <c r="N33" s="56" t="s">
        <v>325</v>
      </c>
      <c r="O33" s="40">
        <v>45551</v>
      </c>
    </row>
    <row r="34" spans="1:18" x14ac:dyDescent="0.3">
      <c r="A34" t="s">
        <v>0</v>
      </c>
      <c r="B34" s="2" t="s">
        <v>326</v>
      </c>
      <c r="C34" t="s">
        <v>327</v>
      </c>
      <c r="D34" t="s">
        <v>3</v>
      </c>
      <c r="E34" s="24" t="s">
        <v>328</v>
      </c>
      <c r="F34" t="s">
        <v>329</v>
      </c>
      <c r="G34" t="s">
        <v>330</v>
      </c>
      <c r="H34" t="s">
        <v>331</v>
      </c>
      <c r="I34" t="s">
        <v>23</v>
      </c>
      <c r="J34" t="s">
        <v>332</v>
      </c>
      <c r="K34" t="s">
        <v>1</v>
      </c>
      <c r="L34" t="s">
        <v>333</v>
      </c>
      <c r="M34" t="s">
        <v>50</v>
      </c>
      <c r="N34" t="s">
        <v>334</v>
      </c>
      <c r="O34" t="s">
        <v>335</v>
      </c>
      <c r="Q34" t="s">
        <v>336</v>
      </c>
      <c r="R34" t="s">
        <v>1</v>
      </c>
    </row>
    <row r="35" spans="1:18" x14ac:dyDescent="0.3">
      <c r="A35" t="str">
        <f>TableSPUCCSCOM[[#This Row],[Study Package Code]]</f>
        <v>SCWR2000</v>
      </c>
      <c r="B35" s="2">
        <f>TableSPUCCSCOM[[#This Row],[Ver]]</f>
        <v>1</v>
      </c>
      <c r="D35" t="str">
        <f>TableSPUCCSCOM[[#This Row],[Structure Line]]</f>
        <v>Introduction to Screenwriting</v>
      </c>
      <c r="E35" s="24">
        <f>TableSPUCCSCOM[[#This Row],[Credit Points]]</f>
        <v>25</v>
      </c>
      <c r="F35">
        <v>1</v>
      </c>
      <c r="G35" t="s">
        <v>337</v>
      </c>
      <c r="H35">
        <v>0</v>
      </c>
      <c r="I35" t="s">
        <v>341</v>
      </c>
      <c r="J35" t="s">
        <v>130</v>
      </c>
      <c r="K35">
        <v>1</v>
      </c>
      <c r="L35" t="s">
        <v>296</v>
      </c>
      <c r="M35">
        <v>25</v>
      </c>
      <c r="N35" s="40">
        <v>42005</v>
      </c>
      <c r="O35" s="40"/>
      <c r="Q35" t="s">
        <v>130</v>
      </c>
      <c r="R35">
        <v>1</v>
      </c>
    </row>
    <row r="36" spans="1:18" x14ac:dyDescent="0.3">
      <c r="A36" t="str">
        <f>TableSPUCCSCOM[[#This Row],[Study Package Code]]</f>
        <v>SPRO2000</v>
      </c>
      <c r="B36" s="2">
        <f>TableSPUCCSCOM[[#This Row],[Ver]]</f>
        <v>3</v>
      </c>
      <c r="D36" t="str">
        <f>TableSPUCCSCOM[[#This Row],[Structure Line]]</f>
        <v>Studio Production</v>
      </c>
      <c r="E36" s="24">
        <f>TableSPUCCSCOM[[#This Row],[Credit Points]]</f>
        <v>25</v>
      </c>
      <c r="F36">
        <v>2</v>
      </c>
      <c r="G36" t="s">
        <v>337</v>
      </c>
      <c r="H36">
        <v>0</v>
      </c>
      <c r="I36" t="s">
        <v>341</v>
      </c>
      <c r="J36" t="s">
        <v>138</v>
      </c>
      <c r="K36">
        <v>3</v>
      </c>
      <c r="L36" t="s">
        <v>302</v>
      </c>
      <c r="M36">
        <v>25</v>
      </c>
      <c r="N36" s="40">
        <v>44927</v>
      </c>
      <c r="O36" s="40"/>
      <c r="Q36" t="s">
        <v>138</v>
      </c>
      <c r="R36">
        <v>3</v>
      </c>
    </row>
    <row r="37" spans="1:18" x14ac:dyDescent="0.3">
      <c r="A37" t="str">
        <f>TableSPUCCSCOM[[#This Row],[Study Package Code]]</f>
        <v>SPRO3004</v>
      </c>
      <c r="B37" s="2">
        <f>TableSPUCCSCOM[[#This Row],[Ver]]</f>
        <v>5</v>
      </c>
      <c r="D37" t="str">
        <f>TableSPUCCSCOM[[#This Row],[Structure Line]]</f>
        <v>Community Media Production</v>
      </c>
      <c r="E37" s="24">
        <f>TableSPUCCSCOM[[#This Row],[Credit Points]]</f>
        <v>25</v>
      </c>
      <c r="F37">
        <v>3</v>
      </c>
      <c r="G37" t="s">
        <v>337</v>
      </c>
      <c r="H37">
        <v>0</v>
      </c>
      <c r="I37" t="s">
        <v>341</v>
      </c>
      <c r="J37" t="s">
        <v>156</v>
      </c>
      <c r="K37">
        <v>5</v>
      </c>
      <c r="L37" t="s">
        <v>305</v>
      </c>
      <c r="M37">
        <v>25</v>
      </c>
      <c r="N37" s="40">
        <v>44197</v>
      </c>
      <c r="O37" s="40"/>
      <c r="Q37" t="s">
        <v>156</v>
      </c>
      <c r="R37">
        <v>5</v>
      </c>
    </row>
    <row r="38" spans="1:18" x14ac:dyDescent="0.3">
      <c r="A38" t="str">
        <f>TableSPUCCSCOM[[#This Row],[Study Package Code]]</f>
        <v>SPRO2004</v>
      </c>
      <c r="B38" s="2">
        <f>TableSPUCCSCOM[[#This Row],[Ver]]</f>
        <v>1</v>
      </c>
      <c r="D38" t="str">
        <f>TableSPUCCSCOM[[#This Row],[Structure Line]]</f>
        <v>Creative Documentary and Actualities</v>
      </c>
      <c r="E38" s="24">
        <f>TableSPUCCSCOM[[#This Row],[Credit Points]]</f>
        <v>25</v>
      </c>
      <c r="F38">
        <v>4</v>
      </c>
      <c r="G38" t="s">
        <v>337</v>
      </c>
      <c r="H38">
        <v>0</v>
      </c>
      <c r="I38" t="s">
        <v>341</v>
      </c>
      <c r="J38" t="s">
        <v>148</v>
      </c>
      <c r="K38">
        <v>1</v>
      </c>
      <c r="L38" t="s">
        <v>303</v>
      </c>
      <c r="M38">
        <v>25</v>
      </c>
      <c r="N38" s="40">
        <v>43831</v>
      </c>
      <c r="O38" s="40"/>
      <c r="Q38" t="s">
        <v>148</v>
      </c>
      <c r="R38">
        <v>1</v>
      </c>
    </row>
    <row r="39" spans="1:18" x14ac:dyDescent="0.3">
      <c r="B39"/>
      <c r="E39"/>
      <c r="F39" s="22"/>
      <c r="G39" s="23" t="s">
        <v>324</v>
      </c>
      <c r="H39" s="83">
        <v>45658</v>
      </c>
      <c r="I39" s="39"/>
      <c r="J39" s="89" t="s">
        <v>71</v>
      </c>
      <c r="K39" s="84" t="s">
        <v>72</v>
      </c>
      <c r="L39" s="89" t="s">
        <v>14</v>
      </c>
      <c r="M39" s="39"/>
      <c r="N39" s="56" t="s">
        <v>325</v>
      </c>
      <c r="O39" s="40">
        <v>45551</v>
      </c>
    </row>
    <row r="40" spans="1:18" x14ac:dyDescent="0.3">
      <c r="A40" t="s">
        <v>0</v>
      </c>
      <c r="B40" s="2" t="s">
        <v>326</v>
      </c>
      <c r="C40" t="s">
        <v>327</v>
      </c>
      <c r="D40" t="s">
        <v>3</v>
      </c>
      <c r="E40" s="24" t="s">
        <v>328</v>
      </c>
      <c r="F40" t="s">
        <v>329</v>
      </c>
      <c r="G40" t="s">
        <v>330</v>
      </c>
      <c r="H40" t="s">
        <v>331</v>
      </c>
      <c r="I40" t="s">
        <v>23</v>
      </c>
      <c r="J40" t="s">
        <v>332</v>
      </c>
      <c r="K40" t="s">
        <v>1</v>
      </c>
      <c r="L40" t="s">
        <v>333</v>
      </c>
      <c r="M40" t="s">
        <v>50</v>
      </c>
      <c r="N40" t="s">
        <v>334</v>
      </c>
      <c r="O40" t="s">
        <v>335</v>
      </c>
      <c r="Q40" t="s">
        <v>336</v>
      </c>
      <c r="R40" t="s">
        <v>1</v>
      </c>
    </row>
    <row r="41" spans="1:18" x14ac:dyDescent="0.3">
      <c r="A41" t="str">
        <f>TableSPUCJOURL[[#This Row],[Study Package Code]]</f>
        <v>Opt-JOURL</v>
      </c>
      <c r="B41" s="2">
        <f>TableSPUCJOURL[[#This Row],[Ver]]</f>
        <v>0</v>
      </c>
      <c r="D41" t="str">
        <f>TableSPUCJOURL[[#This Row],[Structure Line]]</f>
        <v>Choose Options</v>
      </c>
      <c r="E41" s="24">
        <f>TableSPUCJOURL[[#This Row],[Credit Points]]</f>
        <v>100</v>
      </c>
      <c r="F41">
        <v>1</v>
      </c>
      <c r="G41" t="s">
        <v>340</v>
      </c>
      <c r="H41">
        <v>0</v>
      </c>
      <c r="I41" t="s">
        <v>341</v>
      </c>
      <c r="J41" t="s">
        <v>282</v>
      </c>
      <c r="K41">
        <v>0</v>
      </c>
      <c r="L41" t="s">
        <v>345</v>
      </c>
      <c r="M41">
        <v>100</v>
      </c>
      <c r="N41" s="40"/>
      <c r="O41" s="40"/>
    </row>
    <row r="42" spans="1:18" x14ac:dyDescent="0.3">
      <c r="A42" t="str">
        <f>TableSPUCJOURL[[#This Row],[Study Package Code]]</f>
        <v>JOUR1002</v>
      </c>
      <c r="B42" s="2">
        <f>TableSPUCJOURL[[#This Row],[Ver]]</f>
        <v>1</v>
      </c>
      <c r="D42" t="str">
        <f>TableSPUCJOURL[[#This Row],[Structure Line]]</f>
        <v>Introduction to Journalism</v>
      </c>
      <c r="E42" s="24">
        <f>TableSPUCJOURL[[#This Row],[Credit Points]]</f>
        <v>25</v>
      </c>
      <c r="F42">
        <v>1</v>
      </c>
      <c r="G42" t="s">
        <v>340</v>
      </c>
      <c r="H42">
        <v>0</v>
      </c>
      <c r="I42" t="s">
        <v>341</v>
      </c>
      <c r="J42" t="s">
        <v>114</v>
      </c>
      <c r="K42">
        <v>1</v>
      </c>
      <c r="L42" t="s">
        <v>244</v>
      </c>
      <c r="M42">
        <v>25</v>
      </c>
      <c r="N42" s="40">
        <v>45658</v>
      </c>
      <c r="O42" s="40"/>
    </row>
    <row r="43" spans="1:18" x14ac:dyDescent="0.3">
      <c r="A43" t="str">
        <f>TableSPUCJOURL[[#This Row],[Study Package Code]]</f>
        <v>JOUR1003</v>
      </c>
      <c r="B43" s="2">
        <f>TableSPUCJOURL[[#This Row],[Ver]]</f>
        <v>1</v>
      </c>
      <c r="D43" t="str">
        <f>TableSPUCJOURL[[#This Row],[Structure Line]]</f>
        <v>News Writing and Reporting</v>
      </c>
      <c r="E43" s="24">
        <f>TableSPUCJOURL[[#This Row],[Credit Points]]</f>
        <v>25</v>
      </c>
      <c r="F43">
        <v>1</v>
      </c>
      <c r="G43" t="s">
        <v>340</v>
      </c>
      <c r="H43">
        <v>0</v>
      </c>
      <c r="I43" t="s">
        <v>341</v>
      </c>
      <c r="J43" t="s">
        <v>131</v>
      </c>
      <c r="K43">
        <v>1</v>
      </c>
      <c r="L43" t="s">
        <v>246</v>
      </c>
      <c r="M43">
        <v>25</v>
      </c>
      <c r="N43" s="40">
        <v>45658</v>
      </c>
      <c r="O43" s="40"/>
    </row>
    <row r="44" spans="1:18" x14ac:dyDescent="0.3">
      <c r="A44" t="str">
        <f>TableSPUCJOURL[[#This Row],[Study Package Code]]</f>
        <v>JOUR2000</v>
      </c>
      <c r="B44" s="2">
        <f>TableSPUCJOURL[[#This Row],[Ver]]</f>
        <v>1</v>
      </c>
      <c r="D44" t="str">
        <f>TableSPUCJOURL[[#This Row],[Structure Line]]</f>
        <v>Radio News</v>
      </c>
      <c r="E44" s="24">
        <f>TableSPUCJOURL[[#This Row],[Credit Points]]</f>
        <v>25</v>
      </c>
      <c r="F44">
        <v>1</v>
      </c>
      <c r="G44" t="s">
        <v>340</v>
      </c>
      <c r="H44">
        <v>0</v>
      </c>
      <c r="I44" t="s">
        <v>341</v>
      </c>
      <c r="J44" t="s">
        <v>139</v>
      </c>
      <c r="K44">
        <v>1</v>
      </c>
      <c r="L44" t="s">
        <v>247</v>
      </c>
      <c r="M44">
        <v>25</v>
      </c>
      <c r="N44" s="40">
        <v>42005</v>
      </c>
      <c r="O44" s="40"/>
    </row>
    <row r="45" spans="1:18" x14ac:dyDescent="0.3">
      <c r="A45" t="str">
        <f>TableSPUCJOURL[[#This Row],[Study Package Code]]</f>
        <v>JOUR2002</v>
      </c>
      <c r="B45" s="2">
        <f>TableSPUCJOURL[[#This Row],[Ver]]</f>
        <v>2</v>
      </c>
      <c r="D45" t="str">
        <f>TableSPUCJOURL[[#This Row],[Structure Line]]</f>
        <v>Video News</v>
      </c>
      <c r="E45" s="24">
        <f>TableSPUCJOURL[[#This Row],[Credit Points]]</f>
        <v>25</v>
      </c>
      <c r="F45">
        <v>1</v>
      </c>
      <c r="G45" t="s">
        <v>340</v>
      </c>
      <c r="H45">
        <v>0</v>
      </c>
      <c r="I45" t="s">
        <v>341</v>
      </c>
      <c r="J45" t="s">
        <v>149</v>
      </c>
      <c r="K45">
        <v>2</v>
      </c>
      <c r="L45" t="s">
        <v>249</v>
      </c>
      <c r="M45">
        <v>25</v>
      </c>
      <c r="N45" s="40">
        <v>43831</v>
      </c>
      <c r="O45" s="40"/>
    </row>
    <row r="46" spans="1:18" x14ac:dyDescent="0.3">
      <c r="A46" t="str">
        <f>TableSPUCJOURL[[#This Row],[Study Package Code]]</f>
        <v>JOUR2005</v>
      </c>
      <c r="B46" s="2">
        <f>TableSPUCJOURL[[#This Row],[Ver]]</f>
        <v>2</v>
      </c>
      <c r="D46" t="str">
        <f>TableSPUCJOURL[[#This Row],[Structure Line]]</f>
        <v>Media Law and Ethics</v>
      </c>
      <c r="E46" s="24">
        <f>TableSPUCJOURL[[#This Row],[Credit Points]]</f>
        <v>25</v>
      </c>
      <c r="F46">
        <v>1</v>
      </c>
      <c r="G46" t="s">
        <v>340</v>
      </c>
      <c r="H46">
        <v>0</v>
      </c>
      <c r="I46" t="s">
        <v>341</v>
      </c>
      <c r="J46" t="s">
        <v>157</v>
      </c>
      <c r="K46">
        <v>2</v>
      </c>
      <c r="L46" t="s">
        <v>250</v>
      </c>
      <c r="M46">
        <v>25</v>
      </c>
      <c r="N46" s="40">
        <v>43831</v>
      </c>
      <c r="O46" s="40"/>
    </row>
    <row r="47" spans="1:18" x14ac:dyDescent="0.3">
      <c r="B47"/>
      <c r="E47"/>
      <c r="F47" s="22"/>
      <c r="G47" s="23" t="s">
        <v>324</v>
      </c>
      <c r="H47" s="87">
        <v>44197</v>
      </c>
      <c r="I47" s="39"/>
      <c r="J47" s="85" t="s">
        <v>74</v>
      </c>
      <c r="K47" s="88" t="s">
        <v>69</v>
      </c>
      <c r="L47" s="39" t="s">
        <v>73</v>
      </c>
      <c r="M47" s="39"/>
      <c r="N47" s="56" t="s">
        <v>325</v>
      </c>
      <c r="O47" s="40">
        <v>45551</v>
      </c>
    </row>
    <row r="48" spans="1:18" x14ac:dyDescent="0.3">
      <c r="A48" t="s">
        <v>0</v>
      </c>
      <c r="B48" s="2" t="s">
        <v>326</v>
      </c>
      <c r="C48" t="s">
        <v>327</v>
      </c>
      <c r="D48" t="s">
        <v>3</v>
      </c>
      <c r="E48" s="24" t="s">
        <v>328</v>
      </c>
      <c r="F48" t="s">
        <v>329</v>
      </c>
      <c r="G48" t="s">
        <v>330</v>
      </c>
      <c r="H48" t="s">
        <v>331</v>
      </c>
      <c r="I48" t="s">
        <v>23</v>
      </c>
      <c r="J48" t="s">
        <v>332</v>
      </c>
      <c r="K48" t="s">
        <v>1</v>
      </c>
      <c r="L48" t="s">
        <v>333</v>
      </c>
      <c r="M48" t="s">
        <v>50</v>
      </c>
      <c r="N48" t="s">
        <v>334</v>
      </c>
      <c r="O48" t="s">
        <v>335</v>
      </c>
      <c r="Q48" t="s">
        <v>336</v>
      </c>
      <c r="R48" t="s">
        <v>1</v>
      </c>
    </row>
    <row r="49" spans="1:18" x14ac:dyDescent="0.3">
      <c r="A49" t="str">
        <f>TableSPUCWMCOM[[#This Row],[Study Package Code]]</f>
        <v>NETS1000</v>
      </c>
      <c r="B49" s="2">
        <f>TableSPUCWMCOM[[#This Row],[Ver]]</f>
        <v>2</v>
      </c>
      <c r="D49" t="str">
        <f>TableSPUCWMCOM[[#This Row],[Structure Line]]</f>
        <v>Digital Culture and Everyday Life</v>
      </c>
      <c r="E49" s="24">
        <f>TableSPUCWMCOM[[#This Row],[Credit Points]]</f>
        <v>25</v>
      </c>
      <c r="F49">
        <v>1</v>
      </c>
      <c r="G49" t="s">
        <v>337</v>
      </c>
      <c r="H49">
        <v>0</v>
      </c>
      <c r="I49" t="s">
        <v>341</v>
      </c>
      <c r="J49" t="s">
        <v>115</v>
      </c>
      <c r="K49">
        <v>2</v>
      </c>
      <c r="L49" t="s">
        <v>272</v>
      </c>
      <c r="M49">
        <v>25</v>
      </c>
      <c r="N49" s="40">
        <v>42736</v>
      </c>
      <c r="O49" s="40"/>
      <c r="Q49" t="s">
        <v>115</v>
      </c>
      <c r="R49">
        <v>2</v>
      </c>
    </row>
    <row r="50" spans="1:18" x14ac:dyDescent="0.3">
      <c r="A50" t="str">
        <f>TableSPUCWMCOM[[#This Row],[Study Package Code]]</f>
        <v>NETS2000</v>
      </c>
      <c r="B50" s="2">
        <f>TableSPUCWMCOM[[#This Row],[Ver]]</f>
        <v>1</v>
      </c>
      <c r="D50" t="str">
        <f>TableSPUCWMCOM[[#This Row],[Structure Line]]</f>
        <v>Web Media</v>
      </c>
      <c r="E50" s="24">
        <f>TableSPUCWMCOM[[#This Row],[Credit Points]]</f>
        <v>25</v>
      </c>
      <c r="F50">
        <v>2</v>
      </c>
      <c r="G50" t="s">
        <v>337</v>
      </c>
      <c r="H50">
        <v>0</v>
      </c>
      <c r="I50" t="s">
        <v>341</v>
      </c>
      <c r="J50" t="s">
        <v>122</v>
      </c>
      <c r="K50">
        <v>1</v>
      </c>
      <c r="L50" t="s">
        <v>274</v>
      </c>
      <c r="M50">
        <v>25</v>
      </c>
      <c r="N50" s="40">
        <v>42005</v>
      </c>
      <c r="O50" s="40"/>
      <c r="Q50" t="s">
        <v>122</v>
      </c>
      <c r="R50">
        <v>1</v>
      </c>
    </row>
    <row r="51" spans="1:18" x14ac:dyDescent="0.3">
      <c r="A51" t="str">
        <f>TableSPUCWMCOM[[#This Row],[Study Package Code]]</f>
        <v>NETS2001</v>
      </c>
      <c r="B51" s="2">
        <f>TableSPUCWMCOM[[#This Row],[Ver]]</f>
        <v>2</v>
      </c>
      <c r="D51" t="str">
        <f>TableSPUCWMCOM[[#This Row],[Structure Line]]</f>
        <v>Writing on the Web</v>
      </c>
      <c r="E51" s="24">
        <f>TableSPUCWMCOM[[#This Row],[Credit Points]]</f>
        <v>25</v>
      </c>
      <c r="F51">
        <v>3</v>
      </c>
      <c r="G51" t="s">
        <v>337</v>
      </c>
      <c r="H51">
        <v>0</v>
      </c>
      <c r="I51" t="s">
        <v>341</v>
      </c>
      <c r="J51" t="s">
        <v>126</v>
      </c>
      <c r="K51">
        <v>2</v>
      </c>
      <c r="L51" t="s">
        <v>275</v>
      </c>
      <c r="M51">
        <v>25</v>
      </c>
      <c r="N51" s="40">
        <v>42736</v>
      </c>
      <c r="O51" s="40"/>
      <c r="Q51" t="s">
        <v>126</v>
      </c>
      <c r="R51">
        <v>2</v>
      </c>
    </row>
    <row r="52" spans="1:18" x14ac:dyDescent="0.3">
      <c r="A52" t="str">
        <f>TableSPUCWMCOM[[#This Row],[Study Package Code]]</f>
        <v>Opt-WMCOM</v>
      </c>
      <c r="B52" s="2">
        <f>TableSPUCWMCOM[[#This Row],[Ver]]</f>
        <v>0</v>
      </c>
      <c r="D52" t="str">
        <f>TableSPUCWMCOM[[#This Row],[Structure Line]]</f>
        <v>Choose an Option</v>
      </c>
      <c r="E52" s="24">
        <f>TableSPUCWMCOM[[#This Row],[Credit Points]]</f>
        <v>25</v>
      </c>
      <c r="F52">
        <v>4</v>
      </c>
      <c r="G52" t="s">
        <v>340</v>
      </c>
      <c r="H52">
        <v>0</v>
      </c>
      <c r="I52" t="s">
        <v>341</v>
      </c>
      <c r="J52" t="s">
        <v>140</v>
      </c>
      <c r="K52">
        <v>0</v>
      </c>
      <c r="L52" t="s">
        <v>346</v>
      </c>
      <c r="M52">
        <v>25</v>
      </c>
      <c r="N52" s="40"/>
      <c r="O52" s="40"/>
      <c r="Q52" t="s">
        <v>140</v>
      </c>
      <c r="R52">
        <v>0</v>
      </c>
    </row>
    <row r="53" spans="1:18" x14ac:dyDescent="0.3">
      <c r="A53" t="str">
        <f>TableSPUCWMCOM[[#This Row],[Study Package Code]]</f>
        <v>NETS2002</v>
      </c>
      <c r="B53" s="2">
        <f>TableSPUCWMCOM[[#This Row],[Ver]]</f>
        <v>2</v>
      </c>
      <c r="D53" t="str">
        <f>TableSPUCWMCOM[[#This Row],[Structure Line]]</f>
        <v>Social Media, Communities and Networks</v>
      </c>
      <c r="E53" s="24">
        <f>TableSPUCWMCOM[[#This Row],[Credit Points]]</f>
        <v>25</v>
      </c>
      <c r="F53">
        <v>4</v>
      </c>
      <c r="G53" t="s">
        <v>340</v>
      </c>
      <c r="H53">
        <v>0</v>
      </c>
      <c r="I53" t="s">
        <v>341</v>
      </c>
      <c r="J53" t="s">
        <v>150</v>
      </c>
      <c r="K53">
        <v>2</v>
      </c>
      <c r="L53" t="s">
        <v>276</v>
      </c>
      <c r="M53">
        <v>25</v>
      </c>
      <c r="N53" s="40">
        <v>42736</v>
      </c>
      <c r="O53" s="40"/>
      <c r="Q53" t="s">
        <v>150</v>
      </c>
      <c r="R53">
        <v>2</v>
      </c>
    </row>
    <row r="54" spans="1:18" x14ac:dyDescent="0.3">
      <c r="A54" t="str">
        <f>TableSPUCWMCOM[[#This Row],[Study Package Code]]</f>
        <v>NETS2003</v>
      </c>
      <c r="B54" s="2">
        <f>TableSPUCWMCOM[[#This Row],[Ver]]</f>
        <v>2</v>
      </c>
      <c r="D54" t="str">
        <f>TableSPUCWMCOM[[#This Row],[Structure Line]]</f>
        <v>The Digital Economy</v>
      </c>
      <c r="E54" s="24">
        <f>TableSPUCWMCOM[[#This Row],[Credit Points]]</f>
        <v>25</v>
      </c>
      <c r="F54">
        <v>4</v>
      </c>
      <c r="G54" t="s">
        <v>340</v>
      </c>
      <c r="H54">
        <v>0</v>
      </c>
      <c r="I54" t="s">
        <v>341</v>
      </c>
      <c r="J54" t="s">
        <v>158</v>
      </c>
      <c r="K54">
        <v>2</v>
      </c>
      <c r="L54" t="s">
        <v>277</v>
      </c>
      <c r="M54">
        <v>25</v>
      </c>
      <c r="N54" s="40">
        <v>42736</v>
      </c>
      <c r="O54" s="40"/>
      <c r="Q54" t="s">
        <v>158</v>
      </c>
      <c r="R54">
        <v>2</v>
      </c>
    </row>
    <row r="55" spans="1:18" x14ac:dyDescent="0.3">
      <c r="A55" t="str">
        <f>TableSPUCWMCOM[[#This Row],[Study Package Code]]</f>
        <v>NETS3010</v>
      </c>
      <c r="B55" s="2">
        <f>TableSPUCWMCOM[[#This Row],[Ver]]</f>
        <v>3</v>
      </c>
      <c r="D55" t="str">
        <f>TableSPUCWMCOM[[#This Row],[Structure Line]]</f>
        <v>Online Games and Play</v>
      </c>
      <c r="E55" s="24">
        <f>TableSPUCWMCOM[[#This Row],[Credit Points]]</f>
        <v>25</v>
      </c>
      <c r="F55">
        <v>4</v>
      </c>
      <c r="G55" t="s">
        <v>340</v>
      </c>
      <c r="H55">
        <v>0</v>
      </c>
      <c r="I55" t="s">
        <v>341</v>
      </c>
      <c r="J55" t="s">
        <v>164</v>
      </c>
      <c r="K55">
        <v>3</v>
      </c>
      <c r="L55" t="s">
        <v>278</v>
      </c>
      <c r="M55">
        <v>25</v>
      </c>
      <c r="N55" s="40">
        <v>45292</v>
      </c>
      <c r="O55" s="40"/>
      <c r="Q55" t="s">
        <v>164</v>
      </c>
      <c r="R55">
        <v>3</v>
      </c>
    </row>
    <row r="56" spans="1:18" x14ac:dyDescent="0.3">
      <c r="B56"/>
      <c r="E56"/>
      <c r="F56" s="22"/>
      <c r="G56" s="23" t="s">
        <v>324</v>
      </c>
      <c r="H56" s="87">
        <v>44197</v>
      </c>
      <c r="I56" s="39"/>
      <c r="J56" s="85" t="s">
        <v>85</v>
      </c>
      <c r="K56" s="88" t="s">
        <v>69</v>
      </c>
      <c r="L56" s="39" t="s">
        <v>17</v>
      </c>
      <c r="M56" s="39"/>
      <c r="N56" s="56" t="s">
        <v>325</v>
      </c>
      <c r="O56" s="40">
        <v>45551</v>
      </c>
    </row>
    <row r="57" spans="1:18" x14ac:dyDescent="0.3">
      <c r="A57" t="s">
        <v>0</v>
      </c>
      <c r="B57" s="2" t="s">
        <v>326</v>
      </c>
      <c r="C57" t="s">
        <v>327</v>
      </c>
      <c r="D57" t="s">
        <v>3</v>
      </c>
      <c r="E57" s="24" t="s">
        <v>328</v>
      </c>
      <c r="F57" t="s">
        <v>329</v>
      </c>
      <c r="G57" t="s">
        <v>330</v>
      </c>
      <c r="H57" t="s">
        <v>331</v>
      </c>
      <c r="I57" t="s">
        <v>23</v>
      </c>
      <c r="J57" t="s">
        <v>332</v>
      </c>
      <c r="K57" t="s">
        <v>1</v>
      </c>
      <c r="L57" t="s">
        <v>333</v>
      </c>
      <c r="M57" t="s">
        <v>50</v>
      </c>
      <c r="N57" t="s">
        <v>334</v>
      </c>
      <c r="O57" t="s">
        <v>335</v>
      </c>
      <c r="Q57" t="s">
        <v>336</v>
      </c>
      <c r="R57" t="s">
        <v>1</v>
      </c>
    </row>
    <row r="58" spans="1:18" x14ac:dyDescent="0.3">
      <c r="A58" t="str">
        <f>TableSPUCDECOM[[#This Row],[Study Package Code]]</f>
        <v>GRDE2011</v>
      </c>
      <c r="B58" s="2">
        <f>TableSPUCDECOM[[#This Row],[Ver]]</f>
        <v>2</v>
      </c>
      <c r="D58" t="str">
        <f>TableSPUCDECOM[[#This Row],[Structure Line]]</f>
        <v>Web Design 1</v>
      </c>
      <c r="E58" s="24">
        <f>TableSPUCDECOM[[#This Row],[Credit Points]]</f>
        <v>25</v>
      </c>
      <c r="F58">
        <v>1</v>
      </c>
      <c r="G58" t="s">
        <v>337</v>
      </c>
      <c r="H58">
        <v>0</v>
      </c>
      <c r="I58" t="s">
        <v>341</v>
      </c>
      <c r="J58" t="s">
        <v>141</v>
      </c>
      <c r="K58">
        <v>2</v>
      </c>
      <c r="L58" t="s">
        <v>233</v>
      </c>
      <c r="M58">
        <v>25</v>
      </c>
      <c r="N58" s="40">
        <v>44197</v>
      </c>
      <c r="O58" s="40"/>
      <c r="Q58" t="s">
        <v>141</v>
      </c>
      <c r="R58">
        <v>2</v>
      </c>
    </row>
    <row r="59" spans="1:18" x14ac:dyDescent="0.3">
      <c r="A59" t="str">
        <f>TableSPUCDECOM[[#This Row],[Study Package Code]]</f>
        <v>ICTE2002</v>
      </c>
      <c r="B59" s="2">
        <f>TableSPUCDECOM[[#This Row],[Ver]]</f>
        <v>4</v>
      </c>
      <c r="D59" t="str">
        <f>TableSPUCDECOM[[#This Row],[Structure Line]]</f>
        <v>UX Design 2</v>
      </c>
      <c r="E59" s="24">
        <f>TableSPUCDECOM[[#This Row],[Credit Points]]</f>
        <v>25</v>
      </c>
      <c r="F59">
        <v>2</v>
      </c>
      <c r="G59" t="s">
        <v>337</v>
      </c>
      <c r="H59">
        <v>0</v>
      </c>
      <c r="I59" t="s">
        <v>341</v>
      </c>
      <c r="J59" t="s">
        <v>151</v>
      </c>
      <c r="K59">
        <v>4</v>
      </c>
      <c r="L59" t="s">
        <v>242</v>
      </c>
      <c r="M59">
        <v>25</v>
      </c>
      <c r="N59" s="40">
        <v>45658</v>
      </c>
      <c r="O59" s="40"/>
      <c r="Q59" t="s">
        <v>151</v>
      </c>
      <c r="R59">
        <v>3</v>
      </c>
    </row>
    <row r="60" spans="1:18" x14ac:dyDescent="0.3">
      <c r="A60" t="str">
        <f>TableSPUCDECOM[[#This Row],[Study Package Code]]</f>
        <v>GRDE2040</v>
      </c>
      <c r="B60" s="2">
        <f>TableSPUCDECOM[[#This Row],[Ver]]</f>
        <v>3</v>
      </c>
      <c r="D60" t="str">
        <f>TableSPUCDECOM[[#This Row],[Structure Line]]</f>
        <v>Multimodal Design 1</v>
      </c>
      <c r="E60" s="24">
        <f>TableSPUCDECOM[[#This Row],[Credit Points]]</f>
        <v>25</v>
      </c>
      <c r="F60">
        <v>3</v>
      </c>
      <c r="G60" t="s">
        <v>337</v>
      </c>
      <c r="H60">
        <v>0</v>
      </c>
      <c r="I60" t="s">
        <v>341</v>
      </c>
      <c r="J60" t="s">
        <v>159</v>
      </c>
      <c r="K60">
        <v>3</v>
      </c>
      <c r="L60" t="s">
        <v>241</v>
      </c>
      <c r="M60">
        <v>25</v>
      </c>
      <c r="N60" s="40">
        <v>44927</v>
      </c>
      <c r="O60" s="40"/>
      <c r="Q60" t="s">
        <v>159</v>
      </c>
      <c r="R60">
        <v>3</v>
      </c>
    </row>
    <row r="61" spans="1:18" x14ac:dyDescent="0.3">
      <c r="A61" t="str">
        <f>TableSPUCDECOM[[#This Row],[Study Package Code]]</f>
        <v>Opt-DECOM</v>
      </c>
      <c r="B61" s="2">
        <f>TableSPUCDECOM[[#This Row],[Ver]]</f>
        <v>0</v>
      </c>
      <c r="D61" t="str">
        <f>TableSPUCDECOM[[#This Row],[Structure Line]]</f>
        <v>Choose an Option</v>
      </c>
      <c r="E61" s="24">
        <f>TableSPUCDECOM[[#This Row],[Credit Points]]</f>
        <v>25</v>
      </c>
      <c r="F61">
        <v>4</v>
      </c>
      <c r="G61" t="s">
        <v>340</v>
      </c>
      <c r="H61">
        <v>0</v>
      </c>
      <c r="I61" t="s">
        <v>341</v>
      </c>
      <c r="J61" t="s">
        <v>170</v>
      </c>
      <c r="K61">
        <v>0</v>
      </c>
      <c r="L61" t="s">
        <v>346</v>
      </c>
      <c r="M61">
        <v>25</v>
      </c>
      <c r="N61" s="40"/>
      <c r="O61" s="40"/>
      <c r="Q61" t="s">
        <v>170</v>
      </c>
      <c r="R61">
        <v>0</v>
      </c>
    </row>
    <row r="62" spans="1:18" x14ac:dyDescent="0.3">
      <c r="A62" t="str">
        <f>TableSPUCDECOM[[#This Row],[Study Package Code]]</f>
        <v>GRDE1018</v>
      </c>
      <c r="B62" s="2">
        <f>TableSPUCDECOM[[#This Row],[Ver]]</f>
        <v>3</v>
      </c>
      <c r="D62" t="str">
        <f>TableSPUCDECOM[[#This Row],[Structure Line]]</f>
        <v>UX Design 1</v>
      </c>
      <c r="E62" s="24">
        <f>TableSPUCDECOM[[#This Row],[Credit Points]]</f>
        <v>25</v>
      </c>
      <c r="F62">
        <v>4</v>
      </c>
      <c r="G62" t="s">
        <v>340</v>
      </c>
      <c r="H62">
        <v>0</v>
      </c>
      <c r="I62" t="s">
        <v>341</v>
      </c>
      <c r="J62" t="s">
        <v>176</v>
      </c>
      <c r="K62">
        <v>3</v>
      </c>
      <c r="L62" t="s">
        <v>225</v>
      </c>
      <c r="M62">
        <v>25</v>
      </c>
      <c r="N62" s="40">
        <v>45658</v>
      </c>
      <c r="O62" s="40"/>
      <c r="Q62" t="s">
        <v>176</v>
      </c>
      <c r="R62">
        <v>2</v>
      </c>
    </row>
    <row r="63" spans="1:18" x14ac:dyDescent="0.3">
      <c r="A63" t="str">
        <f>TableSPUCDECOM[[#This Row],[Study Package Code]]</f>
        <v>GRDE2010</v>
      </c>
      <c r="B63" s="2">
        <f>TableSPUCDECOM[[#This Row],[Ver]]</f>
        <v>1</v>
      </c>
      <c r="D63" t="str">
        <f>TableSPUCDECOM[[#This Row],[Structure Line]]</f>
        <v>Motion Graphics Design Introduction</v>
      </c>
      <c r="E63" s="24">
        <f>TableSPUCDECOM[[#This Row],[Credit Points]]</f>
        <v>25</v>
      </c>
      <c r="F63">
        <v>4</v>
      </c>
      <c r="G63" t="s">
        <v>340</v>
      </c>
      <c r="H63">
        <v>0</v>
      </c>
      <c r="I63" t="s">
        <v>341</v>
      </c>
      <c r="J63" t="s">
        <v>182</v>
      </c>
      <c r="K63">
        <v>1</v>
      </c>
      <c r="L63" t="s">
        <v>231</v>
      </c>
      <c r="M63">
        <v>25</v>
      </c>
      <c r="N63" s="40">
        <v>42005</v>
      </c>
      <c r="O63" s="40"/>
      <c r="Q63" t="s">
        <v>182</v>
      </c>
      <c r="R63">
        <v>1</v>
      </c>
    </row>
    <row r="64" spans="1:18" x14ac:dyDescent="0.3">
      <c r="A64" t="str">
        <f>TableSPUCDECOM[[#This Row],[Study Package Code]]</f>
        <v>GRDE2013</v>
      </c>
      <c r="B64" s="2">
        <f>TableSPUCDECOM[[#This Row],[Ver]]</f>
        <v>3</v>
      </c>
      <c r="D64" t="str">
        <f>TableSPUCDECOM[[#This Row],[Structure Line]]</f>
        <v>Web Design 2</v>
      </c>
      <c r="E64" s="24">
        <f>TableSPUCDECOM[[#This Row],[Credit Points]]</f>
        <v>25</v>
      </c>
      <c r="F64">
        <v>4</v>
      </c>
      <c r="G64" t="s">
        <v>340</v>
      </c>
      <c r="H64">
        <v>0</v>
      </c>
      <c r="I64" t="s">
        <v>341</v>
      </c>
      <c r="J64" t="s">
        <v>186</v>
      </c>
      <c r="K64">
        <v>3</v>
      </c>
      <c r="L64" t="s">
        <v>235</v>
      </c>
      <c r="M64">
        <v>25</v>
      </c>
      <c r="N64" s="40">
        <v>44197</v>
      </c>
      <c r="O64" s="40"/>
      <c r="Q64" t="s">
        <v>186</v>
      </c>
      <c r="R64">
        <v>3</v>
      </c>
    </row>
    <row r="65" spans="1:18" x14ac:dyDescent="0.3">
      <c r="B65"/>
      <c r="E65"/>
      <c r="F65" s="22"/>
      <c r="G65" s="23" t="s">
        <v>324</v>
      </c>
      <c r="H65" s="87">
        <v>44197</v>
      </c>
      <c r="I65" s="39"/>
      <c r="J65" s="85" t="s">
        <v>87</v>
      </c>
      <c r="K65" s="88" t="s">
        <v>69</v>
      </c>
      <c r="L65" s="39" t="s">
        <v>86</v>
      </c>
      <c r="M65" s="39"/>
      <c r="N65" s="56" t="s">
        <v>325</v>
      </c>
      <c r="O65" s="40">
        <v>45551</v>
      </c>
    </row>
    <row r="66" spans="1:18" x14ac:dyDescent="0.3">
      <c r="A66" t="s">
        <v>0</v>
      </c>
      <c r="B66" s="2" t="s">
        <v>326</v>
      </c>
      <c r="C66" t="s">
        <v>327</v>
      </c>
      <c r="D66" t="s">
        <v>3</v>
      </c>
      <c r="E66" s="24" t="s">
        <v>328</v>
      </c>
      <c r="F66" t="s">
        <v>329</v>
      </c>
      <c r="G66" t="s">
        <v>330</v>
      </c>
      <c r="H66" t="s">
        <v>331</v>
      </c>
      <c r="I66" t="s">
        <v>23</v>
      </c>
      <c r="J66" t="s">
        <v>332</v>
      </c>
      <c r="K66" t="s">
        <v>1</v>
      </c>
      <c r="L66" t="s">
        <v>333</v>
      </c>
      <c r="M66" t="s">
        <v>50</v>
      </c>
      <c r="N66" t="s">
        <v>334</v>
      </c>
      <c r="O66" t="s">
        <v>335</v>
      </c>
      <c r="Q66" t="s">
        <v>336</v>
      </c>
      <c r="R66" t="s">
        <v>1</v>
      </c>
    </row>
    <row r="67" spans="1:18" x14ac:dyDescent="0.3">
      <c r="A67" t="str">
        <f>TableSPUCGRCOM[[#This Row],[Study Package Code]]</f>
        <v>GRDE2001</v>
      </c>
      <c r="B67" s="2">
        <f>TableSPUCGRCOM[[#This Row],[Ver]]</f>
        <v>1</v>
      </c>
      <c r="D67" t="str">
        <f>TableSPUCGRCOM[[#This Row],[Structure Line]]</f>
        <v>Graphic Design 1</v>
      </c>
      <c r="E67" s="24">
        <f>TableSPUCGRCOM[[#This Row],[Credit Points]]</f>
        <v>25</v>
      </c>
      <c r="F67">
        <v>1</v>
      </c>
      <c r="G67" t="s">
        <v>337</v>
      </c>
      <c r="H67">
        <v>0</v>
      </c>
      <c r="I67" t="s">
        <v>341</v>
      </c>
      <c r="J67" t="s">
        <v>142</v>
      </c>
      <c r="K67">
        <v>1</v>
      </c>
      <c r="L67" t="s">
        <v>229</v>
      </c>
      <c r="M67">
        <v>25</v>
      </c>
      <c r="N67" s="40">
        <v>42005</v>
      </c>
      <c r="O67" s="40"/>
      <c r="Q67" t="s">
        <v>142</v>
      </c>
      <c r="R67">
        <v>1</v>
      </c>
    </row>
    <row r="68" spans="1:18" x14ac:dyDescent="0.3">
      <c r="A68" t="str">
        <f>TableSPUCGRCOM[[#This Row],[Study Package Code]]</f>
        <v>GRDE1005</v>
      </c>
      <c r="B68" s="2">
        <f>TableSPUCGRCOM[[#This Row],[Ver]]</f>
        <v>1</v>
      </c>
      <c r="D68" t="str">
        <f>TableSPUCGRCOM[[#This Row],[Structure Line]]</f>
        <v>Typography</v>
      </c>
      <c r="E68" s="24">
        <f>TableSPUCGRCOM[[#This Row],[Credit Points]]</f>
        <v>25</v>
      </c>
      <c r="F68">
        <v>2</v>
      </c>
      <c r="G68" t="s">
        <v>337</v>
      </c>
      <c r="H68">
        <v>0</v>
      </c>
      <c r="I68" t="s">
        <v>341</v>
      </c>
      <c r="J68" t="s">
        <v>132</v>
      </c>
      <c r="K68">
        <v>1</v>
      </c>
      <c r="L68" t="s">
        <v>223</v>
      </c>
      <c r="M68">
        <v>25</v>
      </c>
      <c r="N68" s="40">
        <v>42005</v>
      </c>
      <c r="O68" s="40"/>
      <c r="Q68" t="s">
        <v>132</v>
      </c>
      <c r="R68">
        <v>1</v>
      </c>
    </row>
    <row r="69" spans="1:18" x14ac:dyDescent="0.3">
      <c r="A69" t="str">
        <f>TableSPUCGRCOM[[#This Row],[Study Package Code]]</f>
        <v>GRDE2026</v>
      </c>
      <c r="B69" s="2">
        <f>TableSPUCGRCOM[[#This Row],[Ver]]</f>
        <v>1</v>
      </c>
      <c r="D69" t="str">
        <f>TableSPUCGRCOM[[#This Row],[Structure Line]]</f>
        <v>Creative Design Studio</v>
      </c>
      <c r="E69" s="24">
        <f>TableSPUCGRCOM[[#This Row],[Credit Points]]</f>
        <v>25</v>
      </c>
      <c r="F69">
        <v>3</v>
      </c>
      <c r="G69" t="s">
        <v>337</v>
      </c>
      <c r="H69">
        <v>0</v>
      </c>
      <c r="I69" t="s">
        <v>341</v>
      </c>
      <c r="J69" t="s">
        <v>152</v>
      </c>
      <c r="K69">
        <v>1</v>
      </c>
      <c r="L69" t="s">
        <v>237</v>
      </c>
      <c r="M69">
        <v>25</v>
      </c>
      <c r="N69" s="40">
        <v>42005</v>
      </c>
      <c r="O69" s="40"/>
      <c r="Q69" t="s">
        <v>152</v>
      </c>
      <c r="R69">
        <v>1</v>
      </c>
    </row>
    <row r="70" spans="1:18" x14ac:dyDescent="0.3">
      <c r="A70" t="str">
        <f>TableSPUCGRCOM[[#This Row],[Study Package Code]]</f>
        <v>Opt-GRCOM</v>
      </c>
      <c r="B70" s="2">
        <f>TableSPUCGRCOM[[#This Row],[Ver]]</f>
        <v>0</v>
      </c>
      <c r="D70" t="str">
        <f>TableSPUCGRCOM[[#This Row],[Structure Line]]</f>
        <v>Choose an Option</v>
      </c>
      <c r="E70" s="24">
        <f>TableSPUCGRCOM[[#This Row],[Credit Points]]</f>
        <v>25</v>
      </c>
      <c r="F70">
        <v>4</v>
      </c>
      <c r="G70" t="s">
        <v>340</v>
      </c>
      <c r="H70">
        <v>0</v>
      </c>
      <c r="I70" t="s">
        <v>341</v>
      </c>
      <c r="J70" t="s">
        <v>165</v>
      </c>
      <c r="K70">
        <v>0</v>
      </c>
      <c r="L70" t="s">
        <v>346</v>
      </c>
      <c r="M70">
        <v>25</v>
      </c>
      <c r="N70" s="40"/>
      <c r="O70" s="40"/>
      <c r="Q70" t="s">
        <v>165</v>
      </c>
      <c r="R70">
        <v>0</v>
      </c>
    </row>
    <row r="71" spans="1:18" x14ac:dyDescent="0.3">
      <c r="A71" t="str">
        <f>TableSPUCGRCOM[[#This Row],[Study Package Code]]</f>
        <v>GRDE2007</v>
      </c>
      <c r="B71" s="2">
        <f>TableSPUCGRCOM[[#This Row],[Ver]]</f>
        <v>1</v>
      </c>
      <c r="D71" t="str">
        <f>TableSPUCGRCOM[[#This Row],[Structure Line]]</f>
        <v>Graphic Design 2</v>
      </c>
      <c r="E71" s="24">
        <f>TableSPUCGRCOM[[#This Row],[Credit Points]]</f>
        <v>25</v>
      </c>
      <c r="F71">
        <v>4</v>
      </c>
      <c r="G71" t="s">
        <v>340</v>
      </c>
      <c r="H71">
        <v>0</v>
      </c>
      <c r="I71" t="s">
        <v>341</v>
      </c>
      <c r="J71" t="s">
        <v>171</v>
      </c>
      <c r="K71">
        <v>1</v>
      </c>
      <c r="L71" t="s">
        <v>230</v>
      </c>
      <c r="M71">
        <v>25</v>
      </c>
      <c r="N71" s="40">
        <v>42005</v>
      </c>
      <c r="O71" s="40"/>
      <c r="Q71" t="s">
        <v>171</v>
      </c>
      <c r="R71">
        <v>1</v>
      </c>
    </row>
    <row r="72" spans="1:18" x14ac:dyDescent="0.3">
      <c r="A72" t="str">
        <f>TableSPUCGRCOM[[#This Row],[Study Package Code]]</f>
        <v>GRDE2034</v>
      </c>
      <c r="B72" s="2">
        <f>TableSPUCGRCOM[[#This Row],[Ver]]</f>
        <v>1</v>
      </c>
      <c r="D72" t="str">
        <f>TableSPUCGRCOM[[#This Row],[Structure Line]]</f>
        <v>Art Direction in Design and Advertising</v>
      </c>
      <c r="E72" s="24">
        <f>TableSPUCGRCOM[[#This Row],[Credit Points]]</f>
        <v>25</v>
      </c>
      <c r="F72">
        <v>4</v>
      </c>
      <c r="G72" t="s">
        <v>340</v>
      </c>
      <c r="H72">
        <v>0</v>
      </c>
      <c r="I72" t="s">
        <v>341</v>
      </c>
      <c r="J72" t="s">
        <v>177</v>
      </c>
      <c r="K72">
        <v>1</v>
      </c>
      <c r="L72" t="s">
        <v>240</v>
      </c>
      <c r="M72">
        <v>25</v>
      </c>
      <c r="N72" s="40">
        <v>42552</v>
      </c>
      <c r="O72" s="40"/>
      <c r="Q72" t="s">
        <v>177</v>
      </c>
      <c r="R72">
        <v>1</v>
      </c>
    </row>
    <row r="73" spans="1:18" x14ac:dyDescent="0.3">
      <c r="B73"/>
      <c r="E73"/>
      <c r="F73" s="22"/>
      <c r="G73" s="23" t="s">
        <v>324</v>
      </c>
      <c r="H73" s="87">
        <v>45292</v>
      </c>
      <c r="I73" s="39"/>
      <c r="J73" s="85" t="s">
        <v>89</v>
      </c>
      <c r="K73" s="88" t="s">
        <v>72</v>
      </c>
      <c r="L73" s="39" t="s">
        <v>88</v>
      </c>
      <c r="M73" s="39"/>
      <c r="N73" s="56" t="s">
        <v>325</v>
      </c>
      <c r="O73" s="40">
        <v>45551</v>
      </c>
    </row>
    <row r="74" spans="1:18" x14ac:dyDescent="0.3">
      <c r="A74" t="s">
        <v>0</v>
      </c>
      <c r="B74" s="2" t="s">
        <v>326</v>
      </c>
      <c r="C74" t="s">
        <v>327</v>
      </c>
      <c r="D74" t="s">
        <v>3</v>
      </c>
      <c r="E74" s="24" t="s">
        <v>328</v>
      </c>
      <c r="F74" t="s">
        <v>329</v>
      </c>
      <c r="G74" t="s">
        <v>330</v>
      </c>
      <c r="H74" t="s">
        <v>331</v>
      </c>
      <c r="I74" t="s">
        <v>23</v>
      </c>
      <c r="J74" t="s">
        <v>332</v>
      </c>
      <c r="K74" t="s">
        <v>1</v>
      </c>
      <c r="L74" t="s">
        <v>333</v>
      </c>
      <c r="M74" t="s">
        <v>50</v>
      </c>
      <c r="N74" t="s">
        <v>334</v>
      </c>
      <c r="O74" t="s">
        <v>335</v>
      </c>
      <c r="Q74" t="s">
        <v>336</v>
      </c>
      <c r="R74" t="s">
        <v>1</v>
      </c>
    </row>
    <row r="75" spans="1:18" x14ac:dyDescent="0.3">
      <c r="A75" t="str">
        <f>TableSPUCMKCOM[[#This Row],[Study Package Code]]</f>
        <v>MKTG2000</v>
      </c>
      <c r="B75" s="2">
        <f>TableSPUCMKCOM[[#This Row],[Ver]]</f>
        <v>1</v>
      </c>
      <c r="D75" t="str">
        <f>TableSPUCMKCOM[[#This Row],[Structure Line]]</f>
        <v>Integrated Marketing Communications</v>
      </c>
      <c r="E75" s="24">
        <f>TableSPUCMKCOM[[#This Row],[Credit Points]]</f>
        <v>25</v>
      </c>
      <c r="F75">
        <v>1</v>
      </c>
      <c r="G75" t="s">
        <v>337</v>
      </c>
      <c r="H75">
        <v>0</v>
      </c>
      <c r="I75" t="s">
        <v>341</v>
      </c>
      <c r="J75" t="s">
        <v>133</v>
      </c>
      <c r="K75">
        <v>1</v>
      </c>
      <c r="L75" t="s">
        <v>266</v>
      </c>
      <c r="M75">
        <v>25</v>
      </c>
      <c r="N75" s="40">
        <v>42005</v>
      </c>
      <c r="O75" s="40"/>
      <c r="Q75" t="s">
        <v>133</v>
      </c>
      <c r="R75">
        <v>1</v>
      </c>
    </row>
    <row r="76" spans="1:18" x14ac:dyDescent="0.3">
      <c r="A76" t="str">
        <f>TableSPUCMKCOM[[#This Row],[Study Package Code]]</f>
        <v>MKTG2006</v>
      </c>
      <c r="B76" s="2">
        <f>TableSPUCMKCOM[[#This Row],[Ver]]</f>
        <v>2</v>
      </c>
      <c r="D76" t="str">
        <f>TableSPUCMKCOM[[#This Row],[Structure Line]]</f>
        <v>Managing Social Media Platforms</v>
      </c>
      <c r="E76" s="24">
        <f>TableSPUCMKCOM[[#This Row],[Credit Points]]</f>
        <v>25</v>
      </c>
      <c r="F76">
        <v>2</v>
      </c>
      <c r="G76" t="s">
        <v>337</v>
      </c>
      <c r="H76">
        <v>0</v>
      </c>
      <c r="I76" t="s">
        <v>341</v>
      </c>
      <c r="J76" t="s">
        <v>143</v>
      </c>
      <c r="K76">
        <v>2</v>
      </c>
      <c r="L76" t="s">
        <v>269</v>
      </c>
      <c r="M76">
        <v>25</v>
      </c>
      <c r="N76" s="40">
        <v>43831</v>
      </c>
      <c r="O76" s="40"/>
      <c r="Q76" t="s">
        <v>143</v>
      </c>
      <c r="R76">
        <v>2</v>
      </c>
    </row>
    <row r="77" spans="1:18" x14ac:dyDescent="0.3">
      <c r="A77" t="str">
        <f>TableSPUCMKCOM[[#This Row],[Study Package Code]]</f>
        <v>Opt-MKCOM</v>
      </c>
      <c r="B77" s="2">
        <f>TableSPUCMKCOM[[#This Row],[Ver]]</f>
        <v>0</v>
      </c>
      <c r="D77" t="str">
        <f>TableSPUCMKCOM[[#This Row],[Structure Line]]</f>
        <v>Choose Options</v>
      </c>
      <c r="E77" s="24">
        <f>TableSPUCMKCOM[[#This Row],[Credit Points]]</f>
        <v>50</v>
      </c>
      <c r="F77">
        <v>3</v>
      </c>
      <c r="G77" t="s">
        <v>340</v>
      </c>
      <c r="H77">
        <v>0</v>
      </c>
      <c r="I77" t="s">
        <v>341</v>
      </c>
      <c r="J77" t="s">
        <v>160</v>
      </c>
      <c r="K77">
        <v>0</v>
      </c>
      <c r="L77" t="s">
        <v>345</v>
      </c>
      <c r="M77">
        <v>50</v>
      </c>
      <c r="N77" s="40"/>
      <c r="O77" s="40"/>
      <c r="Q77" t="s">
        <v>160</v>
      </c>
      <c r="R77">
        <v>0</v>
      </c>
    </row>
    <row r="78" spans="1:18" x14ac:dyDescent="0.3">
      <c r="A78" t="str">
        <f>TableSPUCMKCOM[[#This Row],[Study Package Code]]</f>
        <v>MKTG1000</v>
      </c>
      <c r="B78" s="2">
        <f>TableSPUCMKCOM[[#This Row],[Ver]]</f>
        <v>1</v>
      </c>
      <c r="D78" t="str">
        <f>TableSPUCMKCOM[[#This Row],[Structure Line]]</f>
        <v>Discovering Marketing</v>
      </c>
      <c r="E78" s="24">
        <f>TableSPUCMKCOM[[#This Row],[Credit Points]]</f>
        <v>25</v>
      </c>
      <c r="F78">
        <v>3</v>
      </c>
      <c r="G78" t="s">
        <v>340</v>
      </c>
      <c r="H78">
        <v>0</v>
      </c>
      <c r="I78" t="s">
        <v>341</v>
      </c>
      <c r="J78" t="s">
        <v>117</v>
      </c>
      <c r="K78">
        <v>1</v>
      </c>
      <c r="L78" t="s">
        <v>264</v>
      </c>
      <c r="M78">
        <v>25</v>
      </c>
      <c r="N78" s="40">
        <v>42005</v>
      </c>
      <c r="O78" s="40"/>
      <c r="Q78" t="s">
        <v>117</v>
      </c>
      <c r="R78">
        <v>1</v>
      </c>
    </row>
    <row r="79" spans="1:18" x14ac:dyDescent="0.3">
      <c r="A79" t="str">
        <f>TableSPUCMKCOM[[#This Row],[Study Package Code]]</f>
        <v>MKTG2001</v>
      </c>
      <c r="B79" s="2">
        <f>TableSPUCMKCOM[[#This Row],[Ver]]</f>
        <v>1</v>
      </c>
      <c r="D79" t="str">
        <f>TableSPUCMKCOM[[#This Row],[Structure Line]]</f>
        <v>Brand Management</v>
      </c>
      <c r="E79" s="24">
        <f>TableSPUCMKCOM[[#This Row],[Credit Points]]</f>
        <v>25</v>
      </c>
      <c r="F79">
        <v>3</v>
      </c>
      <c r="G79" t="s">
        <v>340</v>
      </c>
      <c r="H79">
        <v>0</v>
      </c>
      <c r="I79" t="s">
        <v>341</v>
      </c>
      <c r="J79" t="s">
        <v>166</v>
      </c>
      <c r="K79">
        <v>1</v>
      </c>
      <c r="L79" t="s">
        <v>267</v>
      </c>
      <c r="M79">
        <v>25</v>
      </c>
      <c r="N79" s="40">
        <v>42005</v>
      </c>
      <c r="O79" s="40"/>
      <c r="Q79" t="s">
        <v>166</v>
      </c>
      <c r="R79">
        <v>1</v>
      </c>
    </row>
    <row r="80" spans="1:18" x14ac:dyDescent="0.3">
      <c r="A80" t="str">
        <f>TableSPUCMKCOM[[#This Row],[Study Package Code]]</f>
        <v>MKTG2004</v>
      </c>
      <c r="B80" s="2">
        <f>TableSPUCMKCOM[[#This Row],[Ver]]</f>
        <v>1</v>
      </c>
      <c r="D80" t="str">
        <f>TableSPUCMKCOM[[#This Row],[Structure Line]]</f>
        <v>Consumer Behaviour</v>
      </c>
      <c r="E80" s="24">
        <f>TableSPUCMKCOM[[#This Row],[Credit Points]]</f>
        <v>25</v>
      </c>
      <c r="F80">
        <v>3</v>
      </c>
      <c r="G80" t="s">
        <v>340</v>
      </c>
      <c r="H80">
        <v>0</v>
      </c>
      <c r="I80" t="s">
        <v>341</v>
      </c>
      <c r="J80" t="s">
        <v>178</v>
      </c>
      <c r="K80">
        <v>1</v>
      </c>
      <c r="L80" t="s">
        <v>268</v>
      </c>
      <c r="M80">
        <v>25</v>
      </c>
      <c r="N80" s="40">
        <v>42005</v>
      </c>
      <c r="O80" s="40"/>
      <c r="Q80" t="s">
        <v>178</v>
      </c>
      <c r="R80">
        <v>1</v>
      </c>
    </row>
    <row r="81" spans="1:18" x14ac:dyDescent="0.3">
      <c r="A81" t="str">
        <f>TableSPUCMKCOM[[#This Row],[Study Package Code]]</f>
        <v>MKTG3010</v>
      </c>
      <c r="B81" s="2">
        <f>TableSPUCMKCOM[[#This Row],[Ver]]</f>
        <v>1</v>
      </c>
      <c r="D81" t="str">
        <f>TableSPUCMKCOM[[#This Row],[Structure Line]]</f>
        <v>Creating Content and Marketing Briefs</v>
      </c>
      <c r="E81" s="24">
        <f>TableSPUCMKCOM[[#This Row],[Credit Points]]</f>
        <v>25</v>
      </c>
      <c r="F81">
        <v>3</v>
      </c>
      <c r="G81" t="s">
        <v>340</v>
      </c>
      <c r="H81">
        <v>0</v>
      </c>
      <c r="I81" t="s">
        <v>341</v>
      </c>
      <c r="J81" t="s">
        <v>183</v>
      </c>
      <c r="K81">
        <v>1</v>
      </c>
      <c r="L81" t="s">
        <v>270</v>
      </c>
      <c r="M81">
        <v>25</v>
      </c>
      <c r="N81" s="40">
        <v>45292</v>
      </c>
      <c r="O81" s="40"/>
      <c r="Q81" t="s">
        <v>183</v>
      </c>
      <c r="R81">
        <v>1</v>
      </c>
    </row>
    <row r="82" spans="1:18" x14ac:dyDescent="0.3">
      <c r="A82" t="str">
        <f>TableSPUCMKCOM[[#This Row],[Study Package Code]]</f>
        <v>TOUR2001</v>
      </c>
      <c r="B82" s="2">
        <f>TableSPUCMKCOM[[#This Row],[Ver]]</f>
        <v>1</v>
      </c>
      <c r="D82" t="str">
        <f>TableSPUCMKCOM[[#This Row],[Structure Line]]</f>
        <v>Marketing for Tourism, Hospitality and Events</v>
      </c>
      <c r="E82" s="24">
        <f>TableSPUCMKCOM[[#This Row],[Credit Points]]</f>
        <v>25</v>
      </c>
      <c r="F82">
        <v>3</v>
      </c>
      <c r="G82" t="s">
        <v>340</v>
      </c>
      <c r="H82">
        <v>0</v>
      </c>
      <c r="I82" t="s">
        <v>341</v>
      </c>
      <c r="J82" t="s">
        <v>172</v>
      </c>
      <c r="K82">
        <v>1</v>
      </c>
      <c r="L82" t="s">
        <v>320</v>
      </c>
      <c r="M82">
        <v>25</v>
      </c>
      <c r="N82" s="40">
        <v>45292</v>
      </c>
      <c r="O82" s="40"/>
      <c r="Q82" t="s">
        <v>172</v>
      </c>
      <c r="R82">
        <v>1</v>
      </c>
    </row>
    <row r="83" spans="1:18" x14ac:dyDescent="0.3">
      <c r="B83"/>
      <c r="E83"/>
      <c r="F83" s="22"/>
      <c r="G83" s="23" t="s">
        <v>324</v>
      </c>
      <c r="H83" s="87">
        <v>44197</v>
      </c>
      <c r="I83" s="39"/>
      <c r="J83" s="85" t="s">
        <v>93</v>
      </c>
      <c r="K83" s="88" t="s">
        <v>69</v>
      </c>
      <c r="L83" s="39" t="s">
        <v>92</v>
      </c>
      <c r="M83" s="39"/>
      <c r="N83" s="56" t="s">
        <v>325</v>
      </c>
      <c r="O83" s="40">
        <v>45551</v>
      </c>
    </row>
    <row r="84" spans="1:18" x14ac:dyDescent="0.3">
      <c r="A84" t="s">
        <v>0</v>
      </c>
      <c r="B84" s="2" t="s">
        <v>326</v>
      </c>
      <c r="C84" t="s">
        <v>327</v>
      </c>
      <c r="D84" t="s">
        <v>3</v>
      </c>
      <c r="E84" s="24" t="s">
        <v>328</v>
      </c>
      <c r="F84" t="s">
        <v>329</v>
      </c>
      <c r="G84" t="s">
        <v>330</v>
      </c>
      <c r="H84" t="s">
        <v>331</v>
      </c>
      <c r="I84" t="s">
        <v>23</v>
      </c>
      <c r="J84" t="s">
        <v>332</v>
      </c>
      <c r="K84" t="s">
        <v>1</v>
      </c>
      <c r="L84" t="s">
        <v>333</v>
      </c>
      <c r="M84" t="s">
        <v>50</v>
      </c>
      <c r="N84" t="s">
        <v>334</v>
      </c>
      <c r="O84" t="s">
        <v>335</v>
      </c>
      <c r="Q84" t="s">
        <v>336</v>
      </c>
      <c r="R84" t="s">
        <v>1</v>
      </c>
    </row>
    <row r="85" spans="1:18" x14ac:dyDescent="0.3">
      <c r="A85" t="str">
        <f>TableSPUCPHCOM[[#This Row],[Study Package Code]]</f>
        <v>GRDE2027</v>
      </c>
      <c r="B85" s="2">
        <f>TableSPUCPHCOM[[#This Row],[Ver]]</f>
        <v>1</v>
      </c>
      <c r="D85" t="str">
        <f>TableSPUCPHCOM[[#This Row],[Structure Line]]</f>
        <v>Photography Contexts and Practice</v>
      </c>
      <c r="E85" s="24">
        <f>TableSPUCPHCOM[[#This Row],[Credit Points]]</f>
        <v>25</v>
      </c>
      <c r="F85">
        <v>1</v>
      </c>
      <c r="G85" t="s">
        <v>337</v>
      </c>
      <c r="H85">
        <v>0</v>
      </c>
      <c r="I85" t="s">
        <v>341</v>
      </c>
      <c r="J85" t="s">
        <v>134</v>
      </c>
      <c r="K85">
        <v>1</v>
      </c>
      <c r="L85" t="s">
        <v>239</v>
      </c>
      <c r="M85">
        <v>25</v>
      </c>
      <c r="N85" s="40">
        <v>42005</v>
      </c>
      <c r="O85" s="40"/>
      <c r="Q85" t="s">
        <v>134</v>
      </c>
      <c r="R85">
        <v>1</v>
      </c>
    </row>
    <row r="86" spans="1:18" x14ac:dyDescent="0.3">
      <c r="A86" t="str">
        <f>TableSPUCPHCOM[[#This Row],[Study Package Code]]</f>
        <v>GRDE2025</v>
      </c>
      <c r="B86" s="2">
        <f>TableSPUCPHCOM[[#This Row],[Ver]]</f>
        <v>1</v>
      </c>
      <c r="D86" t="str">
        <f>TableSPUCPHCOM[[#This Row],[Structure Line]]</f>
        <v>Photography Studio Processes</v>
      </c>
      <c r="E86" s="24">
        <f>TableSPUCPHCOM[[#This Row],[Credit Points]]</f>
        <v>25</v>
      </c>
      <c r="F86">
        <v>2</v>
      </c>
      <c r="G86" t="s">
        <v>337</v>
      </c>
      <c r="H86">
        <v>0</v>
      </c>
      <c r="I86" t="s">
        <v>341</v>
      </c>
      <c r="J86" t="s">
        <v>144</v>
      </c>
      <c r="K86">
        <v>1</v>
      </c>
      <c r="L86" t="s">
        <v>236</v>
      </c>
      <c r="M86">
        <v>25</v>
      </c>
      <c r="N86" s="40">
        <v>42005</v>
      </c>
      <c r="O86" s="40"/>
      <c r="Q86" t="s">
        <v>144</v>
      </c>
      <c r="R86">
        <v>1</v>
      </c>
    </row>
    <row r="87" spans="1:18" x14ac:dyDescent="0.3">
      <c r="A87" t="str">
        <f>TableSPUCPHCOM[[#This Row],[Study Package Code]]</f>
        <v>VISA3018</v>
      </c>
      <c r="B87" s="2">
        <f>TableSPUCPHCOM[[#This Row],[Ver]]</f>
        <v>1</v>
      </c>
      <c r="D87" t="str">
        <f>TableSPUCPHCOM[[#This Row],[Structure Line]]</f>
        <v>Photography Professional Practices 1</v>
      </c>
      <c r="E87" s="24">
        <f>TableSPUCPHCOM[[#This Row],[Credit Points]]</f>
        <v>25</v>
      </c>
      <c r="F87">
        <v>3</v>
      </c>
      <c r="G87" t="s">
        <v>337</v>
      </c>
      <c r="H87">
        <v>0</v>
      </c>
      <c r="I87" t="s">
        <v>341</v>
      </c>
      <c r="J87" t="s">
        <v>153</v>
      </c>
      <c r="K87">
        <v>1</v>
      </c>
      <c r="L87" t="s">
        <v>322</v>
      </c>
      <c r="M87">
        <v>25</v>
      </c>
      <c r="N87" s="40">
        <v>42005</v>
      </c>
      <c r="O87" s="40"/>
      <c r="Q87" t="s">
        <v>153</v>
      </c>
      <c r="R87">
        <v>1</v>
      </c>
    </row>
    <row r="88" spans="1:18" x14ac:dyDescent="0.3">
      <c r="A88" t="str">
        <f>TableSPUCPHCOM[[#This Row],[Study Package Code]]</f>
        <v>VISA3019</v>
      </c>
      <c r="B88" s="2">
        <f>TableSPUCPHCOM[[#This Row],[Ver]]</f>
        <v>1</v>
      </c>
      <c r="D88" t="str">
        <f>TableSPUCPHCOM[[#This Row],[Structure Line]]</f>
        <v>Photography Professional Practices 2</v>
      </c>
      <c r="E88" s="24">
        <f>TableSPUCPHCOM[[#This Row],[Credit Points]]</f>
        <v>25</v>
      </c>
      <c r="F88">
        <v>4</v>
      </c>
      <c r="G88" t="s">
        <v>337</v>
      </c>
      <c r="H88">
        <v>0</v>
      </c>
      <c r="I88" t="s">
        <v>341</v>
      </c>
      <c r="J88" t="s">
        <v>161</v>
      </c>
      <c r="K88">
        <v>1</v>
      </c>
      <c r="L88" t="s">
        <v>323</v>
      </c>
      <c r="M88">
        <v>25</v>
      </c>
      <c r="N88" s="40">
        <v>42005</v>
      </c>
      <c r="O88" s="40"/>
      <c r="Q88" t="s">
        <v>161</v>
      </c>
      <c r="R88">
        <v>1</v>
      </c>
    </row>
    <row r="89" spans="1:18" x14ac:dyDescent="0.3">
      <c r="B89"/>
      <c r="E89"/>
      <c r="F89" s="22"/>
      <c r="G89" s="23" t="s">
        <v>324</v>
      </c>
      <c r="H89" s="87">
        <v>44197</v>
      </c>
      <c r="I89" s="39"/>
      <c r="J89" s="85" t="s">
        <v>95</v>
      </c>
      <c r="K89" s="88" t="s">
        <v>69</v>
      </c>
      <c r="L89" s="39" t="s">
        <v>94</v>
      </c>
      <c r="M89" s="39"/>
      <c r="N89" s="56" t="s">
        <v>325</v>
      </c>
      <c r="O89" s="40">
        <v>45551</v>
      </c>
    </row>
    <row r="90" spans="1:18" x14ac:dyDescent="0.3">
      <c r="A90" t="s">
        <v>0</v>
      </c>
      <c r="B90" s="2" t="s">
        <v>326</v>
      </c>
      <c r="C90" t="s">
        <v>327</v>
      </c>
      <c r="D90" t="s">
        <v>3</v>
      </c>
      <c r="E90" s="24" t="s">
        <v>328</v>
      </c>
      <c r="F90" t="s">
        <v>329</v>
      </c>
      <c r="G90" t="s">
        <v>330</v>
      </c>
      <c r="H90" t="s">
        <v>331</v>
      </c>
      <c r="I90" t="s">
        <v>23</v>
      </c>
      <c r="J90" t="s">
        <v>332</v>
      </c>
      <c r="K90" t="s">
        <v>1</v>
      </c>
      <c r="L90" t="s">
        <v>333</v>
      </c>
      <c r="M90" t="s">
        <v>50</v>
      </c>
      <c r="N90" t="s">
        <v>334</v>
      </c>
      <c r="O90" t="s">
        <v>335</v>
      </c>
      <c r="Q90" t="s">
        <v>336</v>
      </c>
      <c r="R90" t="s">
        <v>1</v>
      </c>
    </row>
    <row r="91" spans="1:18" x14ac:dyDescent="0.3">
      <c r="A91" t="str">
        <f>TableSPUCPRCOM[[#This Row],[Study Package Code]]</f>
        <v>PUBR2001</v>
      </c>
      <c r="B91" s="2">
        <f>TableSPUCPRCOM[[#This Row],[Ver]]</f>
        <v>2</v>
      </c>
      <c r="D91" t="str">
        <f>TableSPUCPRCOM[[#This Row],[Structure Line]]</f>
        <v>Public Relations and Reputation Management</v>
      </c>
      <c r="E91" s="24">
        <f>TableSPUCPRCOM[[#This Row],[Credit Points]]</f>
        <v>25</v>
      </c>
      <c r="F91">
        <v>1</v>
      </c>
      <c r="G91" t="s">
        <v>337</v>
      </c>
      <c r="H91">
        <v>0</v>
      </c>
      <c r="I91" t="s">
        <v>341</v>
      </c>
      <c r="J91" t="s">
        <v>145</v>
      </c>
      <c r="K91">
        <v>2</v>
      </c>
      <c r="L91" t="s">
        <v>289</v>
      </c>
      <c r="M91">
        <v>25</v>
      </c>
      <c r="N91" s="40">
        <v>44927</v>
      </c>
      <c r="O91" s="40"/>
      <c r="Q91" t="s">
        <v>145</v>
      </c>
      <c r="R91">
        <v>2</v>
      </c>
    </row>
    <row r="92" spans="1:18" x14ac:dyDescent="0.3">
      <c r="A92" t="str">
        <f>TableSPUCPRCOM[[#This Row],[Study Package Code]]</f>
        <v>PUBR2000</v>
      </c>
      <c r="B92" s="2">
        <f>TableSPUCPRCOM[[#This Row],[Ver]]</f>
        <v>3</v>
      </c>
      <c r="D92" t="str">
        <f>TableSPUCPRCOM[[#This Row],[Structure Line]]</f>
        <v>Digital Public Relations and Storytelling</v>
      </c>
      <c r="E92" s="24">
        <f>TableSPUCPRCOM[[#This Row],[Credit Points]]</f>
        <v>25</v>
      </c>
      <c r="F92">
        <v>2</v>
      </c>
      <c r="G92" t="s">
        <v>337</v>
      </c>
      <c r="H92">
        <v>0</v>
      </c>
      <c r="I92" t="s">
        <v>341</v>
      </c>
      <c r="J92" t="s">
        <v>135</v>
      </c>
      <c r="K92">
        <v>3</v>
      </c>
      <c r="L92" t="s">
        <v>288</v>
      </c>
      <c r="M92">
        <v>25</v>
      </c>
      <c r="N92" s="40">
        <v>44562</v>
      </c>
      <c r="O92" s="40"/>
      <c r="Q92" t="s">
        <v>135</v>
      </c>
      <c r="R92">
        <v>3</v>
      </c>
    </row>
    <row r="93" spans="1:18" x14ac:dyDescent="0.3">
      <c r="A93" t="str">
        <f>TableSPUCPRCOM[[#This Row],[Study Package Code]]</f>
        <v>PUBR3001</v>
      </c>
      <c r="B93" s="2">
        <f>TableSPUCPRCOM[[#This Row],[Ver]]</f>
        <v>3</v>
      </c>
      <c r="D93" t="str">
        <f>TableSPUCPRCOM[[#This Row],[Structure Line]]</f>
        <v>Campaign Planning and Evaluation</v>
      </c>
      <c r="E93" s="24">
        <f>TableSPUCPRCOM[[#This Row],[Credit Points]]</f>
        <v>25</v>
      </c>
      <c r="F93">
        <v>3</v>
      </c>
      <c r="G93" t="s">
        <v>337</v>
      </c>
      <c r="H93">
        <v>0</v>
      </c>
      <c r="I93" t="s">
        <v>341</v>
      </c>
      <c r="J93" t="s">
        <v>154</v>
      </c>
      <c r="K93">
        <v>3</v>
      </c>
      <c r="L93" t="s">
        <v>292</v>
      </c>
      <c r="M93">
        <v>25</v>
      </c>
      <c r="N93" s="40">
        <v>44562</v>
      </c>
      <c r="O93" s="40"/>
      <c r="Q93" t="s">
        <v>154</v>
      </c>
      <c r="R93">
        <v>3</v>
      </c>
    </row>
    <row r="94" spans="1:18" x14ac:dyDescent="0.3">
      <c r="A94" t="str">
        <f>TableSPUCPRCOM[[#This Row],[Study Package Code]]</f>
        <v>Opt-PRCOM</v>
      </c>
      <c r="B94" s="2">
        <f>TableSPUCPRCOM[[#This Row],[Ver]]</f>
        <v>0</v>
      </c>
      <c r="D94" t="str">
        <f>TableSPUCPRCOM[[#This Row],[Structure Line]]</f>
        <v>Choose an Option</v>
      </c>
      <c r="E94" s="24">
        <f>TableSPUCPRCOM[[#This Row],[Credit Points]]</f>
        <v>25</v>
      </c>
      <c r="F94">
        <v>4</v>
      </c>
      <c r="G94" t="s">
        <v>340</v>
      </c>
      <c r="H94">
        <v>0</v>
      </c>
      <c r="I94" t="s">
        <v>341</v>
      </c>
      <c r="J94" t="s">
        <v>167</v>
      </c>
      <c r="K94">
        <v>0</v>
      </c>
      <c r="L94" t="s">
        <v>346</v>
      </c>
      <c r="M94">
        <v>25</v>
      </c>
      <c r="N94" s="40"/>
      <c r="O94" s="40"/>
      <c r="Q94" t="s">
        <v>167</v>
      </c>
      <c r="R94">
        <v>0</v>
      </c>
    </row>
    <row r="95" spans="1:18" x14ac:dyDescent="0.3">
      <c r="A95" t="str">
        <f>TableSPUCPRCOM[[#This Row],[Study Package Code]]</f>
        <v>PUBR3000</v>
      </c>
      <c r="B95" s="2">
        <f>TableSPUCPRCOM[[#This Row],[Ver]]</f>
        <v>3</v>
      </c>
      <c r="D95" t="str">
        <f>TableSPUCPRCOM[[#This Row],[Structure Line]]</f>
        <v>Public Relations in Industry</v>
      </c>
      <c r="E95" s="24">
        <f>TableSPUCPRCOM[[#This Row],[Credit Points]]</f>
        <v>25</v>
      </c>
      <c r="F95">
        <v>4</v>
      </c>
      <c r="G95" t="s">
        <v>340</v>
      </c>
      <c r="H95">
        <v>0</v>
      </c>
      <c r="I95" t="s">
        <v>341</v>
      </c>
      <c r="J95" t="s">
        <v>173</v>
      </c>
      <c r="K95">
        <v>3</v>
      </c>
      <c r="L95" t="s">
        <v>291</v>
      </c>
      <c r="M95">
        <v>25</v>
      </c>
      <c r="N95" s="40">
        <v>44562</v>
      </c>
      <c r="O95" s="40"/>
      <c r="Q95" t="s">
        <v>173</v>
      </c>
      <c r="R95">
        <v>3</v>
      </c>
    </row>
    <row r="96" spans="1:18" x14ac:dyDescent="0.3">
      <c r="A96" t="str">
        <f>TableSPUCPRCOM[[#This Row],[Study Package Code]]</f>
        <v>PUBR3003</v>
      </c>
      <c r="B96" s="2">
        <f>TableSPUCPRCOM[[#This Row],[Ver]]</f>
        <v>1</v>
      </c>
      <c r="D96" t="str">
        <f>TableSPUCPRCOM[[#This Row],[Structure Line]]</f>
        <v>Cross-Cultural Communication</v>
      </c>
      <c r="E96" s="24">
        <f>TableSPUCPRCOM[[#This Row],[Credit Points]]</f>
        <v>25</v>
      </c>
      <c r="F96">
        <v>4</v>
      </c>
      <c r="G96" t="s">
        <v>340</v>
      </c>
      <c r="H96">
        <v>0</v>
      </c>
      <c r="I96" t="s">
        <v>341</v>
      </c>
      <c r="J96" t="s">
        <v>179</v>
      </c>
      <c r="K96">
        <v>1</v>
      </c>
      <c r="L96" t="s">
        <v>293</v>
      </c>
      <c r="M96">
        <v>25</v>
      </c>
      <c r="N96" s="40">
        <v>42005</v>
      </c>
      <c r="O96" s="40"/>
      <c r="Q96" t="s">
        <v>179</v>
      </c>
      <c r="R96">
        <v>1</v>
      </c>
    </row>
    <row r="97" spans="1:18" x14ac:dyDescent="0.3">
      <c r="B97"/>
      <c r="E97"/>
      <c r="F97" s="22"/>
      <c r="G97" s="23" t="s">
        <v>324</v>
      </c>
      <c r="H97" s="87">
        <v>45292</v>
      </c>
      <c r="I97" s="39"/>
      <c r="J97" s="85" t="s">
        <v>97</v>
      </c>
      <c r="K97" s="88" t="s">
        <v>69</v>
      </c>
      <c r="L97" s="39" t="s">
        <v>96</v>
      </c>
      <c r="M97" s="39"/>
      <c r="N97" s="56" t="s">
        <v>325</v>
      </c>
      <c r="O97" s="40">
        <v>45610</v>
      </c>
    </row>
    <row r="98" spans="1:18" x14ac:dyDescent="0.3">
      <c r="A98" t="s">
        <v>0</v>
      </c>
      <c r="B98" s="2" t="s">
        <v>326</v>
      </c>
      <c r="C98" t="s">
        <v>327</v>
      </c>
      <c r="D98" t="s">
        <v>3</v>
      </c>
      <c r="E98" s="24" t="s">
        <v>328</v>
      </c>
      <c r="F98" t="s">
        <v>329</v>
      </c>
      <c r="G98" t="s">
        <v>330</v>
      </c>
      <c r="H98" t="s">
        <v>331</v>
      </c>
      <c r="I98" t="s">
        <v>23</v>
      </c>
      <c r="J98" t="s">
        <v>332</v>
      </c>
      <c r="K98" t="s">
        <v>1</v>
      </c>
      <c r="L98" t="s">
        <v>333</v>
      </c>
      <c r="M98" t="s">
        <v>50</v>
      </c>
      <c r="N98" t="s">
        <v>334</v>
      </c>
      <c r="O98" t="s">
        <v>335</v>
      </c>
      <c r="Q98" t="s">
        <v>336</v>
      </c>
      <c r="R98" t="s">
        <v>1</v>
      </c>
    </row>
    <row r="99" spans="1:18" x14ac:dyDescent="0.3">
      <c r="A99" t="str">
        <f>TableSPUPJOURL[[#This Row],[Study Package Code]]</f>
        <v>JOUR5005</v>
      </c>
      <c r="B99" s="2">
        <f>TableSPUPJOURL[[#This Row],[Ver]]</f>
        <v>4</v>
      </c>
      <c r="D99" t="str">
        <f>TableSPUPJOURL[[#This Row],[Structure Line]]</f>
        <v>Graduate Video News</v>
      </c>
      <c r="E99" s="24">
        <f>TableSPUPJOURL[[#This Row],[Credit Points]]</f>
        <v>25</v>
      </c>
      <c r="F99">
        <v>1</v>
      </c>
      <c r="G99" t="s">
        <v>337</v>
      </c>
      <c r="H99">
        <v>0</v>
      </c>
      <c r="I99" t="s">
        <v>338</v>
      </c>
      <c r="J99" t="s">
        <v>127</v>
      </c>
      <c r="K99">
        <v>4</v>
      </c>
      <c r="L99" t="s">
        <v>258</v>
      </c>
      <c r="M99">
        <v>25</v>
      </c>
      <c r="N99" s="40">
        <v>45658</v>
      </c>
      <c r="O99" s="40"/>
      <c r="Q99" t="s">
        <v>127</v>
      </c>
      <c r="R99">
        <v>3</v>
      </c>
    </row>
    <row r="100" spans="1:18" x14ac:dyDescent="0.3">
      <c r="A100" t="str">
        <f>TableSPUPJOURL[[#This Row],[Study Package Code]]</f>
        <v>JOUR5002</v>
      </c>
      <c r="B100" s="2">
        <f>TableSPUPJOURL[[#This Row],[Ver]]</f>
        <v>4</v>
      </c>
      <c r="D100" t="str">
        <f>TableSPUPJOURL[[#This Row],[Structure Line]]</f>
        <v>Graduate Radio News</v>
      </c>
      <c r="E100" s="24">
        <f>TableSPUPJOURL[[#This Row],[Credit Points]]</f>
        <v>25</v>
      </c>
      <c r="F100">
        <v>2</v>
      </c>
      <c r="G100" t="s">
        <v>337</v>
      </c>
      <c r="H100">
        <v>0</v>
      </c>
      <c r="I100" t="s">
        <v>338</v>
      </c>
      <c r="J100" t="s">
        <v>124</v>
      </c>
      <c r="K100">
        <v>4</v>
      </c>
      <c r="L100" t="s">
        <v>255</v>
      </c>
      <c r="M100">
        <v>25</v>
      </c>
      <c r="N100" s="40">
        <v>45658</v>
      </c>
      <c r="O100" s="40"/>
      <c r="Q100" t="s">
        <v>124</v>
      </c>
      <c r="R100">
        <v>3</v>
      </c>
    </row>
    <row r="101" spans="1:18" x14ac:dyDescent="0.3">
      <c r="A101" t="str">
        <f>TableSPUPJOURL[[#This Row],[Study Package Code]]</f>
        <v>JOUR5000</v>
      </c>
      <c r="B101" s="2">
        <f>TableSPUPJOURL[[#This Row],[Ver]]</f>
        <v>4</v>
      </c>
      <c r="D101" t="str">
        <f>TableSPUPJOURL[[#This Row],[Structure Line]]</f>
        <v>Graduate Media Law and Ethics</v>
      </c>
      <c r="E101" s="24">
        <f>TableSPUPJOURL[[#This Row],[Credit Points]]</f>
        <v>25</v>
      </c>
      <c r="F101">
        <v>3</v>
      </c>
      <c r="G101" t="s">
        <v>337</v>
      </c>
      <c r="H101">
        <v>0</v>
      </c>
      <c r="I101" t="s">
        <v>339</v>
      </c>
      <c r="J101" t="s">
        <v>119</v>
      </c>
      <c r="K101">
        <v>4</v>
      </c>
      <c r="L101" t="s">
        <v>252</v>
      </c>
      <c r="M101">
        <v>25</v>
      </c>
      <c r="N101" s="40">
        <v>45658</v>
      </c>
      <c r="O101" s="40"/>
      <c r="Q101" t="s">
        <v>119</v>
      </c>
      <c r="R101">
        <v>3</v>
      </c>
    </row>
    <row r="102" spans="1:18" x14ac:dyDescent="0.3">
      <c r="A102" t="str">
        <f>TableSPUPJOURL[[#This Row],[Study Package Code]]</f>
        <v>JOUR5010</v>
      </c>
      <c r="B102" s="2">
        <f>TableSPUPJOURL[[#This Row],[Ver]]</f>
        <v>4</v>
      </c>
      <c r="D102" t="str">
        <f>TableSPUPJOURL[[#This Row],[Structure Line]]</f>
        <v>Graduate Presentation for Broadcast</v>
      </c>
      <c r="E102" s="24">
        <f>TableSPUPJOURL[[#This Row],[Credit Points]]</f>
        <v>25</v>
      </c>
      <c r="F102">
        <v>4</v>
      </c>
      <c r="G102" t="s">
        <v>337</v>
      </c>
      <c r="H102">
        <v>0</v>
      </c>
      <c r="I102" t="s">
        <v>339</v>
      </c>
      <c r="J102" t="s">
        <v>136</v>
      </c>
      <c r="K102">
        <v>4</v>
      </c>
      <c r="L102" t="s">
        <v>261</v>
      </c>
      <c r="M102">
        <v>25</v>
      </c>
      <c r="N102" s="40">
        <v>45658</v>
      </c>
      <c r="O102" s="40"/>
      <c r="Q102" t="s">
        <v>136</v>
      </c>
      <c r="R102">
        <v>3</v>
      </c>
    </row>
  </sheetData>
  <conditionalFormatting sqref="J3:J32">
    <cfRule type="duplicateValues" dxfId="38" priority="96"/>
  </conditionalFormatting>
  <conditionalFormatting sqref="J35:J38">
    <cfRule type="duplicateValues" dxfId="37" priority="27"/>
  </conditionalFormatting>
  <conditionalFormatting sqref="J41:J46">
    <cfRule type="duplicateValues" dxfId="36" priority="103"/>
  </conditionalFormatting>
  <conditionalFormatting sqref="J49:J55">
    <cfRule type="duplicateValues" dxfId="35" priority="21"/>
  </conditionalFormatting>
  <conditionalFormatting sqref="J58:J64">
    <cfRule type="duplicateValues" dxfId="34" priority="18"/>
  </conditionalFormatting>
  <conditionalFormatting sqref="J67:J72">
    <cfRule type="duplicateValues" dxfId="33" priority="15"/>
  </conditionalFormatting>
  <conditionalFormatting sqref="J75:J82">
    <cfRule type="duplicateValues" dxfId="32" priority="99"/>
  </conditionalFormatting>
  <conditionalFormatting sqref="J85:J88">
    <cfRule type="duplicateValues" dxfId="31" priority="9"/>
  </conditionalFormatting>
  <conditionalFormatting sqref="J91:J96">
    <cfRule type="duplicateValues" dxfId="30" priority="6"/>
  </conditionalFormatting>
  <conditionalFormatting sqref="J99:J102">
    <cfRule type="duplicateValues" dxfId="29" priority="3"/>
  </conditionalFormatting>
  <conditionalFormatting sqref="N3:N32 N41:N46">
    <cfRule type="cellIs" dxfId="28" priority="64" operator="greaterThan">
      <formula>$P$1</formula>
    </cfRule>
  </conditionalFormatting>
  <conditionalFormatting sqref="N35:N38">
    <cfRule type="cellIs" dxfId="27" priority="25" operator="greaterThan">
      <formula>$P$1</formula>
    </cfRule>
  </conditionalFormatting>
  <conditionalFormatting sqref="N49:N55">
    <cfRule type="cellIs" dxfId="26" priority="19" operator="greaterThan">
      <formula>$P$1</formula>
    </cfRule>
  </conditionalFormatting>
  <conditionalFormatting sqref="N58:N64">
    <cfRule type="cellIs" dxfId="25" priority="16" operator="greaterThan">
      <formula>$P$1</formula>
    </cfRule>
  </conditionalFormatting>
  <conditionalFormatting sqref="N67:N72">
    <cfRule type="cellIs" dxfId="24" priority="13" operator="greaterThan">
      <formula>$P$1</formula>
    </cfRule>
  </conditionalFormatting>
  <conditionalFormatting sqref="N75:N82">
    <cfRule type="cellIs" dxfId="23" priority="10" operator="greaterThan">
      <formula>$P$1</formula>
    </cfRule>
  </conditionalFormatting>
  <conditionalFormatting sqref="N85:N88">
    <cfRule type="cellIs" dxfId="22" priority="7" operator="greaterThan">
      <formula>$P$1</formula>
    </cfRule>
  </conditionalFormatting>
  <conditionalFormatting sqref="N91:N96">
    <cfRule type="cellIs" dxfId="21" priority="4" operator="greaterThan">
      <formula>$P$1</formula>
    </cfRule>
  </conditionalFormatting>
  <conditionalFormatting sqref="N99:N102">
    <cfRule type="cellIs" dxfId="20" priority="1" operator="greaterThan">
      <formula>$P$1</formula>
    </cfRule>
  </conditionalFormatting>
  <conditionalFormatting sqref="O3:O32 O41:O46">
    <cfRule type="notContainsBlanks" dxfId="19" priority="65">
      <formula>LEN(TRIM(O3))&gt;0</formula>
    </cfRule>
  </conditionalFormatting>
  <conditionalFormatting sqref="O35:O38">
    <cfRule type="notContainsBlanks" dxfId="18" priority="26">
      <formula>LEN(TRIM(O35))&gt;0</formula>
    </cfRule>
  </conditionalFormatting>
  <conditionalFormatting sqref="O49:O55">
    <cfRule type="notContainsBlanks" dxfId="17" priority="20">
      <formula>LEN(TRIM(O49))&gt;0</formula>
    </cfRule>
  </conditionalFormatting>
  <conditionalFormatting sqref="O58:O64">
    <cfRule type="notContainsBlanks" dxfId="16" priority="17">
      <formula>LEN(TRIM(O58))&gt;0</formula>
    </cfRule>
  </conditionalFormatting>
  <conditionalFormatting sqref="O67:O72">
    <cfRule type="notContainsBlanks" dxfId="15" priority="14">
      <formula>LEN(TRIM(O67))&gt;0</formula>
    </cfRule>
  </conditionalFormatting>
  <conditionalFormatting sqref="O75:O82">
    <cfRule type="notContainsBlanks" dxfId="14" priority="11">
      <formula>LEN(TRIM(O75))&gt;0</formula>
    </cfRule>
  </conditionalFormatting>
  <conditionalFormatting sqref="O85:O88">
    <cfRule type="notContainsBlanks" dxfId="13" priority="8">
      <formula>LEN(TRIM(O85))&gt;0</formula>
    </cfRule>
  </conditionalFormatting>
  <conditionalFormatting sqref="O91:O96">
    <cfRule type="notContainsBlanks" dxfId="12" priority="5">
      <formula>LEN(TRIM(O91))&gt;0</formula>
    </cfRule>
  </conditionalFormatting>
  <conditionalFormatting sqref="O99:O102">
    <cfRule type="notContainsBlanks" dxfId="11" priority="2">
      <formula>LEN(TRIM(O99))&gt;0</formula>
    </cfRule>
  </conditionalFormatting>
  <conditionalFormatting sqref="Q2:R32">
    <cfRule type="expression" dxfId="10" priority="66">
      <formula>Q2&lt;&gt;J2</formula>
    </cfRule>
  </conditionalFormatting>
  <conditionalFormatting sqref="Q34:R38">
    <cfRule type="expression" dxfId="9" priority="62">
      <formula>Q34&lt;&gt;J34</formula>
    </cfRule>
  </conditionalFormatting>
  <conditionalFormatting sqref="Q40:R46">
    <cfRule type="expression" dxfId="8" priority="45">
      <formula>Q40&lt;&gt;J40</formula>
    </cfRule>
  </conditionalFormatting>
  <conditionalFormatting sqref="Q45:R46">
    <cfRule type="expression" dxfId="7" priority="105">
      <formula>Q45&lt;&gt;J43</formula>
    </cfRule>
  </conditionalFormatting>
  <conditionalFormatting sqref="Q48:R55">
    <cfRule type="expression" dxfId="6" priority="42">
      <formula>Q48&lt;&gt;J48</formula>
    </cfRule>
  </conditionalFormatting>
  <conditionalFormatting sqref="Q57:R64">
    <cfRule type="expression" dxfId="5" priority="40">
      <formula>Q57&lt;&gt;J57</formula>
    </cfRule>
  </conditionalFormatting>
  <conditionalFormatting sqref="Q66:R72">
    <cfRule type="expression" dxfId="4" priority="38">
      <formula>Q66&lt;&gt;J66</formula>
    </cfRule>
  </conditionalFormatting>
  <conditionalFormatting sqref="Q74:R82">
    <cfRule type="expression" dxfId="3" priority="37">
      <formula>Q74&lt;&gt;J74</formula>
    </cfRule>
  </conditionalFormatting>
  <conditionalFormatting sqref="Q84:R88">
    <cfRule type="expression" dxfId="2" priority="34">
      <formula>Q84&lt;&gt;J84</formula>
    </cfRule>
  </conditionalFormatting>
  <conditionalFormatting sqref="Q90:R96">
    <cfRule type="expression" dxfId="1" priority="32">
      <formula>Q90&lt;&gt;J90</formula>
    </cfRule>
  </conditionalFormatting>
  <conditionalFormatting sqref="Q98:R102">
    <cfRule type="expression" dxfId="0" priority="29">
      <formula>Q98&lt;&gt;J98</formula>
    </cfRule>
  </conditionalFormatting>
  <pageMargins left="0.7" right="0.7" top="0.75" bottom="0.75" header="0.3" footer="0.3"/>
  <pageSetup paperSize="9" orientation="portrait"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5"/>
  <sheetViews>
    <sheetView workbookViewId="0">
      <selection activeCell="H46" sqref="H46"/>
    </sheetView>
  </sheetViews>
  <sheetFormatPr defaultRowHeight="15.6" x14ac:dyDescent="0.3"/>
  <cols>
    <col min="1" max="1" width="39.59765625" bestFit="1" customWidth="1"/>
    <col min="2" max="5" width="5.3984375" bestFit="1" customWidth="1"/>
    <col min="6" max="6" width="16.09765625" bestFit="1" customWidth="1"/>
    <col min="7" max="7" width="10.3984375" bestFit="1" customWidth="1"/>
    <col min="8" max="8" width="9.8984375" bestFit="1" customWidth="1"/>
    <col min="9" max="12" width="1.8984375" bestFit="1" customWidth="1"/>
  </cols>
  <sheetData>
    <row r="1" spans="1:12" x14ac:dyDescent="0.3">
      <c r="F1" s="38" t="s">
        <v>325</v>
      </c>
      <c r="G1" s="48">
        <v>45631</v>
      </c>
    </row>
    <row r="2" spans="1:12" ht="75" x14ac:dyDescent="0.3">
      <c r="A2" t="s">
        <v>347</v>
      </c>
      <c r="B2" s="65" t="s">
        <v>348</v>
      </c>
      <c r="C2" s="65" t="s">
        <v>349</v>
      </c>
      <c r="D2" s="65" t="s">
        <v>350</v>
      </c>
      <c r="E2" s="65" t="s">
        <v>351</v>
      </c>
    </row>
    <row r="3" spans="1:12" x14ac:dyDescent="0.3">
      <c r="A3" t="s">
        <v>63</v>
      </c>
      <c r="B3" s="2">
        <v>1</v>
      </c>
      <c r="C3" s="2">
        <v>1</v>
      </c>
      <c r="D3" s="2">
        <v>1</v>
      </c>
      <c r="E3" s="2">
        <v>1</v>
      </c>
      <c r="H3" t="s">
        <v>63</v>
      </c>
      <c r="I3">
        <v>1</v>
      </c>
      <c r="J3">
        <v>1</v>
      </c>
      <c r="K3">
        <v>1</v>
      </c>
      <c r="L3">
        <v>1</v>
      </c>
    </row>
    <row r="4" spans="1:12" x14ac:dyDescent="0.3">
      <c r="A4" t="s">
        <v>62</v>
      </c>
      <c r="B4" s="2">
        <v>2</v>
      </c>
      <c r="C4" s="2">
        <v>2</v>
      </c>
      <c r="D4" s="2">
        <v>2</v>
      </c>
      <c r="E4" s="2">
        <v>2</v>
      </c>
      <c r="H4" t="s">
        <v>62</v>
      </c>
      <c r="I4">
        <v>2</v>
      </c>
      <c r="J4">
        <v>2</v>
      </c>
      <c r="K4">
        <v>2</v>
      </c>
      <c r="L4">
        <v>2</v>
      </c>
    </row>
    <row r="5" spans="1:12" x14ac:dyDescent="0.3">
      <c r="A5" t="s">
        <v>53</v>
      </c>
      <c r="B5" s="2">
        <v>2</v>
      </c>
      <c r="C5" s="2">
        <v>1</v>
      </c>
      <c r="D5" s="2">
        <v>2</v>
      </c>
      <c r="E5" s="2">
        <v>1</v>
      </c>
      <c r="H5" t="s">
        <v>53</v>
      </c>
      <c r="I5">
        <v>1</v>
      </c>
      <c r="J5">
        <v>1</v>
      </c>
      <c r="K5">
        <v>2</v>
      </c>
      <c r="L5">
        <v>1</v>
      </c>
    </row>
    <row r="6" spans="1:12" x14ac:dyDescent="0.3">
      <c r="A6" t="s">
        <v>81</v>
      </c>
      <c r="B6" s="2"/>
      <c r="C6" s="2"/>
      <c r="D6" s="2">
        <v>1</v>
      </c>
      <c r="E6" s="2">
        <v>1</v>
      </c>
      <c r="H6" t="s">
        <v>81</v>
      </c>
      <c r="K6">
        <v>1</v>
      </c>
      <c r="L6">
        <v>1</v>
      </c>
    </row>
    <row r="7" spans="1:12" x14ac:dyDescent="0.3">
      <c r="A7" t="s">
        <v>79</v>
      </c>
      <c r="B7" s="2">
        <v>1</v>
      </c>
      <c r="C7" s="2">
        <v>1</v>
      </c>
      <c r="D7" s="2"/>
      <c r="E7" s="2"/>
      <c r="H7" t="s">
        <v>79</v>
      </c>
      <c r="I7">
        <v>1</v>
      </c>
      <c r="J7">
        <v>1</v>
      </c>
    </row>
    <row r="8" spans="1:12" x14ac:dyDescent="0.3">
      <c r="A8" t="s">
        <v>98</v>
      </c>
      <c r="B8" s="2">
        <v>1</v>
      </c>
      <c r="C8" s="2">
        <v>1</v>
      </c>
      <c r="D8" s="2">
        <v>1</v>
      </c>
      <c r="E8" s="2">
        <v>1</v>
      </c>
      <c r="H8" t="s">
        <v>98</v>
      </c>
      <c r="I8">
        <v>1</v>
      </c>
      <c r="J8">
        <v>1</v>
      </c>
      <c r="K8">
        <v>1</v>
      </c>
      <c r="L8">
        <v>1</v>
      </c>
    </row>
    <row r="9" spans="1:12" x14ac:dyDescent="0.3">
      <c r="A9" t="s">
        <v>116</v>
      </c>
      <c r="B9" s="2">
        <v>1</v>
      </c>
      <c r="C9" s="2"/>
      <c r="D9" s="2">
        <v>1</v>
      </c>
      <c r="E9" s="2"/>
      <c r="H9" t="s">
        <v>116</v>
      </c>
      <c r="I9">
        <v>1</v>
      </c>
      <c r="K9">
        <v>1</v>
      </c>
    </row>
    <row r="10" spans="1:12" x14ac:dyDescent="0.3">
      <c r="A10" t="s">
        <v>132</v>
      </c>
      <c r="B10" s="2">
        <v>1</v>
      </c>
      <c r="C10" s="2"/>
      <c r="D10" s="2">
        <v>1</v>
      </c>
      <c r="E10" s="2"/>
      <c r="H10" t="s">
        <v>132</v>
      </c>
      <c r="I10">
        <v>1</v>
      </c>
      <c r="K10">
        <v>1</v>
      </c>
    </row>
    <row r="11" spans="1:12" x14ac:dyDescent="0.3">
      <c r="A11" t="s">
        <v>123</v>
      </c>
      <c r="B11" s="2">
        <v>1</v>
      </c>
      <c r="C11" s="2"/>
      <c r="D11" s="2">
        <v>1</v>
      </c>
      <c r="E11" s="2"/>
      <c r="H11" t="s">
        <v>123</v>
      </c>
      <c r="I11">
        <v>1</v>
      </c>
      <c r="K11">
        <v>1</v>
      </c>
    </row>
    <row r="12" spans="1:12" x14ac:dyDescent="0.3">
      <c r="A12" t="s">
        <v>176</v>
      </c>
      <c r="B12" s="2">
        <v>1</v>
      </c>
      <c r="C12" s="2"/>
      <c r="D12" s="2">
        <v>1</v>
      </c>
      <c r="E12" s="2"/>
      <c r="H12" t="s">
        <v>176</v>
      </c>
      <c r="I12">
        <v>1</v>
      </c>
      <c r="K12">
        <v>1</v>
      </c>
    </row>
    <row r="13" spans="1:12" x14ac:dyDescent="0.3">
      <c r="A13" t="s">
        <v>142</v>
      </c>
      <c r="B13" s="2">
        <v>1</v>
      </c>
      <c r="C13" s="2"/>
      <c r="D13" s="2">
        <v>1</v>
      </c>
      <c r="E13" s="2"/>
      <c r="H13" t="s">
        <v>142</v>
      </c>
      <c r="I13">
        <v>1</v>
      </c>
      <c r="K13">
        <v>1</v>
      </c>
    </row>
    <row r="14" spans="1:12" x14ac:dyDescent="0.3">
      <c r="A14" t="s">
        <v>171</v>
      </c>
      <c r="B14" s="2">
        <v>1</v>
      </c>
      <c r="C14" s="2"/>
      <c r="D14" s="2">
        <v>1</v>
      </c>
      <c r="E14" s="2"/>
      <c r="H14" t="s">
        <v>171</v>
      </c>
      <c r="I14">
        <v>1</v>
      </c>
      <c r="K14">
        <v>1</v>
      </c>
    </row>
    <row r="15" spans="1:12" x14ac:dyDescent="0.3">
      <c r="A15" t="s">
        <v>182</v>
      </c>
      <c r="B15" s="2">
        <v>1</v>
      </c>
      <c r="C15" s="2"/>
      <c r="D15" s="2">
        <v>1</v>
      </c>
      <c r="E15" s="2"/>
      <c r="H15" t="s">
        <v>182</v>
      </c>
      <c r="I15">
        <v>1</v>
      </c>
      <c r="K15">
        <v>1</v>
      </c>
    </row>
    <row r="16" spans="1:12" x14ac:dyDescent="0.3">
      <c r="A16" t="s">
        <v>141</v>
      </c>
      <c r="B16" s="2">
        <v>1</v>
      </c>
      <c r="C16" s="2"/>
      <c r="D16" s="2"/>
      <c r="E16" s="2"/>
      <c r="H16" t="s">
        <v>141</v>
      </c>
      <c r="I16">
        <v>1</v>
      </c>
    </row>
    <row r="17" spans="1:11" x14ac:dyDescent="0.3">
      <c r="A17" t="s">
        <v>186</v>
      </c>
      <c r="B17" s="2"/>
      <c r="C17" s="2"/>
      <c r="D17" s="2">
        <v>1</v>
      </c>
      <c r="E17" s="2"/>
      <c r="H17" t="s">
        <v>186</v>
      </c>
      <c r="K17">
        <v>1</v>
      </c>
    </row>
    <row r="18" spans="1:11" x14ac:dyDescent="0.3">
      <c r="A18" t="s">
        <v>144</v>
      </c>
      <c r="B18" s="2">
        <v>1</v>
      </c>
      <c r="C18" s="2"/>
      <c r="D18" s="2">
        <v>1</v>
      </c>
      <c r="E18" s="2"/>
      <c r="H18" t="s">
        <v>144</v>
      </c>
      <c r="I18">
        <v>1</v>
      </c>
      <c r="K18">
        <v>1</v>
      </c>
    </row>
    <row r="19" spans="1:11" x14ac:dyDescent="0.3">
      <c r="A19" t="s">
        <v>152</v>
      </c>
      <c r="B19" s="2">
        <v>1</v>
      </c>
      <c r="C19" s="2"/>
      <c r="D19" s="2">
        <v>1</v>
      </c>
      <c r="E19" s="2"/>
      <c r="H19" t="s">
        <v>152</v>
      </c>
      <c r="I19">
        <v>1</v>
      </c>
      <c r="K19">
        <v>1</v>
      </c>
    </row>
    <row r="20" spans="1:11" x14ac:dyDescent="0.3">
      <c r="A20" t="s">
        <v>134</v>
      </c>
      <c r="B20" s="2">
        <v>1</v>
      </c>
      <c r="C20" s="2"/>
      <c r="D20" s="2">
        <v>1</v>
      </c>
      <c r="E20" s="2"/>
      <c r="H20" t="s">
        <v>134</v>
      </c>
      <c r="I20">
        <v>1</v>
      </c>
      <c r="K20">
        <v>1</v>
      </c>
    </row>
    <row r="21" spans="1:11" x14ac:dyDescent="0.3">
      <c r="A21" t="s">
        <v>177</v>
      </c>
      <c r="B21" s="2">
        <v>1</v>
      </c>
      <c r="C21" s="2"/>
      <c r="D21" s="2">
        <v>1</v>
      </c>
      <c r="E21" s="2"/>
      <c r="H21" t="s">
        <v>177</v>
      </c>
      <c r="I21">
        <v>1</v>
      </c>
      <c r="K21">
        <v>1</v>
      </c>
    </row>
    <row r="22" spans="1:11" x14ac:dyDescent="0.3">
      <c r="A22" t="s">
        <v>159</v>
      </c>
      <c r="B22" s="2"/>
      <c r="C22" s="2"/>
      <c r="D22" s="2">
        <v>1</v>
      </c>
      <c r="E22" s="2"/>
      <c r="H22" t="s">
        <v>159</v>
      </c>
      <c r="K22">
        <v>1</v>
      </c>
    </row>
    <row r="23" spans="1:11" x14ac:dyDescent="0.3">
      <c r="A23" t="s">
        <v>151</v>
      </c>
      <c r="B23" s="2">
        <v>1</v>
      </c>
      <c r="C23" s="2"/>
      <c r="D23" s="2"/>
      <c r="E23" s="2"/>
      <c r="H23" t="s">
        <v>151</v>
      </c>
      <c r="I23">
        <v>1</v>
      </c>
    </row>
    <row r="24" spans="1:11" x14ac:dyDescent="0.3">
      <c r="A24" t="s">
        <v>114</v>
      </c>
      <c r="B24" s="2">
        <v>1</v>
      </c>
      <c r="C24" s="2"/>
      <c r="D24" s="2">
        <v>1</v>
      </c>
      <c r="E24" s="2"/>
      <c r="H24" t="s">
        <v>352</v>
      </c>
      <c r="I24">
        <v>1</v>
      </c>
      <c r="K24">
        <v>1</v>
      </c>
    </row>
    <row r="25" spans="1:11" x14ac:dyDescent="0.3">
      <c r="A25" t="s">
        <v>131</v>
      </c>
      <c r="B25" s="2"/>
      <c r="C25" s="2"/>
      <c r="D25" s="2">
        <v>1</v>
      </c>
      <c r="E25" s="2"/>
      <c r="H25" t="s">
        <v>344</v>
      </c>
      <c r="I25">
        <v>1</v>
      </c>
      <c r="K25">
        <v>1</v>
      </c>
    </row>
    <row r="26" spans="1:11" x14ac:dyDescent="0.3">
      <c r="A26" t="s">
        <v>139</v>
      </c>
      <c r="B26" s="2">
        <v>1</v>
      </c>
      <c r="C26" s="2"/>
      <c r="D26" s="2"/>
      <c r="E26" s="2"/>
      <c r="H26" t="s">
        <v>139</v>
      </c>
      <c r="I26">
        <v>1</v>
      </c>
    </row>
    <row r="27" spans="1:11" x14ac:dyDescent="0.3">
      <c r="A27" t="s">
        <v>149</v>
      </c>
      <c r="B27" s="2">
        <v>1</v>
      </c>
      <c r="C27" s="2"/>
      <c r="D27" s="2">
        <v>1</v>
      </c>
      <c r="E27" s="2"/>
      <c r="H27" t="s">
        <v>149</v>
      </c>
      <c r="I27">
        <v>1</v>
      </c>
      <c r="K27">
        <v>1</v>
      </c>
    </row>
    <row r="28" spans="1:11" x14ac:dyDescent="0.3">
      <c r="A28" t="s">
        <v>157</v>
      </c>
      <c r="B28" s="2">
        <v>1</v>
      </c>
      <c r="C28" s="2"/>
      <c r="D28" s="2"/>
      <c r="E28" s="2"/>
      <c r="H28" t="s">
        <v>353</v>
      </c>
      <c r="K28">
        <v>1</v>
      </c>
    </row>
    <row r="29" spans="1:11" x14ac:dyDescent="0.3">
      <c r="A29" t="s">
        <v>119</v>
      </c>
      <c r="B29" s="2">
        <v>1</v>
      </c>
      <c r="C29" s="2"/>
      <c r="D29" s="2"/>
      <c r="E29" s="2"/>
      <c r="H29" t="s">
        <v>119</v>
      </c>
      <c r="K29">
        <v>1</v>
      </c>
    </row>
    <row r="30" spans="1:11" x14ac:dyDescent="0.3">
      <c r="A30" t="s">
        <v>124</v>
      </c>
      <c r="B30" s="2">
        <v>1</v>
      </c>
      <c r="C30" s="2"/>
      <c r="D30" s="2"/>
      <c r="E30" s="2"/>
      <c r="H30" t="s">
        <v>124</v>
      </c>
      <c r="I30">
        <v>1</v>
      </c>
    </row>
    <row r="31" spans="1:11" x14ac:dyDescent="0.3">
      <c r="A31" t="s">
        <v>127</v>
      </c>
      <c r="B31" s="2"/>
      <c r="C31" s="2"/>
      <c r="D31" s="2">
        <v>1</v>
      </c>
      <c r="E31" s="2"/>
      <c r="H31" t="s">
        <v>127</v>
      </c>
      <c r="I31">
        <v>1</v>
      </c>
      <c r="K31">
        <v>1</v>
      </c>
    </row>
    <row r="32" spans="1:11" x14ac:dyDescent="0.3">
      <c r="A32" t="s">
        <v>136</v>
      </c>
      <c r="B32" s="2"/>
      <c r="C32" s="2"/>
      <c r="D32" s="2">
        <v>1</v>
      </c>
      <c r="E32" s="2"/>
      <c r="H32" t="s">
        <v>136</v>
      </c>
      <c r="K32">
        <v>1</v>
      </c>
    </row>
    <row r="33" spans="1:12" x14ac:dyDescent="0.3">
      <c r="A33" t="s">
        <v>117</v>
      </c>
      <c r="B33" s="2">
        <v>1</v>
      </c>
      <c r="C33" s="2">
        <v>1</v>
      </c>
      <c r="D33" s="2">
        <v>1</v>
      </c>
      <c r="E33" s="2">
        <v>1</v>
      </c>
      <c r="H33" t="s">
        <v>117</v>
      </c>
      <c r="I33">
        <v>1</v>
      </c>
      <c r="J33">
        <v>1</v>
      </c>
      <c r="K33">
        <v>1</v>
      </c>
      <c r="L33">
        <v>1</v>
      </c>
    </row>
    <row r="34" spans="1:12" x14ac:dyDescent="0.3">
      <c r="A34" t="s">
        <v>133</v>
      </c>
      <c r="B34" s="2">
        <v>1</v>
      </c>
      <c r="C34" s="2">
        <v>1</v>
      </c>
      <c r="D34" s="2"/>
      <c r="E34" s="2"/>
      <c r="H34" t="s">
        <v>133</v>
      </c>
      <c r="I34">
        <v>1</v>
      </c>
      <c r="J34">
        <v>1</v>
      </c>
      <c r="K34">
        <v>1</v>
      </c>
    </row>
    <row r="35" spans="1:12" x14ac:dyDescent="0.3">
      <c r="A35" t="s">
        <v>166</v>
      </c>
      <c r="B35" s="2"/>
      <c r="C35" s="2"/>
      <c r="D35" s="2">
        <v>1</v>
      </c>
      <c r="E35" s="2"/>
      <c r="H35" t="s">
        <v>166</v>
      </c>
      <c r="K35">
        <v>1</v>
      </c>
    </row>
    <row r="36" spans="1:12" x14ac:dyDescent="0.3">
      <c r="A36" t="s">
        <v>178</v>
      </c>
      <c r="B36" s="2">
        <v>1</v>
      </c>
      <c r="C36" s="2">
        <v>1</v>
      </c>
      <c r="D36" s="2">
        <v>1</v>
      </c>
      <c r="E36" s="2">
        <v>1</v>
      </c>
      <c r="H36" t="s">
        <v>354</v>
      </c>
      <c r="I36">
        <v>1</v>
      </c>
      <c r="J36">
        <v>1</v>
      </c>
      <c r="K36">
        <v>1</v>
      </c>
      <c r="L36">
        <v>1</v>
      </c>
    </row>
    <row r="37" spans="1:12" x14ac:dyDescent="0.3">
      <c r="A37" t="s">
        <v>143</v>
      </c>
      <c r="B37" s="2">
        <v>1</v>
      </c>
      <c r="C37" s="2">
        <v>1</v>
      </c>
      <c r="D37" s="2">
        <v>1</v>
      </c>
      <c r="E37" s="2">
        <v>1</v>
      </c>
      <c r="H37" t="s">
        <v>178</v>
      </c>
      <c r="I37">
        <v>1</v>
      </c>
      <c r="J37">
        <v>1</v>
      </c>
      <c r="K37">
        <v>1</v>
      </c>
      <c r="L37">
        <v>1</v>
      </c>
    </row>
    <row r="38" spans="1:12" x14ac:dyDescent="0.3">
      <c r="A38" t="s">
        <v>183</v>
      </c>
      <c r="B38" s="2">
        <v>1</v>
      </c>
      <c r="C38" s="2">
        <v>1</v>
      </c>
      <c r="D38" s="2">
        <v>1</v>
      </c>
      <c r="E38" s="2">
        <v>1</v>
      </c>
      <c r="H38" t="s">
        <v>355</v>
      </c>
      <c r="I38">
        <v>1</v>
      </c>
      <c r="J38">
        <v>1</v>
      </c>
      <c r="K38">
        <v>1</v>
      </c>
      <c r="L38">
        <v>1</v>
      </c>
    </row>
    <row r="39" spans="1:12" x14ac:dyDescent="0.3">
      <c r="A39" t="s">
        <v>115</v>
      </c>
      <c r="B39" s="2"/>
      <c r="C39" s="2"/>
      <c r="D39" s="2">
        <v>1</v>
      </c>
      <c r="E39" s="2">
        <v>1</v>
      </c>
      <c r="H39" t="s">
        <v>143</v>
      </c>
      <c r="I39">
        <v>1</v>
      </c>
      <c r="J39">
        <v>1</v>
      </c>
      <c r="K39">
        <v>1</v>
      </c>
      <c r="L39">
        <v>1</v>
      </c>
    </row>
    <row r="40" spans="1:12" x14ac:dyDescent="0.3">
      <c r="A40" t="s">
        <v>55</v>
      </c>
      <c r="B40" s="2">
        <v>1</v>
      </c>
      <c r="C40" s="2">
        <v>1</v>
      </c>
      <c r="D40" s="2">
        <v>1</v>
      </c>
      <c r="E40" s="2">
        <v>1</v>
      </c>
      <c r="H40" t="s">
        <v>356</v>
      </c>
      <c r="I40">
        <v>1</v>
      </c>
      <c r="J40">
        <v>1</v>
      </c>
      <c r="K40">
        <v>1</v>
      </c>
      <c r="L40">
        <v>1</v>
      </c>
    </row>
    <row r="41" spans="1:12" x14ac:dyDescent="0.3">
      <c r="A41" t="s">
        <v>122</v>
      </c>
      <c r="B41" s="2">
        <v>1</v>
      </c>
      <c r="C41" s="2">
        <v>1</v>
      </c>
      <c r="D41" s="2"/>
      <c r="E41" s="2"/>
      <c r="H41" t="s">
        <v>357</v>
      </c>
      <c r="I41">
        <v>1</v>
      </c>
      <c r="J41">
        <v>1</v>
      </c>
      <c r="K41">
        <v>1</v>
      </c>
      <c r="L41">
        <v>1</v>
      </c>
    </row>
    <row r="42" spans="1:12" x14ac:dyDescent="0.3">
      <c r="A42" t="s">
        <v>126</v>
      </c>
      <c r="B42" s="2"/>
      <c r="C42" s="2"/>
      <c r="D42" s="2">
        <v>1</v>
      </c>
      <c r="E42" s="2">
        <v>1</v>
      </c>
      <c r="H42" t="s">
        <v>358</v>
      </c>
      <c r="I42">
        <v>1</v>
      </c>
      <c r="J42">
        <v>1</v>
      </c>
      <c r="K42">
        <v>1</v>
      </c>
      <c r="L42">
        <v>1</v>
      </c>
    </row>
    <row r="43" spans="1:12" x14ac:dyDescent="0.3">
      <c r="A43" t="s">
        <v>150</v>
      </c>
      <c r="B43" s="2">
        <v>1</v>
      </c>
      <c r="C43" s="2">
        <v>1</v>
      </c>
      <c r="D43" s="2"/>
      <c r="E43" s="2"/>
      <c r="H43" t="s">
        <v>183</v>
      </c>
      <c r="I43">
        <v>1</v>
      </c>
      <c r="J43">
        <v>1</v>
      </c>
      <c r="K43">
        <v>1</v>
      </c>
      <c r="L43">
        <v>1</v>
      </c>
    </row>
    <row r="44" spans="1:12" x14ac:dyDescent="0.3">
      <c r="A44" t="s">
        <v>158</v>
      </c>
      <c r="B44" s="2"/>
      <c r="C44" s="2"/>
      <c r="D44" s="2">
        <v>1</v>
      </c>
      <c r="E44" s="2">
        <v>1</v>
      </c>
      <c r="H44" t="s">
        <v>115</v>
      </c>
      <c r="K44">
        <v>1</v>
      </c>
      <c r="L44">
        <v>1</v>
      </c>
    </row>
    <row r="45" spans="1:12" x14ac:dyDescent="0.3">
      <c r="A45" t="s">
        <v>164</v>
      </c>
      <c r="B45" s="2">
        <v>1</v>
      </c>
      <c r="C45" s="2">
        <v>1</v>
      </c>
      <c r="D45" s="2"/>
      <c r="E45" s="2"/>
      <c r="H45" t="s">
        <v>55</v>
      </c>
      <c r="I45">
        <v>1</v>
      </c>
      <c r="J45">
        <v>1</v>
      </c>
      <c r="K45">
        <v>1</v>
      </c>
      <c r="L45">
        <v>1</v>
      </c>
    </row>
    <row r="46" spans="1:12" x14ac:dyDescent="0.3">
      <c r="A46" t="s">
        <v>135</v>
      </c>
      <c r="B46" s="2">
        <v>1</v>
      </c>
      <c r="C46" s="2"/>
      <c r="D46" s="2">
        <v>1</v>
      </c>
      <c r="E46" s="2"/>
      <c r="H46" t="s">
        <v>122</v>
      </c>
      <c r="I46">
        <v>1</v>
      </c>
      <c r="J46">
        <v>1</v>
      </c>
    </row>
    <row r="47" spans="1:12" x14ac:dyDescent="0.3">
      <c r="A47" t="s">
        <v>145</v>
      </c>
      <c r="B47" s="2">
        <v>1</v>
      </c>
      <c r="C47" s="2"/>
      <c r="D47" s="2">
        <v>1</v>
      </c>
      <c r="E47" s="2"/>
      <c r="H47" t="s">
        <v>126</v>
      </c>
      <c r="K47">
        <v>1</v>
      </c>
      <c r="L47">
        <v>1</v>
      </c>
    </row>
    <row r="48" spans="1:12" x14ac:dyDescent="0.3">
      <c r="A48" t="s">
        <v>118</v>
      </c>
      <c r="B48" s="2">
        <v>1</v>
      </c>
      <c r="C48" s="2"/>
      <c r="D48" s="2">
        <v>1</v>
      </c>
      <c r="E48" s="2"/>
      <c r="H48" t="s">
        <v>150</v>
      </c>
      <c r="I48">
        <v>1</v>
      </c>
      <c r="J48">
        <v>1</v>
      </c>
    </row>
    <row r="49" spans="1:12" x14ac:dyDescent="0.3">
      <c r="A49" t="s">
        <v>173</v>
      </c>
      <c r="B49" s="2">
        <v>1</v>
      </c>
      <c r="C49" s="2"/>
      <c r="D49" s="2"/>
      <c r="E49" s="2"/>
      <c r="H49" t="s">
        <v>158</v>
      </c>
      <c r="K49">
        <v>1</v>
      </c>
      <c r="L49">
        <v>1</v>
      </c>
    </row>
    <row r="50" spans="1:12" x14ac:dyDescent="0.3">
      <c r="A50" t="s">
        <v>154</v>
      </c>
      <c r="B50" s="2"/>
      <c r="C50" s="2"/>
      <c r="D50" s="2">
        <v>1</v>
      </c>
      <c r="E50" s="2"/>
      <c r="H50" t="s">
        <v>164</v>
      </c>
      <c r="I50">
        <v>1</v>
      </c>
      <c r="J50">
        <v>1</v>
      </c>
    </row>
    <row r="51" spans="1:12" x14ac:dyDescent="0.3">
      <c r="A51" t="s">
        <v>179</v>
      </c>
      <c r="B51" s="2">
        <v>1</v>
      </c>
      <c r="C51" s="2"/>
      <c r="D51" s="2"/>
      <c r="E51" s="2"/>
      <c r="H51" t="s">
        <v>135</v>
      </c>
      <c r="I51">
        <v>1</v>
      </c>
      <c r="K51">
        <v>1</v>
      </c>
    </row>
    <row r="52" spans="1:12" x14ac:dyDescent="0.3">
      <c r="A52" t="s">
        <v>196</v>
      </c>
      <c r="B52" s="2"/>
      <c r="C52" s="2"/>
      <c r="D52" s="2">
        <v>1</v>
      </c>
      <c r="E52" s="2"/>
      <c r="H52" t="s">
        <v>145</v>
      </c>
      <c r="I52">
        <v>1</v>
      </c>
      <c r="K52">
        <v>1</v>
      </c>
    </row>
    <row r="53" spans="1:12" x14ac:dyDescent="0.3">
      <c r="A53" t="s">
        <v>130</v>
      </c>
      <c r="B53" s="2">
        <v>1</v>
      </c>
      <c r="C53" s="2"/>
      <c r="D53" s="2"/>
      <c r="E53" s="2"/>
      <c r="H53" t="s">
        <v>118</v>
      </c>
      <c r="I53">
        <v>1</v>
      </c>
      <c r="K53">
        <v>1</v>
      </c>
    </row>
    <row r="54" spans="1:12" x14ac:dyDescent="0.3">
      <c r="A54" t="s">
        <v>113</v>
      </c>
      <c r="B54" s="2">
        <v>1</v>
      </c>
      <c r="C54" s="2"/>
      <c r="D54" s="2">
        <v>1</v>
      </c>
      <c r="E54" s="2"/>
      <c r="H54" t="s">
        <v>173</v>
      </c>
      <c r="I54">
        <v>1</v>
      </c>
    </row>
    <row r="55" spans="1:12" x14ac:dyDescent="0.3">
      <c r="A55" t="s">
        <v>138</v>
      </c>
      <c r="B55" s="2">
        <v>1</v>
      </c>
      <c r="C55" s="2"/>
      <c r="D55" s="2">
        <v>1</v>
      </c>
      <c r="E55" s="2"/>
      <c r="H55" t="s">
        <v>154</v>
      </c>
      <c r="K55">
        <v>1</v>
      </c>
    </row>
    <row r="56" spans="1:12" x14ac:dyDescent="0.3">
      <c r="A56" t="s">
        <v>148</v>
      </c>
      <c r="B56" s="2"/>
      <c r="C56" s="2"/>
      <c r="D56" s="2">
        <v>1</v>
      </c>
      <c r="E56" s="2"/>
      <c r="H56" t="s">
        <v>179</v>
      </c>
      <c r="I56">
        <v>1</v>
      </c>
    </row>
    <row r="57" spans="1:12" x14ac:dyDescent="0.3">
      <c r="A57" t="s">
        <v>156</v>
      </c>
      <c r="B57" s="2">
        <v>1</v>
      </c>
      <c r="C57" s="2"/>
      <c r="D57" s="2"/>
      <c r="E57" s="2"/>
      <c r="H57" t="s">
        <v>196</v>
      </c>
      <c r="K57">
        <v>1</v>
      </c>
    </row>
    <row r="58" spans="1:12" x14ac:dyDescent="0.3">
      <c r="A58" t="s">
        <v>172</v>
      </c>
      <c r="B58" s="2"/>
      <c r="C58" s="2"/>
      <c r="D58" s="2">
        <v>1</v>
      </c>
      <c r="E58" s="2"/>
      <c r="H58" t="s">
        <v>130</v>
      </c>
      <c r="I58">
        <v>1</v>
      </c>
    </row>
    <row r="59" spans="1:12" x14ac:dyDescent="0.3">
      <c r="A59" t="s">
        <v>153</v>
      </c>
      <c r="B59" s="2">
        <v>1</v>
      </c>
      <c r="C59" s="2"/>
      <c r="D59" s="2"/>
      <c r="E59" s="2"/>
      <c r="H59" t="s">
        <v>113</v>
      </c>
      <c r="I59">
        <v>1</v>
      </c>
      <c r="K59">
        <v>1</v>
      </c>
    </row>
    <row r="60" spans="1:12" x14ac:dyDescent="0.3">
      <c r="A60" t="s">
        <v>161</v>
      </c>
      <c r="B60" s="2"/>
      <c r="C60" s="2"/>
      <c r="D60" s="2">
        <v>1</v>
      </c>
      <c r="E60" s="2"/>
      <c r="H60" t="s">
        <v>138</v>
      </c>
      <c r="I60">
        <v>1</v>
      </c>
      <c r="K60">
        <v>1</v>
      </c>
    </row>
    <row r="61" spans="1:12" x14ac:dyDescent="0.3">
      <c r="H61" t="s">
        <v>148</v>
      </c>
      <c r="K61">
        <v>1</v>
      </c>
    </row>
    <row r="62" spans="1:12" x14ac:dyDescent="0.3">
      <c r="H62" t="s">
        <v>156</v>
      </c>
      <c r="I62">
        <v>1</v>
      </c>
    </row>
    <row r="63" spans="1:12" x14ac:dyDescent="0.3">
      <c r="H63" t="s">
        <v>172</v>
      </c>
      <c r="K63">
        <v>1</v>
      </c>
    </row>
    <row r="64" spans="1:12" x14ac:dyDescent="0.3">
      <c r="H64" t="s">
        <v>153</v>
      </c>
      <c r="I64">
        <v>1</v>
      </c>
    </row>
    <row r="65" spans="8:11" x14ac:dyDescent="0.3">
      <c r="H65" t="s">
        <v>161</v>
      </c>
      <c r="K65">
        <v>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710b5fa5-af83-4923-9b32-0a1622da131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1FD9A3B18F6A4F962F43D3E5842A09" ma:contentTypeVersion="15" ma:contentTypeDescription="Create a new document." ma:contentTypeScope="" ma:versionID="63800a0cef20e4f4c0aa0eb5c6e741ec">
  <xsd:schema xmlns:xsd="http://www.w3.org/2001/XMLSchema" xmlns:xs="http://www.w3.org/2001/XMLSchema" xmlns:p="http://schemas.microsoft.com/office/2006/metadata/properties" xmlns:ns2="710b5fa5-af83-4923-9b32-0a1622da1318" xmlns:ns3="ba69df13-0c3c-4942-8695-6ca01564010c" targetNamespace="http://schemas.microsoft.com/office/2006/metadata/properties" ma:root="true" ma:fieldsID="b9ea4800079b2ffc8b367c7d1f75e235" ns2:_="" ns3:_="">
    <xsd:import namespace="710b5fa5-af83-4923-9b32-0a1622da1318"/>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b5fa5-af83-4923-9b32-0a1622da1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schemas.microsoft.com/office/2006/metadata/properties"/>
    <ds:schemaRef ds:uri="710b5fa5-af83-4923-9b32-0a1622da1318"/>
    <ds:schemaRef ds:uri="http://purl.org/dc/elements/1.1/"/>
    <ds:schemaRef ds:uri="http://purl.org/dc/dcmitype/"/>
    <ds:schemaRef ds:uri="ba69df13-0c3c-4942-8695-6ca01564010c"/>
    <ds:schemaRef ds:uri="http://www.w3.org/XML/1998/namespace"/>
  </ds:schemaRefs>
</ds:datastoreItem>
</file>

<file path=customXml/itemProps3.xml><?xml version="1.0" encoding="utf-8"?>
<ds:datastoreItem xmlns:ds="http://schemas.openxmlformats.org/officeDocument/2006/customXml" ds:itemID="{0BEBD1AB-E00B-4EEF-80FD-404D16946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b5fa5-af83-4923-9b32-0a1622da1318"/>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B-MASCOMS</vt:lpstr>
      <vt:lpstr>Unitsets</vt:lpstr>
      <vt:lpstr>Handbook</vt:lpstr>
      <vt:lpstr>Structures</vt:lpstr>
      <vt:lpstr>Availabilities</vt:lpstr>
      <vt:lpstr>CSCOM</vt:lpstr>
      <vt:lpstr>JOURL</vt:lpstr>
      <vt:lpstr>'B-MASCOMS'!Print_Area</vt:lpstr>
      <vt:lpstr>RangeSecMajor</vt:lpstr>
      <vt:lpstr>RangeSpecialisations</vt:lpstr>
      <vt:lpstr>RangeUnitsets</vt:lpstr>
      <vt:lpstr>RangeY1Options</vt:lpstr>
      <vt:lpstr>WMCOM</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2024-12-05T04:48:51Z</cp:lastPrinted>
  <dcterms:created xsi:type="dcterms:W3CDTF">2022-02-28T04:48:12Z</dcterms:created>
  <dcterms:modified xsi:type="dcterms:W3CDTF">2024-12-05T04:50:43Z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0x0101009A1FD9A3B18F6A4F962F43D3E5842A09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