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D3B1BD8C-1BA0-49F4-8AB0-668F3293FCB5}" xr6:coauthVersionLast="47" xr6:coauthVersionMax="47" xr10:uidLastSave="{00000000-0000-0000-0000-000000000000}"/>
  <workbookProtection workbookAlgorithmName="SHA-512" workbookHashValue="/i6OKWx/I8aapTLFjn5jWEjw8AeUluVdHN3HPiUoI5H0IeS97HWemuTvmFlbrA7TqajcSA4421jFDQcjWVesvw==" workbookSaltValue="tx/8onLdxdjte45RsHVepg==" workbookSpinCount="100000" lockStructure="1"/>
  <bookViews>
    <workbookView xWindow="-108" yWindow="-108" windowWidth="23256" windowHeight="13896" tabRatio="722" xr2:uid="{00000000-000D-0000-FFFF-FFFF00000000}"/>
  </bookViews>
  <sheets>
    <sheet name="Planner M-Arts" sheetId="5" r:id="rId1"/>
    <sheet name="Unitsets" sheetId="2" state="hidden" r:id="rId2"/>
    <sheet name="Planner GlobEng" sheetId="15" state="hidden" r:id="rId3"/>
    <sheet name="Planner HRights" sheetId="10" state="hidden" r:id="rId4"/>
    <sheet name="Planner IntSec" sheetId="14" state="hidden" r:id="rId5"/>
    <sheet name="Planner MMJ" sheetId="12" state="hidden" r:id="rId6"/>
    <sheet name="Unitsets Other" sheetId="11" state="hidden" r:id="rId7"/>
    <sheet name="Handbook" sheetId="3" state="hidden" r:id="rId8"/>
    <sheet name="Structures" sheetId="8" state="hidden" r:id="rId9"/>
    <sheet name="Availabilities" sheetId="9" state="hidden" r:id="rId10"/>
    <sheet name="Deactivated DaSM" sheetId="13" state="hidden" r:id="rId11"/>
  </sheets>
  <definedNames>
    <definedName name="_xlnm._FilterDatabase" localSheetId="7" hidden="1">Handbook!#REF!</definedName>
    <definedName name="_xlnm.Print_Area" localSheetId="10">'Deactivated DaSM'!$A$3:$L$43</definedName>
    <definedName name="_xlnm.Print_Area" localSheetId="2">'Planner GlobEng'!$A$3:$L$66</definedName>
    <definedName name="_xlnm.Print_Area" localSheetId="3">'Planner HRights'!$A$3:$L$41</definedName>
    <definedName name="_xlnm.Print_Area" localSheetId="4">'Planner IntSec'!$A$3:$L$54</definedName>
    <definedName name="_xlnm.Print_Area" localSheetId="0">'Planner M-Arts'!$A$3:$L$70</definedName>
    <definedName name="_xlnm.Print_Area" localSheetId="5">'Planner MMJ'!$A$3:$L$48</definedName>
    <definedName name="RangeGLOBLOptions">'Unitsets Other'!$F$166:$I$198</definedName>
    <definedName name="RangeGLOBLUnitsets">'Unitsets Other'!$F$147:$U$163</definedName>
    <definedName name="RangeHRIGHTOptions">'Unitsets Other'!$F$22:$I$29</definedName>
    <definedName name="RangeHRIGHTUnitsets">'Unitsets Other'!$F$3:$U$19</definedName>
    <definedName name="RangeINTRNSOptions">'Unitsets Other'!$F$124:$K$144</definedName>
    <definedName name="RangeINTRNSUnitsets">'Unitsets Other'!$F$105:$AC$121</definedName>
    <definedName name="RangeMARTSAltCore" localSheetId="6">'Unitsets Other'!$F$23:$I$27</definedName>
    <definedName name="RangeMARTSAltCore">Unitsets!$L$25:$Q$32</definedName>
    <definedName name="RangeMARTSCourseNotes">Unitsets!$L$62:$M$66</definedName>
    <definedName name="RangeMARTSOptions" localSheetId="6">'Unitsets Other'!$F$33:$J$66</definedName>
    <definedName name="RangeMARTSOptions">Unitsets!$L$34:$Q$59</definedName>
    <definedName name="RangeMARTSUnitsets" localSheetId="6">'Unitsets Other'!$F$3:$U$19</definedName>
    <definedName name="RangeMARTSUnitsets">Unitsets!$L$3:$AE$19</definedName>
    <definedName name="RangeMMJRNOptions">'Unitsets Other'!$F$51:$I$65</definedName>
    <definedName name="RangeMMJRNUnitsets">'Unitsets Other'!$F$32:$U$48</definedName>
    <definedName name="RangeNETSCMOptions">'Unitsets Other'!$F$87:$H$102</definedName>
    <definedName name="RangeNETSCMUnitsets">'Unitsets Other'!$F$68:$Q$84</definedName>
    <definedName name="RangeStructureNotes">'Unitsets Other'!$N$124:$O$139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7" i="3" l="1"/>
  <c r="H167" i="3"/>
  <c r="I167" i="3"/>
  <c r="J167" i="3"/>
  <c r="L167" i="3"/>
  <c r="M167" i="3"/>
  <c r="N167" i="3"/>
  <c r="O167" i="3"/>
  <c r="P167" i="3"/>
  <c r="Q167" i="3"/>
  <c r="R167" i="3"/>
  <c r="S167" i="3"/>
  <c r="T167" i="3"/>
  <c r="U167" i="3"/>
  <c r="V167" i="3"/>
  <c r="W167" i="3"/>
  <c r="X167" i="3"/>
  <c r="Y167" i="3"/>
  <c r="Z167" i="3"/>
  <c r="AA167" i="3"/>
  <c r="AB167" i="3"/>
  <c r="AC167" i="3"/>
  <c r="AD167" i="3"/>
  <c r="AE167" i="3"/>
  <c r="AG167" i="3"/>
  <c r="AH167" i="3"/>
  <c r="AI167" i="3"/>
  <c r="AJ167" i="3"/>
  <c r="AK167" i="3"/>
  <c r="G20" i="3"/>
  <c r="G19" i="3"/>
  <c r="H20" i="3"/>
  <c r="H19" i="3"/>
  <c r="I20" i="3"/>
  <c r="I19" i="3"/>
  <c r="J20" i="3"/>
  <c r="J19" i="3"/>
  <c r="L20" i="3"/>
  <c r="L19" i="3"/>
  <c r="M20" i="3"/>
  <c r="M19" i="3"/>
  <c r="N20" i="3"/>
  <c r="N19" i="3"/>
  <c r="O20" i="3"/>
  <c r="O19" i="3"/>
  <c r="P20" i="3"/>
  <c r="P19" i="3"/>
  <c r="Q20" i="3"/>
  <c r="Q19" i="3"/>
  <c r="R20" i="3"/>
  <c r="R19" i="3"/>
  <c r="S20" i="3"/>
  <c r="S19" i="3"/>
  <c r="T20" i="3"/>
  <c r="T19" i="3"/>
  <c r="U20" i="3"/>
  <c r="U19" i="3"/>
  <c r="V20" i="3"/>
  <c r="V19" i="3"/>
  <c r="W20" i="3"/>
  <c r="W19" i="3"/>
  <c r="X20" i="3"/>
  <c r="X19" i="3"/>
  <c r="Y20" i="3"/>
  <c r="Y19" i="3"/>
  <c r="Z20" i="3"/>
  <c r="Z19" i="3"/>
  <c r="AA20" i="3"/>
  <c r="AA19" i="3"/>
  <c r="AB20" i="3"/>
  <c r="AB19" i="3"/>
  <c r="AC20" i="3"/>
  <c r="AC19" i="3"/>
  <c r="AD20" i="3"/>
  <c r="AD19" i="3"/>
  <c r="AE20" i="3"/>
  <c r="AE19" i="3"/>
  <c r="AG20" i="3"/>
  <c r="AG19" i="3"/>
  <c r="AH20" i="3"/>
  <c r="AH19" i="3"/>
  <c r="AI20" i="3"/>
  <c r="AI19" i="3"/>
  <c r="AJ20" i="3"/>
  <c r="AJ19" i="3"/>
  <c r="AK20" i="3"/>
  <c r="AK19" i="3"/>
  <c r="L31" i="15"/>
  <c r="K31" i="15"/>
  <c r="J31" i="15"/>
  <c r="I31" i="15"/>
  <c r="H31" i="15"/>
  <c r="L19" i="15"/>
  <c r="K19" i="15"/>
  <c r="J19" i="15"/>
  <c r="I19" i="15"/>
  <c r="H19" i="15"/>
  <c r="H30" i="15"/>
  <c r="G144" i="3" l="1"/>
  <c r="H144" i="3"/>
  <c r="I144" i="3"/>
  <c r="J144" i="3"/>
  <c r="H30" i="14"/>
  <c r="L31" i="14"/>
  <c r="K31" i="14"/>
  <c r="J31" i="14"/>
  <c r="I31" i="14"/>
  <c r="H31" i="14"/>
  <c r="L19" i="14"/>
  <c r="K19" i="14"/>
  <c r="J19" i="14"/>
  <c r="I19" i="14"/>
  <c r="H19" i="14"/>
  <c r="G151" i="3" l="1"/>
  <c r="H151" i="3"/>
  <c r="I151" i="3"/>
  <c r="J151" i="3"/>
  <c r="G24" i="3"/>
  <c r="G25" i="3"/>
  <c r="G150" i="3"/>
  <c r="G26" i="3"/>
  <c r="H24" i="3"/>
  <c r="H25" i="3"/>
  <c r="H150" i="3"/>
  <c r="H26" i="3"/>
  <c r="I24" i="3"/>
  <c r="I25" i="3"/>
  <c r="I150" i="3"/>
  <c r="I26" i="3"/>
  <c r="J24" i="3"/>
  <c r="J25" i="3"/>
  <c r="J150" i="3"/>
  <c r="J26" i="3"/>
  <c r="A316" i="8" l="1"/>
  <c r="B316" i="8"/>
  <c r="D316" i="8"/>
  <c r="E316" i="8"/>
  <c r="G143" i="3" l="1"/>
  <c r="G163" i="3"/>
  <c r="G78" i="3"/>
  <c r="G84" i="3"/>
  <c r="G161" i="3"/>
  <c r="H143" i="3"/>
  <c r="H163" i="3"/>
  <c r="H78" i="3"/>
  <c r="H84" i="3"/>
  <c r="H161" i="3"/>
  <c r="I143" i="3"/>
  <c r="I163" i="3"/>
  <c r="I78" i="3"/>
  <c r="I84" i="3"/>
  <c r="I161" i="3"/>
  <c r="J143" i="3"/>
  <c r="J163" i="3"/>
  <c r="J78" i="3"/>
  <c r="J84" i="3"/>
  <c r="J161" i="3"/>
  <c r="A269" i="8"/>
  <c r="A270" i="8"/>
  <c r="A271" i="8"/>
  <c r="A272" i="8"/>
  <c r="A273" i="8"/>
  <c r="B269" i="8"/>
  <c r="B270" i="8"/>
  <c r="B271" i="8"/>
  <c r="B272" i="8"/>
  <c r="B273" i="8"/>
  <c r="D269" i="8"/>
  <c r="D270" i="8"/>
  <c r="D271" i="8"/>
  <c r="D272" i="8"/>
  <c r="D273" i="8"/>
  <c r="E269" i="8"/>
  <c r="E270" i="8"/>
  <c r="E271" i="8"/>
  <c r="E272" i="8"/>
  <c r="E273" i="8"/>
  <c r="G89" i="3" l="1"/>
  <c r="G91" i="3"/>
  <c r="G87" i="3"/>
  <c r="G93" i="3"/>
  <c r="G99" i="3"/>
  <c r="G103" i="3"/>
  <c r="G97" i="3"/>
  <c r="G75" i="3"/>
  <c r="G76" i="3"/>
  <c r="G159" i="3"/>
  <c r="G165" i="3"/>
  <c r="H89" i="3"/>
  <c r="H91" i="3"/>
  <c r="H87" i="3"/>
  <c r="H93" i="3"/>
  <c r="H99" i="3"/>
  <c r="H103" i="3"/>
  <c r="H97" i="3"/>
  <c r="H75" i="3"/>
  <c r="H76" i="3"/>
  <c r="H159" i="3"/>
  <c r="H165" i="3"/>
  <c r="I89" i="3"/>
  <c r="I91" i="3"/>
  <c r="I87" i="3"/>
  <c r="I93" i="3"/>
  <c r="I99" i="3"/>
  <c r="I103" i="3"/>
  <c r="I97" i="3"/>
  <c r="I75" i="3"/>
  <c r="I76" i="3"/>
  <c r="I159" i="3"/>
  <c r="I165" i="3"/>
  <c r="J89" i="3"/>
  <c r="J91" i="3"/>
  <c r="J87" i="3"/>
  <c r="J93" i="3"/>
  <c r="J99" i="3"/>
  <c r="J103" i="3"/>
  <c r="J97" i="3"/>
  <c r="J75" i="3"/>
  <c r="J76" i="3"/>
  <c r="J159" i="3"/>
  <c r="J165" i="3"/>
  <c r="G188" i="3" l="1"/>
  <c r="G196" i="3"/>
  <c r="G186" i="3"/>
  <c r="G190" i="3"/>
  <c r="G198" i="3"/>
  <c r="G200" i="3"/>
  <c r="G95" i="3"/>
  <c r="G192" i="3"/>
  <c r="H188" i="3"/>
  <c r="H196" i="3"/>
  <c r="H186" i="3"/>
  <c r="H190" i="3"/>
  <c r="H198" i="3"/>
  <c r="H200" i="3"/>
  <c r="H95" i="3"/>
  <c r="H192" i="3"/>
  <c r="I188" i="3"/>
  <c r="I196" i="3"/>
  <c r="I186" i="3"/>
  <c r="I190" i="3"/>
  <c r="I198" i="3"/>
  <c r="I200" i="3"/>
  <c r="I95" i="3"/>
  <c r="I192" i="3"/>
  <c r="J188" i="3"/>
  <c r="J196" i="3"/>
  <c r="J186" i="3"/>
  <c r="J190" i="3"/>
  <c r="J198" i="3"/>
  <c r="J200" i="3"/>
  <c r="J95" i="3"/>
  <c r="J192" i="3"/>
  <c r="A140" i="8"/>
  <c r="B140" i="8"/>
  <c r="D140" i="8"/>
  <c r="E140" i="8"/>
  <c r="G170" i="3" l="1"/>
  <c r="G178" i="3"/>
  <c r="G180" i="3"/>
  <c r="G168" i="3"/>
  <c r="G184" i="3"/>
  <c r="H170" i="3"/>
  <c r="H178" i="3"/>
  <c r="H180" i="3"/>
  <c r="H168" i="3"/>
  <c r="H184" i="3"/>
  <c r="I170" i="3"/>
  <c r="I178" i="3"/>
  <c r="I180" i="3"/>
  <c r="I168" i="3"/>
  <c r="I184" i="3"/>
  <c r="J170" i="3"/>
  <c r="J178" i="3"/>
  <c r="J180" i="3"/>
  <c r="J168" i="3"/>
  <c r="J184" i="3"/>
  <c r="G207" i="3" l="1"/>
  <c r="G211" i="3"/>
  <c r="G209" i="3"/>
  <c r="G213" i="3"/>
  <c r="G215" i="3"/>
  <c r="G217" i="3"/>
  <c r="G219" i="3"/>
  <c r="G221" i="3"/>
  <c r="G223" i="3"/>
  <c r="H207" i="3"/>
  <c r="H211" i="3"/>
  <c r="H209" i="3"/>
  <c r="H213" i="3"/>
  <c r="H215" i="3"/>
  <c r="H217" i="3"/>
  <c r="H219" i="3"/>
  <c r="H221" i="3"/>
  <c r="H223" i="3"/>
  <c r="I207" i="3"/>
  <c r="I211" i="3"/>
  <c r="I209" i="3"/>
  <c r="I213" i="3"/>
  <c r="I215" i="3"/>
  <c r="I217" i="3"/>
  <c r="I219" i="3"/>
  <c r="I221" i="3"/>
  <c r="I223" i="3"/>
  <c r="J207" i="3"/>
  <c r="J211" i="3"/>
  <c r="J209" i="3"/>
  <c r="J213" i="3"/>
  <c r="J215" i="3"/>
  <c r="J217" i="3"/>
  <c r="J219" i="3"/>
  <c r="J221" i="3"/>
  <c r="J223" i="3"/>
  <c r="G136" i="3"/>
  <c r="G9" i="3"/>
  <c r="G10" i="3"/>
  <c r="G74" i="3"/>
  <c r="G114" i="3"/>
  <c r="G115" i="3"/>
  <c r="G117" i="3"/>
  <c r="G119" i="3"/>
  <c r="G121" i="3"/>
  <c r="G123" i="3"/>
  <c r="G125" i="3"/>
  <c r="G127" i="3"/>
  <c r="G129" i="3"/>
  <c r="G131" i="3"/>
  <c r="G133" i="3"/>
  <c r="G172" i="3"/>
  <c r="G182" i="3"/>
  <c r="G194" i="3"/>
  <c r="H136" i="3"/>
  <c r="H9" i="3"/>
  <c r="H10" i="3"/>
  <c r="H74" i="3"/>
  <c r="H114" i="3"/>
  <c r="H115" i="3"/>
  <c r="H117" i="3"/>
  <c r="H119" i="3"/>
  <c r="H121" i="3"/>
  <c r="H123" i="3"/>
  <c r="H125" i="3"/>
  <c r="H127" i="3"/>
  <c r="H129" i="3"/>
  <c r="H131" i="3"/>
  <c r="H133" i="3"/>
  <c r="H172" i="3"/>
  <c r="H182" i="3"/>
  <c r="H194" i="3"/>
  <c r="I136" i="3"/>
  <c r="I9" i="3"/>
  <c r="I10" i="3"/>
  <c r="I74" i="3"/>
  <c r="I114" i="3"/>
  <c r="I115" i="3"/>
  <c r="I117" i="3"/>
  <c r="I119" i="3"/>
  <c r="I121" i="3"/>
  <c r="I123" i="3"/>
  <c r="I125" i="3"/>
  <c r="I127" i="3"/>
  <c r="I129" i="3"/>
  <c r="I131" i="3"/>
  <c r="I133" i="3"/>
  <c r="I172" i="3"/>
  <c r="I182" i="3"/>
  <c r="I194" i="3"/>
  <c r="J136" i="3"/>
  <c r="J9" i="3"/>
  <c r="J10" i="3"/>
  <c r="J74" i="3"/>
  <c r="J114" i="3"/>
  <c r="J115" i="3"/>
  <c r="J117" i="3"/>
  <c r="J119" i="3"/>
  <c r="J121" i="3"/>
  <c r="J123" i="3"/>
  <c r="J125" i="3"/>
  <c r="J127" i="3"/>
  <c r="J129" i="3"/>
  <c r="J131" i="3"/>
  <c r="J133" i="3"/>
  <c r="J172" i="3"/>
  <c r="J182" i="3"/>
  <c r="J194" i="3"/>
  <c r="A55" i="8" l="1"/>
  <c r="A56" i="8"/>
  <c r="B55" i="8"/>
  <c r="B56" i="8"/>
  <c r="D55" i="8"/>
  <c r="D56" i="8"/>
  <c r="E55" i="8"/>
  <c r="E56" i="8"/>
  <c r="N1" i="3" l="1"/>
  <c r="O1" i="3"/>
  <c r="P1" i="3"/>
  <c r="Q1" i="3"/>
  <c r="E58" i="8"/>
  <c r="D58" i="8"/>
  <c r="B58" i="8"/>
  <c r="A58" i="8"/>
  <c r="E57" i="8"/>
  <c r="D57" i="8"/>
  <c r="B57" i="8"/>
  <c r="A57"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E45" i="8"/>
  <c r="D45" i="8"/>
  <c r="B45" i="8"/>
  <c r="A45" i="8"/>
  <c r="E44" i="8"/>
  <c r="D44" i="8"/>
  <c r="B44" i="8"/>
  <c r="A44" i="8"/>
  <c r="E43" i="8"/>
  <c r="D43" i="8"/>
  <c r="B43" i="8"/>
  <c r="A43" i="8"/>
  <c r="E42" i="8"/>
  <c r="D42" i="8"/>
  <c r="B42" i="8"/>
  <c r="A42" i="8"/>
  <c r="E41" i="8"/>
  <c r="D41" i="8"/>
  <c r="B41" i="8"/>
  <c r="A41" i="8"/>
  <c r="E40" i="8"/>
  <c r="D40" i="8"/>
  <c r="B40" i="8"/>
  <c r="A40" i="8"/>
  <c r="E39" i="8"/>
  <c r="D39" i="8"/>
  <c r="B39" i="8"/>
  <c r="A39" i="8"/>
  <c r="E38" i="8"/>
  <c r="D38" i="8"/>
  <c r="B38" i="8"/>
  <c r="A38" i="8"/>
  <c r="E37" i="8"/>
  <c r="D37" i="8"/>
  <c r="B37" i="8"/>
  <c r="A37" i="8"/>
  <c r="E36" i="8"/>
  <c r="D36" i="8"/>
  <c r="B36" i="8"/>
  <c r="A36" i="8"/>
  <c r="E35" i="8"/>
  <c r="D35" i="8"/>
  <c r="B35" i="8"/>
  <c r="A35" i="8"/>
  <c r="E34" i="8"/>
  <c r="D34" i="8"/>
  <c r="B34" i="8"/>
  <c r="A34" i="8"/>
  <c r="E33" i="8"/>
  <c r="D33" i="8"/>
  <c r="B33" i="8"/>
  <c r="A33" i="8"/>
  <c r="N144" i="3" l="1"/>
  <c r="N24" i="3"/>
  <c r="N25" i="3"/>
  <c r="N150" i="3"/>
  <c r="N26" i="3"/>
  <c r="N151" i="3"/>
  <c r="N163" i="3"/>
  <c r="N78" i="3"/>
  <c r="N143" i="3"/>
  <c r="N84" i="3"/>
  <c r="N161" i="3"/>
  <c r="N99" i="3"/>
  <c r="N165" i="3"/>
  <c r="N89" i="3"/>
  <c r="N91" i="3"/>
  <c r="N103" i="3"/>
  <c r="N97" i="3"/>
  <c r="N75" i="3"/>
  <c r="N87" i="3"/>
  <c r="N76" i="3"/>
  <c r="N93" i="3"/>
  <c r="N159" i="3"/>
  <c r="N188" i="3"/>
  <c r="N186" i="3"/>
  <c r="N190" i="3"/>
  <c r="N198" i="3"/>
  <c r="N192" i="3"/>
  <c r="N200" i="3"/>
  <c r="N196" i="3"/>
  <c r="N95" i="3"/>
  <c r="N184" i="3"/>
  <c r="N170" i="3"/>
  <c r="N178" i="3"/>
  <c r="N180" i="3"/>
  <c r="N168" i="3"/>
  <c r="N123" i="3"/>
  <c r="N194" i="3"/>
  <c r="N209" i="3"/>
  <c r="N125" i="3"/>
  <c r="N213" i="3"/>
  <c r="N136" i="3"/>
  <c r="N114" i="3"/>
  <c r="N129" i="3"/>
  <c r="N211" i="3"/>
  <c r="N223" i="3"/>
  <c r="N9" i="3"/>
  <c r="N119" i="3"/>
  <c r="N172" i="3"/>
  <c r="N221" i="3"/>
  <c r="N117" i="3"/>
  <c r="N121" i="3"/>
  <c r="N131" i="3"/>
  <c r="N207" i="3"/>
  <c r="N217" i="3"/>
  <c r="N74" i="3"/>
  <c r="N182" i="3"/>
  <c r="N215" i="3"/>
  <c r="N219" i="3"/>
  <c r="N10" i="3"/>
  <c r="N115" i="3"/>
  <c r="N133" i="3"/>
  <c r="N127" i="3"/>
  <c r="N185" i="3"/>
  <c r="N220" i="3"/>
  <c r="N3" i="3"/>
  <c r="N195" i="3"/>
  <c r="N175" i="3"/>
  <c r="N166" i="3"/>
  <c r="N41" i="3"/>
  <c r="N154" i="3"/>
  <c r="N34" i="3"/>
  <c r="N142" i="3"/>
  <c r="N206" i="3"/>
  <c r="N39" i="3"/>
  <c r="N112" i="3"/>
  <c r="N218" i="3"/>
  <c r="N205" i="3"/>
  <c r="N181" i="3"/>
  <c r="N164" i="3"/>
  <c r="N153" i="3"/>
  <c r="N141" i="3"/>
  <c r="N132" i="3"/>
  <c r="N116" i="3"/>
  <c r="N104" i="3"/>
  <c r="N88" i="3"/>
  <c r="N80" i="3"/>
  <c r="N70" i="3"/>
  <c r="N55" i="3"/>
  <c r="N40" i="3"/>
  <c r="N32" i="3"/>
  <c r="N21" i="3"/>
  <c r="N11" i="3"/>
  <c r="N134" i="3"/>
  <c r="N81" i="3"/>
  <c r="N67" i="3"/>
  <c r="N56" i="3"/>
  <c r="N33" i="3"/>
  <c r="N12" i="3"/>
  <c r="N53" i="3"/>
  <c r="N110" i="3"/>
  <c r="N216" i="3"/>
  <c r="N204" i="3"/>
  <c r="N193" i="3"/>
  <c r="N179" i="3"/>
  <c r="N173" i="3"/>
  <c r="N162" i="3"/>
  <c r="N152" i="3"/>
  <c r="N140" i="3"/>
  <c r="N130" i="3"/>
  <c r="N113" i="3"/>
  <c r="N96" i="3"/>
  <c r="N86" i="3"/>
  <c r="N79" i="3"/>
  <c r="N66" i="3"/>
  <c r="N62" i="3"/>
  <c r="N54" i="3"/>
  <c r="N38" i="3"/>
  <c r="N31" i="3"/>
  <c r="N18" i="3"/>
  <c r="N8" i="3"/>
  <c r="N118" i="3"/>
  <c r="N98" i="3"/>
  <c r="N71" i="3"/>
  <c r="N63" i="3"/>
  <c r="N42" i="3"/>
  <c r="N22" i="3"/>
  <c r="N51" i="3"/>
  <c r="N108" i="3"/>
  <c r="N214" i="3"/>
  <c r="N203" i="3"/>
  <c r="N191" i="3"/>
  <c r="N160" i="3"/>
  <c r="N149" i="3"/>
  <c r="N139" i="3"/>
  <c r="N128" i="3"/>
  <c r="N111" i="3"/>
  <c r="N102" i="3"/>
  <c r="N94" i="3"/>
  <c r="N77" i="3"/>
  <c r="N61" i="3"/>
  <c r="N52" i="3"/>
  <c r="N30" i="3"/>
  <c r="N17" i="3"/>
  <c r="N7" i="3"/>
  <c r="N49" i="3"/>
  <c r="N107" i="3"/>
  <c r="N212" i="3"/>
  <c r="N202" i="3"/>
  <c r="N171" i="3"/>
  <c r="N158" i="3"/>
  <c r="N148" i="3"/>
  <c r="N138" i="3"/>
  <c r="N126" i="3"/>
  <c r="N109" i="3"/>
  <c r="N101" i="3"/>
  <c r="N65" i="3"/>
  <c r="N60" i="3"/>
  <c r="N50" i="3"/>
  <c r="N37" i="3"/>
  <c r="N29" i="3"/>
  <c r="N16" i="3"/>
  <c r="N6" i="3"/>
  <c r="N189" i="3"/>
  <c r="N47" i="3"/>
  <c r="N105" i="3"/>
  <c r="N210" i="3"/>
  <c r="N201" i="3"/>
  <c r="N187" i="3"/>
  <c r="N177" i="3"/>
  <c r="N157" i="3"/>
  <c r="N147" i="3"/>
  <c r="N137" i="3"/>
  <c r="N124" i="3"/>
  <c r="N106" i="3"/>
  <c r="N92" i="3"/>
  <c r="N85" i="3"/>
  <c r="N69" i="3"/>
  <c r="N59" i="3"/>
  <c r="N48" i="3"/>
  <c r="N28" i="3"/>
  <c r="N15" i="3"/>
  <c r="N5" i="3"/>
  <c r="N45" i="3"/>
  <c r="N224" i="3"/>
  <c r="N199" i="3"/>
  <c r="N156" i="3"/>
  <c r="N146" i="3"/>
  <c r="N135" i="3"/>
  <c r="N122" i="3"/>
  <c r="N100" i="3"/>
  <c r="N83" i="3"/>
  <c r="N73" i="3"/>
  <c r="N64" i="3"/>
  <c r="N58" i="3"/>
  <c r="N46" i="3"/>
  <c r="N36" i="3"/>
  <c r="N27" i="3"/>
  <c r="N14" i="3"/>
  <c r="N4" i="3"/>
  <c r="N176" i="3"/>
  <c r="N208" i="3"/>
  <c r="N174" i="3"/>
  <c r="N43" i="3"/>
  <c r="N222" i="3"/>
  <c r="N197" i="3"/>
  <c r="N183" i="3"/>
  <c r="N169" i="3"/>
  <c r="N155" i="3"/>
  <c r="N145" i="3"/>
  <c r="N120" i="3"/>
  <c r="N90" i="3"/>
  <c r="N82" i="3"/>
  <c r="N72" i="3"/>
  <c r="N68" i="3"/>
  <c r="N57" i="3"/>
  <c r="N44" i="3"/>
  <c r="N35" i="3"/>
  <c r="N23" i="3"/>
  <c r="N13" i="3"/>
  <c r="G34" i="3"/>
  <c r="G39" i="3"/>
  <c r="G41" i="3"/>
  <c r="G43" i="3"/>
  <c r="G45" i="3"/>
  <c r="G47" i="3"/>
  <c r="G49" i="3"/>
  <c r="G51" i="3"/>
  <c r="G53" i="3"/>
  <c r="G174" i="3"/>
  <c r="G176" i="3"/>
  <c r="H34" i="3"/>
  <c r="H39" i="3"/>
  <c r="H41" i="3"/>
  <c r="H43" i="3"/>
  <c r="H45" i="3"/>
  <c r="H47" i="3"/>
  <c r="H49" i="3"/>
  <c r="H51" i="3"/>
  <c r="H53" i="3"/>
  <c r="H174" i="3"/>
  <c r="H176" i="3"/>
  <c r="I34" i="3"/>
  <c r="I39" i="3"/>
  <c r="I41" i="3"/>
  <c r="I43" i="3"/>
  <c r="I45" i="3"/>
  <c r="I47" i="3"/>
  <c r="I49" i="3"/>
  <c r="I51" i="3"/>
  <c r="I53" i="3"/>
  <c r="I174" i="3"/>
  <c r="I176" i="3"/>
  <c r="J34" i="3"/>
  <c r="J39" i="3"/>
  <c r="J41" i="3"/>
  <c r="J43" i="3"/>
  <c r="J45" i="3"/>
  <c r="J47" i="3"/>
  <c r="J49" i="3"/>
  <c r="J51" i="3"/>
  <c r="J53" i="3"/>
  <c r="J174" i="3"/>
  <c r="J176" i="3"/>
  <c r="G105" i="3" l="1"/>
  <c r="G107" i="3"/>
  <c r="G108" i="3"/>
  <c r="G110" i="3"/>
  <c r="G112" i="3"/>
  <c r="H105" i="3"/>
  <c r="H107" i="3"/>
  <c r="H108" i="3"/>
  <c r="H110" i="3"/>
  <c r="H112" i="3"/>
  <c r="I105" i="3"/>
  <c r="I107" i="3"/>
  <c r="I108" i="3"/>
  <c r="I110" i="3"/>
  <c r="I112" i="3"/>
  <c r="J105" i="3"/>
  <c r="J107" i="3"/>
  <c r="J108" i="3"/>
  <c r="J110" i="3"/>
  <c r="J112" i="3"/>
  <c r="A9" i="8"/>
  <c r="B9" i="8"/>
  <c r="D9" i="8"/>
  <c r="E9" i="8"/>
  <c r="H24" i="13" l="1"/>
  <c r="L25" i="13"/>
  <c r="K25" i="13"/>
  <c r="J25" i="13"/>
  <c r="I25" i="13"/>
  <c r="H25" i="13"/>
  <c r="L18" i="13"/>
  <c r="K18" i="13"/>
  <c r="J18" i="13"/>
  <c r="I18" i="13"/>
  <c r="H18" i="13"/>
  <c r="L31" i="10"/>
  <c r="K31" i="10"/>
  <c r="J31" i="10"/>
  <c r="I31" i="10"/>
  <c r="H31" i="10"/>
  <c r="L19" i="10"/>
  <c r="K19" i="10"/>
  <c r="J19" i="10"/>
  <c r="I19" i="10"/>
  <c r="H19" i="10"/>
  <c r="H30" i="10"/>
  <c r="H30" i="12"/>
  <c r="L31" i="12"/>
  <c r="K31" i="12"/>
  <c r="J31" i="12"/>
  <c r="I31" i="12"/>
  <c r="H31" i="12"/>
  <c r="L19" i="12"/>
  <c r="K19" i="12"/>
  <c r="J19" i="12"/>
  <c r="I19" i="12"/>
  <c r="H19" i="12"/>
  <c r="G6" i="15"/>
  <c r="G6" i="14"/>
  <c r="G6" i="13"/>
  <c r="G6" i="10"/>
  <c r="G6" i="12"/>
  <c r="H41" i="5"/>
  <c r="H31" i="5"/>
  <c r="L42" i="5"/>
  <c r="K42" i="5"/>
  <c r="J42" i="5"/>
  <c r="I42" i="5"/>
  <c r="H42" i="5"/>
  <c r="L32" i="5"/>
  <c r="K32" i="5"/>
  <c r="J32" i="5"/>
  <c r="I32" i="5"/>
  <c r="H32" i="5"/>
  <c r="L20" i="5"/>
  <c r="K20" i="5"/>
  <c r="J20" i="5"/>
  <c r="I20" i="5"/>
  <c r="H20" i="5"/>
  <c r="G7" i="5"/>
  <c r="AK1" i="3" l="1"/>
  <c r="AJ1" i="3"/>
  <c r="AI1" i="3"/>
  <c r="AH1" i="3"/>
  <c r="AG1" i="3"/>
  <c r="AF1" i="3"/>
  <c r="AE1" i="3"/>
  <c r="AD1" i="3"/>
  <c r="AC1" i="3"/>
  <c r="AB1" i="3"/>
  <c r="AA1" i="3"/>
  <c r="Z1" i="3"/>
  <c r="Y1" i="3"/>
  <c r="X1" i="3"/>
  <c r="W1" i="3"/>
  <c r="V1" i="3"/>
  <c r="U1" i="3"/>
  <c r="T1" i="3"/>
  <c r="S1" i="3"/>
  <c r="R1" i="3"/>
  <c r="M1" i="3"/>
  <c r="L1" i="3"/>
  <c r="K1" i="3"/>
  <c r="J1" i="3"/>
  <c r="I1" i="3"/>
  <c r="H1" i="3"/>
  <c r="G1" i="3"/>
  <c r="F1" i="3"/>
  <c r="E1" i="3"/>
  <c r="D1" i="3"/>
  <c r="C1" i="3"/>
  <c r="B1" i="3"/>
  <c r="A1" i="3"/>
  <c r="L30" i="15" l="1"/>
  <c r="B7" i="15" s="1"/>
  <c r="L5" i="15"/>
  <c r="G5" i="15"/>
  <c r="J224" i="3"/>
  <c r="I224" i="3"/>
  <c r="H224" i="3"/>
  <c r="G224" i="3"/>
  <c r="J222" i="3"/>
  <c r="I222" i="3"/>
  <c r="H222" i="3"/>
  <c r="G222" i="3"/>
  <c r="J220" i="3"/>
  <c r="I220" i="3"/>
  <c r="H220" i="3"/>
  <c r="G220" i="3"/>
  <c r="J218" i="3"/>
  <c r="I218" i="3"/>
  <c r="H218" i="3"/>
  <c r="G218" i="3"/>
  <c r="J216" i="3"/>
  <c r="I216" i="3"/>
  <c r="H216" i="3"/>
  <c r="G216" i="3"/>
  <c r="J214" i="3"/>
  <c r="I214" i="3"/>
  <c r="H214" i="3"/>
  <c r="G214" i="3"/>
  <c r="J212" i="3"/>
  <c r="I212" i="3"/>
  <c r="H212" i="3"/>
  <c r="G212" i="3"/>
  <c r="J210" i="3"/>
  <c r="I210" i="3"/>
  <c r="H210" i="3"/>
  <c r="G210" i="3"/>
  <c r="J208" i="3"/>
  <c r="I208" i="3"/>
  <c r="H208" i="3"/>
  <c r="G208" i="3"/>
  <c r="J206" i="3"/>
  <c r="I206" i="3"/>
  <c r="H206" i="3"/>
  <c r="G206" i="3"/>
  <c r="J205" i="3"/>
  <c r="I205" i="3"/>
  <c r="H205" i="3"/>
  <c r="G205" i="3"/>
  <c r="J204" i="3"/>
  <c r="I204" i="3"/>
  <c r="H204" i="3"/>
  <c r="G204" i="3"/>
  <c r="J203" i="3"/>
  <c r="I203" i="3"/>
  <c r="H203" i="3"/>
  <c r="G203" i="3"/>
  <c r="J202" i="3"/>
  <c r="I202" i="3"/>
  <c r="H202" i="3"/>
  <c r="G202" i="3"/>
  <c r="J201" i="3"/>
  <c r="I201" i="3"/>
  <c r="H201" i="3"/>
  <c r="G201" i="3"/>
  <c r="J199" i="3"/>
  <c r="I199" i="3"/>
  <c r="H199" i="3"/>
  <c r="G199" i="3"/>
  <c r="J197" i="3"/>
  <c r="I197" i="3"/>
  <c r="H197" i="3"/>
  <c r="G197" i="3"/>
  <c r="J195" i="3"/>
  <c r="I195" i="3"/>
  <c r="H195" i="3"/>
  <c r="G195" i="3"/>
  <c r="J193" i="3"/>
  <c r="I193" i="3"/>
  <c r="H193" i="3"/>
  <c r="G193" i="3"/>
  <c r="J191" i="3"/>
  <c r="I191" i="3"/>
  <c r="H191" i="3"/>
  <c r="G191" i="3"/>
  <c r="J189" i="3"/>
  <c r="I189" i="3"/>
  <c r="H189" i="3"/>
  <c r="G189" i="3"/>
  <c r="J187" i="3"/>
  <c r="I187" i="3"/>
  <c r="H187" i="3"/>
  <c r="G187" i="3"/>
  <c r="J185" i="3"/>
  <c r="I185" i="3"/>
  <c r="H185" i="3"/>
  <c r="G185" i="3"/>
  <c r="J183" i="3"/>
  <c r="I183" i="3"/>
  <c r="H183" i="3"/>
  <c r="G183" i="3"/>
  <c r="J181" i="3"/>
  <c r="I181" i="3"/>
  <c r="H181" i="3"/>
  <c r="G181" i="3"/>
  <c r="J179" i="3"/>
  <c r="I179" i="3"/>
  <c r="H179" i="3"/>
  <c r="G179" i="3"/>
  <c r="J177" i="3"/>
  <c r="I177" i="3"/>
  <c r="H177" i="3"/>
  <c r="G177" i="3"/>
  <c r="J175" i="3"/>
  <c r="I175" i="3"/>
  <c r="H175" i="3"/>
  <c r="G175" i="3"/>
  <c r="J173" i="3"/>
  <c r="I173" i="3"/>
  <c r="H173" i="3"/>
  <c r="G173" i="3"/>
  <c r="J171" i="3"/>
  <c r="I171" i="3"/>
  <c r="H171" i="3"/>
  <c r="G171" i="3"/>
  <c r="J169" i="3"/>
  <c r="I169" i="3"/>
  <c r="H169" i="3"/>
  <c r="G169" i="3"/>
  <c r="J166" i="3"/>
  <c r="I166" i="3"/>
  <c r="H166" i="3"/>
  <c r="G166" i="3"/>
  <c r="J164" i="3"/>
  <c r="I164" i="3"/>
  <c r="H164" i="3"/>
  <c r="G164" i="3"/>
  <c r="J162" i="3"/>
  <c r="I162" i="3"/>
  <c r="H162" i="3"/>
  <c r="G162" i="3"/>
  <c r="J160" i="3"/>
  <c r="I160" i="3"/>
  <c r="H160" i="3"/>
  <c r="G160" i="3"/>
  <c r="J158" i="3"/>
  <c r="I158" i="3"/>
  <c r="H158" i="3"/>
  <c r="G158" i="3"/>
  <c r="J157" i="3"/>
  <c r="I157" i="3"/>
  <c r="H157" i="3"/>
  <c r="G157" i="3"/>
  <c r="J156" i="3"/>
  <c r="I156" i="3"/>
  <c r="H156" i="3"/>
  <c r="G156" i="3"/>
  <c r="J155" i="3"/>
  <c r="I155" i="3"/>
  <c r="H155" i="3"/>
  <c r="G155" i="3"/>
  <c r="J154" i="3"/>
  <c r="I154" i="3"/>
  <c r="H154" i="3"/>
  <c r="G154" i="3"/>
  <c r="J153" i="3"/>
  <c r="I153" i="3"/>
  <c r="H153" i="3"/>
  <c r="G153" i="3"/>
  <c r="J152" i="3"/>
  <c r="I152" i="3"/>
  <c r="H152" i="3"/>
  <c r="G152" i="3"/>
  <c r="J149" i="3"/>
  <c r="I149" i="3"/>
  <c r="H149" i="3"/>
  <c r="G149" i="3"/>
  <c r="J148" i="3"/>
  <c r="I148" i="3"/>
  <c r="H148" i="3"/>
  <c r="G148" i="3"/>
  <c r="J147" i="3"/>
  <c r="I147" i="3"/>
  <c r="H147" i="3"/>
  <c r="G147" i="3"/>
  <c r="J146" i="3"/>
  <c r="I146" i="3"/>
  <c r="H146" i="3"/>
  <c r="G146" i="3"/>
  <c r="J145" i="3"/>
  <c r="I145" i="3"/>
  <c r="H145" i="3"/>
  <c r="G145" i="3"/>
  <c r="J142" i="3"/>
  <c r="I142" i="3"/>
  <c r="H142" i="3"/>
  <c r="G142" i="3"/>
  <c r="J141" i="3"/>
  <c r="I141" i="3"/>
  <c r="H141" i="3"/>
  <c r="G141" i="3"/>
  <c r="J140" i="3"/>
  <c r="I140" i="3"/>
  <c r="H140" i="3"/>
  <c r="G140" i="3"/>
  <c r="J139" i="3"/>
  <c r="I139" i="3"/>
  <c r="H139" i="3"/>
  <c r="G139" i="3"/>
  <c r="J138" i="3"/>
  <c r="I138" i="3"/>
  <c r="H138" i="3"/>
  <c r="G138" i="3"/>
  <c r="J137" i="3"/>
  <c r="I137" i="3"/>
  <c r="H137" i="3"/>
  <c r="G137" i="3"/>
  <c r="J135" i="3"/>
  <c r="I135" i="3"/>
  <c r="H135" i="3"/>
  <c r="G135" i="3"/>
  <c r="J134" i="3"/>
  <c r="I134" i="3"/>
  <c r="H134" i="3"/>
  <c r="G134" i="3"/>
  <c r="J132" i="3"/>
  <c r="I132" i="3"/>
  <c r="H132" i="3"/>
  <c r="G132" i="3"/>
  <c r="J130" i="3"/>
  <c r="I130" i="3"/>
  <c r="H130" i="3"/>
  <c r="G130" i="3"/>
  <c r="J128" i="3"/>
  <c r="I128" i="3"/>
  <c r="H128" i="3"/>
  <c r="G128" i="3"/>
  <c r="J126" i="3"/>
  <c r="I126" i="3"/>
  <c r="H126" i="3"/>
  <c r="G126" i="3"/>
  <c r="J124" i="3"/>
  <c r="I124" i="3"/>
  <c r="H124" i="3"/>
  <c r="G124" i="3"/>
  <c r="J122" i="3"/>
  <c r="I122" i="3"/>
  <c r="H122" i="3"/>
  <c r="G122" i="3"/>
  <c r="J120" i="3"/>
  <c r="I120" i="3"/>
  <c r="H120" i="3"/>
  <c r="G120" i="3"/>
  <c r="J118" i="3"/>
  <c r="I118" i="3"/>
  <c r="H118" i="3"/>
  <c r="G118" i="3"/>
  <c r="J116" i="3"/>
  <c r="I116" i="3"/>
  <c r="H116" i="3"/>
  <c r="G116" i="3"/>
  <c r="J113" i="3"/>
  <c r="I113" i="3"/>
  <c r="H113" i="3"/>
  <c r="G113" i="3"/>
  <c r="J111" i="3"/>
  <c r="I111" i="3"/>
  <c r="H111" i="3"/>
  <c r="G111" i="3"/>
  <c r="J109" i="3"/>
  <c r="I109" i="3"/>
  <c r="H109" i="3"/>
  <c r="G109" i="3"/>
  <c r="J106" i="3"/>
  <c r="I106" i="3"/>
  <c r="H106" i="3"/>
  <c r="G106" i="3"/>
  <c r="J104" i="3"/>
  <c r="I104" i="3"/>
  <c r="H104" i="3"/>
  <c r="G104" i="3"/>
  <c r="J102" i="3"/>
  <c r="I102" i="3"/>
  <c r="H102" i="3"/>
  <c r="G102" i="3"/>
  <c r="J101" i="3"/>
  <c r="I101" i="3"/>
  <c r="H101" i="3"/>
  <c r="G101" i="3"/>
  <c r="J100" i="3"/>
  <c r="I100" i="3"/>
  <c r="H100" i="3"/>
  <c r="G100" i="3"/>
  <c r="J98" i="3"/>
  <c r="I98" i="3"/>
  <c r="H98" i="3"/>
  <c r="G98" i="3"/>
  <c r="J96" i="3"/>
  <c r="I96" i="3"/>
  <c r="H96" i="3"/>
  <c r="G96" i="3"/>
  <c r="J94" i="3"/>
  <c r="I94" i="3"/>
  <c r="H94" i="3"/>
  <c r="G94" i="3"/>
  <c r="J92" i="3"/>
  <c r="I92" i="3"/>
  <c r="H92" i="3"/>
  <c r="G92" i="3"/>
  <c r="J90" i="3"/>
  <c r="I90" i="3"/>
  <c r="H90" i="3"/>
  <c r="G90" i="3"/>
  <c r="J88" i="3"/>
  <c r="I88" i="3"/>
  <c r="H88" i="3"/>
  <c r="G88" i="3"/>
  <c r="J86" i="3"/>
  <c r="I86" i="3"/>
  <c r="H86" i="3"/>
  <c r="G86" i="3"/>
  <c r="J85" i="3"/>
  <c r="I85" i="3"/>
  <c r="H85" i="3"/>
  <c r="G85" i="3"/>
  <c r="J83" i="3"/>
  <c r="I83" i="3"/>
  <c r="H83" i="3"/>
  <c r="G83" i="3"/>
  <c r="J82" i="3"/>
  <c r="I82" i="3"/>
  <c r="H82" i="3"/>
  <c r="G82" i="3"/>
  <c r="J81" i="3"/>
  <c r="I81" i="3"/>
  <c r="H81" i="3"/>
  <c r="G81" i="3"/>
  <c r="J80" i="3"/>
  <c r="I80" i="3"/>
  <c r="H80" i="3"/>
  <c r="G80" i="3"/>
  <c r="J79" i="3"/>
  <c r="I79" i="3"/>
  <c r="H79" i="3"/>
  <c r="G79" i="3"/>
  <c r="J77" i="3"/>
  <c r="I77" i="3"/>
  <c r="H77" i="3"/>
  <c r="G77"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2" i="3"/>
  <c r="I52" i="3"/>
  <c r="H52" i="3"/>
  <c r="G52" i="3"/>
  <c r="J50" i="3"/>
  <c r="I50" i="3"/>
  <c r="H50" i="3"/>
  <c r="G50" i="3"/>
  <c r="J48" i="3"/>
  <c r="I48" i="3"/>
  <c r="H48" i="3"/>
  <c r="G48" i="3"/>
  <c r="J46" i="3"/>
  <c r="I46" i="3"/>
  <c r="H46" i="3"/>
  <c r="G46" i="3"/>
  <c r="J44" i="3"/>
  <c r="I44" i="3"/>
  <c r="H44" i="3"/>
  <c r="G44" i="3"/>
  <c r="J42" i="3"/>
  <c r="I42" i="3"/>
  <c r="H42" i="3"/>
  <c r="G42" i="3"/>
  <c r="J40" i="3"/>
  <c r="I40" i="3"/>
  <c r="H40" i="3"/>
  <c r="G40" i="3"/>
  <c r="J38" i="3"/>
  <c r="I38" i="3"/>
  <c r="H38" i="3"/>
  <c r="G38" i="3"/>
  <c r="J37" i="3"/>
  <c r="I37" i="3"/>
  <c r="H37" i="3"/>
  <c r="G37" i="3"/>
  <c r="J36" i="3"/>
  <c r="I36" i="3"/>
  <c r="H36" i="3"/>
  <c r="G36" i="3"/>
  <c r="J35" i="3"/>
  <c r="I35" i="3"/>
  <c r="H35" i="3"/>
  <c r="G35"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3" i="3"/>
  <c r="I23" i="3"/>
  <c r="H23" i="3"/>
  <c r="G23" i="3"/>
  <c r="J22" i="3"/>
  <c r="I22" i="3"/>
  <c r="H22" i="3"/>
  <c r="G22" i="3"/>
  <c r="J21" i="3"/>
  <c r="I21" i="3"/>
  <c r="H21" i="3"/>
  <c r="G21"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8" i="3"/>
  <c r="I8" i="3"/>
  <c r="H8" i="3"/>
  <c r="G8" i="3"/>
  <c r="J7" i="3"/>
  <c r="I7" i="3"/>
  <c r="H7" i="3"/>
  <c r="G7" i="3"/>
  <c r="J6" i="3"/>
  <c r="I6" i="3"/>
  <c r="H6" i="3"/>
  <c r="G6" i="3"/>
  <c r="J5" i="3"/>
  <c r="I5" i="3"/>
  <c r="H5" i="3"/>
  <c r="G5" i="3"/>
  <c r="J4" i="3"/>
  <c r="I4" i="3"/>
  <c r="H4" i="3"/>
  <c r="G4" i="3"/>
  <c r="A60" i="15" l="1"/>
  <c r="A59" i="15"/>
  <c r="A61" i="15"/>
  <c r="A58" i="15"/>
  <c r="A62" i="15"/>
  <c r="A52" i="15"/>
  <c r="A50" i="15"/>
  <c r="A55" i="15"/>
  <c r="A51" i="15"/>
  <c r="A49" i="15"/>
  <c r="A56" i="15"/>
  <c r="A57" i="15"/>
  <c r="A48" i="15"/>
  <c r="A53" i="15"/>
  <c r="A54" i="15"/>
  <c r="A46" i="15"/>
  <c r="A38" i="15"/>
  <c r="A45" i="15"/>
  <c r="A44" i="15"/>
  <c r="A43" i="15"/>
  <c r="A42" i="15"/>
  <c r="A40" i="15"/>
  <c r="A41" i="15"/>
  <c r="A47" i="15"/>
  <c r="A39" i="15"/>
  <c r="A32" i="15"/>
  <c r="A37" i="15"/>
  <c r="J37" i="15" s="1"/>
  <c r="A36" i="15"/>
  <c r="A34" i="15"/>
  <c r="K34" i="15" s="1"/>
  <c r="A35" i="15"/>
  <c r="F35" i="15" s="1"/>
  <c r="A33" i="15"/>
  <c r="A18" i="15"/>
  <c r="C18" i="15" s="1"/>
  <c r="A28" i="15"/>
  <c r="A11" i="15"/>
  <c r="A21" i="15"/>
  <c r="A20" i="15"/>
  <c r="A12" i="15"/>
  <c r="A22" i="15"/>
  <c r="F22" i="15" s="1"/>
  <c r="A10" i="15"/>
  <c r="A13" i="15"/>
  <c r="A23" i="15"/>
  <c r="A15" i="15"/>
  <c r="B15" i="15" s="1"/>
  <c r="A25" i="15"/>
  <c r="A16" i="15"/>
  <c r="A26" i="15"/>
  <c r="A17" i="15"/>
  <c r="A27" i="15"/>
  <c r="E407" i="8"/>
  <c r="D407" i="8"/>
  <c r="B407" i="8"/>
  <c r="A407" i="8"/>
  <c r="E406" i="8"/>
  <c r="D406" i="8"/>
  <c r="B406" i="8"/>
  <c r="A406" i="8"/>
  <c r="E405" i="8"/>
  <c r="D405" i="8"/>
  <c r="B405" i="8"/>
  <c r="A405" i="8"/>
  <c r="E404" i="8"/>
  <c r="D404" i="8"/>
  <c r="B404" i="8"/>
  <c r="A404" i="8"/>
  <c r="E403" i="8"/>
  <c r="D403" i="8"/>
  <c r="B403" i="8"/>
  <c r="A403" i="8"/>
  <c r="E402" i="8"/>
  <c r="D402" i="8"/>
  <c r="B402" i="8"/>
  <c r="A402" i="8"/>
  <c r="E401" i="8"/>
  <c r="D401" i="8"/>
  <c r="B401" i="8"/>
  <c r="A401" i="8"/>
  <c r="E400" i="8"/>
  <c r="D400" i="8"/>
  <c r="B400" i="8"/>
  <c r="A400" i="8"/>
  <c r="E399" i="8"/>
  <c r="D399" i="8"/>
  <c r="B399" i="8"/>
  <c r="A399" i="8"/>
  <c r="A390" i="8"/>
  <c r="A391" i="8"/>
  <c r="A392" i="8"/>
  <c r="A393" i="8"/>
  <c r="A394" i="8"/>
  <c r="A395" i="8"/>
  <c r="A396" i="8"/>
  <c r="B390" i="8"/>
  <c r="B391" i="8"/>
  <c r="B392" i="8"/>
  <c r="B393" i="8"/>
  <c r="B394" i="8"/>
  <c r="B395" i="8"/>
  <c r="B396" i="8"/>
  <c r="D390" i="8"/>
  <c r="D391" i="8"/>
  <c r="D392" i="8"/>
  <c r="D393" i="8"/>
  <c r="D394" i="8"/>
  <c r="D395" i="8"/>
  <c r="D396" i="8"/>
  <c r="E390" i="8"/>
  <c r="E391" i="8"/>
  <c r="E392" i="8"/>
  <c r="E393" i="8"/>
  <c r="E394" i="8"/>
  <c r="E395" i="8"/>
  <c r="E396" i="8"/>
  <c r="C16" i="15" l="1"/>
  <c r="C28" i="15"/>
  <c r="Z144" i="3"/>
  <c r="Z24" i="3"/>
  <c r="Z151" i="3"/>
  <c r="Z25" i="3"/>
  <c r="Z26" i="3"/>
  <c r="Z150" i="3"/>
  <c r="Z143" i="3"/>
  <c r="Z84" i="3"/>
  <c r="Z161" i="3"/>
  <c r="Z163" i="3"/>
  <c r="Z78" i="3"/>
  <c r="Z91" i="3"/>
  <c r="Z103" i="3"/>
  <c r="Z75" i="3"/>
  <c r="Z76" i="3"/>
  <c r="Z87" i="3"/>
  <c r="Z97" i="3"/>
  <c r="Z93" i="3"/>
  <c r="Z159" i="3"/>
  <c r="Z99" i="3"/>
  <c r="Z165" i="3"/>
  <c r="Z89" i="3"/>
  <c r="Z188" i="3"/>
  <c r="Z186" i="3"/>
  <c r="Z190" i="3"/>
  <c r="Z198" i="3"/>
  <c r="Z200" i="3"/>
  <c r="Z196" i="3"/>
  <c r="Z95" i="3"/>
  <c r="Z192" i="3"/>
  <c r="Z184" i="3"/>
  <c r="Z170" i="3"/>
  <c r="Z178" i="3"/>
  <c r="Z168" i="3"/>
  <c r="Z180" i="3"/>
  <c r="Z209" i="3"/>
  <c r="Z213" i="3"/>
  <c r="Z211" i="3"/>
  <c r="Z223" i="3"/>
  <c r="Z217" i="3"/>
  <c r="Z115" i="3"/>
  <c r="Z131" i="3"/>
  <c r="Z117" i="3"/>
  <c r="Z133" i="3"/>
  <c r="Z219" i="3"/>
  <c r="Z10" i="3"/>
  <c r="Z121" i="3"/>
  <c r="Z182" i="3"/>
  <c r="Z207" i="3"/>
  <c r="Z221" i="3"/>
  <c r="Z74" i="3"/>
  <c r="Z127" i="3"/>
  <c r="Z114" i="3"/>
  <c r="Z125" i="3"/>
  <c r="Z119" i="3"/>
  <c r="Z215" i="3"/>
  <c r="Z123" i="3"/>
  <c r="Z194" i="3"/>
  <c r="Z136" i="3"/>
  <c r="Z129" i="3"/>
  <c r="Z9" i="3"/>
  <c r="Z172" i="3"/>
  <c r="Z34" i="3"/>
  <c r="Z41" i="3"/>
  <c r="Z43" i="3"/>
  <c r="Z174" i="3"/>
  <c r="Z45" i="3"/>
  <c r="Z176" i="3"/>
  <c r="Z47" i="3"/>
  <c r="Z49" i="3"/>
  <c r="Z51" i="3"/>
  <c r="Z39" i="3"/>
  <c r="Z53" i="3"/>
  <c r="Z105" i="3"/>
  <c r="Z107" i="3"/>
  <c r="Z108" i="3"/>
  <c r="Z110" i="3"/>
  <c r="Z112" i="3"/>
  <c r="Z3" i="3"/>
  <c r="Z4" i="3"/>
  <c r="Z5" i="3"/>
  <c r="Z6" i="3"/>
  <c r="Z7" i="3"/>
  <c r="Z8" i="3"/>
  <c r="Z11" i="3"/>
  <c r="Z12" i="3"/>
  <c r="Z13" i="3"/>
  <c r="Z14" i="3"/>
  <c r="Z15" i="3"/>
  <c r="Z16" i="3"/>
  <c r="Z17" i="3"/>
  <c r="Z18" i="3"/>
  <c r="Z21" i="3"/>
  <c r="Z22" i="3"/>
  <c r="Z27" i="3"/>
  <c r="Z28" i="3"/>
  <c r="Z29" i="3"/>
  <c r="Z30" i="3"/>
  <c r="Z31" i="3"/>
  <c r="Z32" i="3"/>
  <c r="Z23" i="3"/>
  <c r="Z33" i="3"/>
  <c r="Z35" i="3"/>
  <c r="Z36" i="3"/>
  <c r="Z37" i="3"/>
  <c r="Z38" i="3"/>
  <c r="Z40" i="3"/>
  <c r="Z42" i="3"/>
  <c r="Z44" i="3"/>
  <c r="Z46" i="3"/>
  <c r="Z48" i="3"/>
  <c r="Z50" i="3"/>
  <c r="Z52" i="3"/>
  <c r="Z54" i="3"/>
  <c r="Z55" i="3"/>
  <c r="Z56" i="3"/>
  <c r="Z57" i="3"/>
  <c r="Z58" i="3"/>
  <c r="Z59" i="3"/>
  <c r="Z60" i="3"/>
  <c r="Z61" i="3"/>
  <c r="Z62" i="3"/>
  <c r="Z63" i="3"/>
  <c r="Z64" i="3"/>
  <c r="Z65" i="3"/>
  <c r="Z66" i="3"/>
  <c r="Z67" i="3"/>
  <c r="Z68" i="3"/>
  <c r="Z69" i="3"/>
  <c r="Z70" i="3"/>
  <c r="Z71" i="3"/>
  <c r="Z72" i="3"/>
  <c r="Z73" i="3"/>
  <c r="Z77" i="3"/>
  <c r="Z79" i="3"/>
  <c r="Z80" i="3"/>
  <c r="Z81" i="3"/>
  <c r="Z82" i="3"/>
  <c r="Z83" i="3"/>
  <c r="Z85" i="3"/>
  <c r="Z86" i="3"/>
  <c r="Z88" i="3"/>
  <c r="Z90" i="3"/>
  <c r="Z92" i="3"/>
  <c r="Z94" i="3"/>
  <c r="Z96" i="3"/>
  <c r="Z98" i="3"/>
  <c r="Z100" i="3"/>
  <c r="Z101" i="3"/>
  <c r="Z102" i="3"/>
  <c r="Z104" i="3"/>
  <c r="Z106" i="3"/>
  <c r="Z109" i="3"/>
  <c r="Z111" i="3"/>
  <c r="Z113" i="3"/>
  <c r="Z116" i="3"/>
  <c r="Z118" i="3"/>
  <c r="Z120" i="3"/>
  <c r="Z122" i="3"/>
  <c r="Z124" i="3"/>
  <c r="Z126" i="3"/>
  <c r="Z128" i="3"/>
  <c r="Z130" i="3"/>
  <c r="Z132" i="3"/>
  <c r="Z134" i="3"/>
  <c r="Z135" i="3"/>
  <c r="Z137" i="3"/>
  <c r="Z138" i="3"/>
  <c r="Z139" i="3"/>
  <c r="Z140" i="3"/>
  <c r="Z141" i="3"/>
  <c r="Z145" i="3"/>
  <c r="Z146" i="3"/>
  <c r="Z148" i="3"/>
  <c r="Z149" i="3"/>
  <c r="Z152" i="3"/>
  <c r="Z153" i="3"/>
  <c r="Z154" i="3"/>
  <c r="Z155" i="3"/>
  <c r="Z156" i="3"/>
  <c r="Z157" i="3"/>
  <c r="Z158" i="3"/>
  <c r="Z142" i="3"/>
  <c r="Z147" i="3"/>
  <c r="Z160" i="3"/>
  <c r="Z162" i="3"/>
  <c r="Z164" i="3"/>
  <c r="Z166" i="3"/>
  <c r="Z169" i="3"/>
  <c r="Z171" i="3"/>
  <c r="Z173" i="3"/>
  <c r="Z175" i="3"/>
  <c r="Z177" i="3"/>
  <c r="Z179" i="3"/>
  <c r="Z181" i="3"/>
  <c r="Z183" i="3"/>
  <c r="Z185" i="3"/>
  <c r="Z187" i="3"/>
  <c r="Z189" i="3"/>
  <c r="Z191" i="3"/>
  <c r="Z193" i="3"/>
  <c r="Z195" i="3"/>
  <c r="Z197" i="3"/>
  <c r="Z199" i="3"/>
  <c r="Z201" i="3"/>
  <c r="Z202" i="3"/>
  <c r="Z203" i="3"/>
  <c r="Z204" i="3"/>
  <c r="Z205" i="3"/>
  <c r="Z206" i="3"/>
  <c r="Z208" i="3"/>
  <c r="Z210" i="3"/>
  <c r="Z212" i="3"/>
  <c r="Z214" i="3"/>
  <c r="Z216" i="3"/>
  <c r="Z218" i="3"/>
  <c r="Z220" i="3"/>
  <c r="Z222" i="3"/>
  <c r="Z224" i="3"/>
  <c r="J62" i="15"/>
  <c r="I62" i="15"/>
  <c r="B62" i="15"/>
  <c r="H62" i="15"/>
  <c r="G62" i="15"/>
  <c r="C62" i="15"/>
  <c r="F62" i="15"/>
  <c r="D62" i="15"/>
  <c r="K62" i="15"/>
  <c r="F58" i="15"/>
  <c r="D58" i="15"/>
  <c r="B58" i="15"/>
  <c r="C58" i="15"/>
  <c r="K58" i="15"/>
  <c r="H58" i="15"/>
  <c r="J58" i="15"/>
  <c r="I58" i="15"/>
  <c r="G58" i="15"/>
  <c r="K61" i="15"/>
  <c r="B61" i="15"/>
  <c r="J61" i="15"/>
  <c r="I61" i="15"/>
  <c r="H61" i="15"/>
  <c r="G61" i="15"/>
  <c r="D61" i="15"/>
  <c r="C61" i="15"/>
  <c r="F61" i="15"/>
  <c r="D59" i="15"/>
  <c r="C59" i="15"/>
  <c r="J59" i="15"/>
  <c r="H59" i="15"/>
  <c r="K59" i="15"/>
  <c r="B59" i="15"/>
  <c r="I59" i="15"/>
  <c r="G59" i="15"/>
  <c r="F59" i="15"/>
  <c r="C60" i="15"/>
  <c r="K60" i="15"/>
  <c r="B60" i="15"/>
  <c r="F60" i="15"/>
  <c r="J60" i="15"/>
  <c r="I60" i="15"/>
  <c r="G60" i="15"/>
  <c r="H60" i="15"/>
  <c r="D60" i="15"/>
  <c r="C48" i="15"/>
  <c r="J48" i="15"/>
  <c r="H48" i="15"/>
  <c r="K48" i="15"/>
  <c r="B48" i="15"/>
  <c r="D48" i="15"/>
  <c r="I48" i="15"/>
  <c r="G48" i="15"/>
  <c r="F48" i="15"/>
  <c r="H52" i="15"/>
  <c r="F52" i="15"/>
  <c r="C52" i="15"/>
  <c r="G52" i="15"/>
  <c r="I52" i="15"/>
  <c r="D52" i="15"/>
  <c r="K52" i="15"/>
  <c r="B52" i="15"/>
  <c r="J52" i="15"/>
  <c r="K57" i="15"/>
  <c r="B57" i="15"/>
  <c r="I57" i="15"/>
  <c r="J57" i="15"/>
  <c r="F57" i="15"/>
  <c r="H57" i="15"/>
  <c r="G57" i="15"/>
  <c r="D57" i="15"/>
  <c r="C57" i="15"/>
  <c r="C56" i="15"/>
  <c r="J56" i="15"/>
  <c r="K56" i="15"/>
  <c r="B56" i="15"/>
  <c r="D56" i="15"/>
  <c r="I56" i="15"/>
  <c r="G56" i="15"/>
  <c r="H56" i="15"/>
  <c r="F56" i="15"/>
  <c r="K49" i="15"/>
  <c r="B49" i="15"/>
  <c r="J49" i="15"/>
  <c r="I49" i="15"/>
  <c r="H49" i="15"/>
  <c r="G49" i="15"/>
  <c r="F49" i="15"/>
  <c r="D49" i="15"/>
  <c r="C49" i="15"/>
  <c r="I51" i="15"/>
  <c r="C51" i="15"/>
  <c r="H51" i="15"/>
  <c r="G51" i="15"/>
  <c r="D51" i="15"/>
  <c r="F51" i="15"/>
  <c r="J51" i="15"/>
  <c r="K51" i="15"/>
  <c r="B51" i="15"/>
  <c r="F54" i="15"/>
  <c r="C54" i="15"/>
  <c r="I54" i="15"/>
  <c r="D54" i="15"/>
  <c r="K54" i="15"/>
  <c r="B54" i="15"/>
  <c r="G54" i="15"/>
  <c r="J54" i="15"/>
  <c r="H54" i="15"/>
  <c r="D55" i="15"/>
  <c r="C55" i="15"/>
  <c r="K55" i="15"/>
  <c r="B55" i="15"/>
  <c r="J55" i="15"/>
  <c r="I55" i="15"/>
  <c r="H55" i="15"/>
  <c r="G55" i="15"/>
  <c r="F55" i="15"/>
  <c r="G53" i="15"/>
  <c r="H53" i="15"/>
  <c r="F53" i="15"/>
  <c r="D53" i="15"/>
  <c r="J53" i="15"/>
  <c r="C53" i="15"/>
  <c r="K53" i="15"/>
  <c r="B53" i="15"/>
  <c r="I53" i="15"/>
  <c r="J50" i="15"/>
  <c r="H50" i="15"/>
  <c r="B50" i="15"/>
  <c r="I50" i="15"/>
  <c r="D50" i="15"/>
  <c r="G50" i="15"/>
  <c r="K50" i="15"/>
  <c r="F50" i="15"/>
  <c r="C50" i="15"/>
  <c r="C42" i="15"/>
  <c r="K42" i="15"/>
  <c r="B42" i="15"/>
  <c r="J42" i="15"/>
  <c r="F42" i="15"/>
  <c r="I42" i="15"/>
  <c r="H42" i="15"/>
  <c r="G42" i="15"/>
  <c r="D42" i="15"/>
  <c r="K43" i="15"/>
  <c r="B43" i="15"/>
  <c r="D43" i="15"/>
  <c r="J43" i="15"/>
  <c r="I43" i="15"/>
  <c r="H43" i="15"/>
  <c r="G43" i="15"/>
  <c r="F43" i="15"/>
  <c r="C43" i="15"/>
  <c r="J44" i="15"/>
  <c r="I44" i="15"/>
  <c r="H44" i="15"/>
  <c r="G44" i="15"/>
  <c r="F44" i="15"/>
  <c r="C44" i="15"/>
  <c r="D44" i="15"/>
  <c r="K44" i="15"/>
  <c r="B44" i="15"/>
  <c r="G39" i="15"/>
  <c r="F39" i="15"/>
  <c r="D39" i="15"/>
  <c r="C39" i="15"/>
  <c r="I39" i="15"/>
  <c r="K39" i="15"/>
  <c r="B39" i="15"/>
  <c r="J39" i="15"/>
  <c r="H39" i="15"/>
  <c r="I45" i="15"/>
  <c r="H45" i="15"/>
  <c r="G45" i="15"/>
  <c r="F45" i="15"/>
  <c r="D45" i="15"/>
  <c r="C45" i="15"/>
  <c r="B45" i="15"/>
  <c r="J45" i="15"/>
  <c r="K45" i="15"/>
  <c r="F40" i="15"/>
  <c r="D40" i="15"/>
  <c r="C40" i="15"/>
  <c r="K40" i="15"/>
  <c r="B40" i="15"/>
  <c r="J40" i="15"/>
  <c r="I40" i="15"/>
  <c r="H40" i="15"/>
  <c r="G40" i="15"/>
  <c r="G47" i="15"/>
  <c r="F47" i="15"/>
  <c r="I47" i="15"/>
  <c r="D47" i="15"/>
  <c r="C47" i="15"/>
  <c r="K47" i="15"/>
  <c r="B47" i="15"/>
  <c r="J47" i="15"/>
  <c r="H47" i="15"/>
  <c r="H38" i="15"/>
  <c r="J38" i="15"/>
  <c r="G38" i="15"/>
  <c r="F38" i="15"/>
  <c r="D38" i="15"/>
  <c r="C38" i="15"/>
  <c r="K38" i="15"/>
  <c r="B38" i="15"/>
  <c r="I38" i="15"/>
  <c r="D41" i="15"/>
  <c r="C41" i="15"/>
  <c r="G41" i="15"/>
  <c r="K41" i="15"/>
  <c r="B41" i="15"/>
  <c r="J41" i="15"/>
  <c r="I41" i="15"/>
  <c r="H41" i="15"/>
  <c r="F41" i="15"/>
  <c r="H46" i="15"/>
  <c r="G46" i="15"/>
  <c r="F46" i="15"/>
  <c r="D46" i="15"/>
  <c r="J46" i="15"/>
  <c r="C46" i="15"/>
  <c r="K46" i="15"/>
  <c r="B46" i="15"/>
  <c r="I46" i="15"/>
  <c r="B28" i="15"/>
  <c r="G28" i="15"/>
  <c r="G35" i="15"/>
  <c r="F37" i="15"/>
  <c r="G37" i="15"/>
  <c r="D35" i="15"/>
  <c r="F28" i="15"/>
  <c r="F34" i="15"/>
  <c r="J18" i="15"/>
  <c r="J34" i="15"/>
  <c r="I34" i="15"/>
  <c r="G34" i="15"/>
  <c r="D34" i="15"/>
  <c r="C34" i="15"/>
  <c r="B34" i="15"/>
  <c r="H34" i="15"/>
  <c r="B16" i="15"/>
  <c r="H37" i="15"/>
  <c r="I37" i="15"/>
  <c r="C37" i="15"/>
  <c r="D37" i="15"/>
  <c r="K37" i="15"/>
  <c r="D16" i="15"/>
  <c r="F15" i="15"/>
  <c r="H22" i="15"/>
  <c r="J22" i="15"/>
  <c r="B22" i="15"/>
  <c r="C22" i="15"/>
  <c r="I15" i="15"/>
  <c r="K22" i="15"/>
  <c r="G22" i="15"/>
  <c r="I22" i="15"/>
  <c r="D26" i="15"/>
  <c r="B26" i="15"/>
  <c r="C26" i="15"/>
  <c r="D22" i="15"/>
  <c r="F26" i="15"/>
  <c r="E15" i="15"/>
  <c r="E16" i="15" s="1"/>
  <c r="J35" i="15"/>
  <c r="B37" i="15"/>
  <c r="K15" i="15"/>
  <c r="H15" i="15"/>
  <c r="C35" i="15"/>
  <c r="K35" i="15"/>
  <c r="B35" i="15"/>
  <c r="J15" i="15"/>
  <c r="C15" i="15"/>
  <c r="D15" i="15"/>
  <c r="G15" i="15"/>
  <c r="D28" i="15"/>
  <c r="D18" i="15"/>
  <c r="B18" i="15"/>
  <c r="F18" i="15"/>
  <c r="I35" i="15"/>
  <c r="H35" i="15"/>
  <c r="H18" i="15"/>
  <c r="G18" i="15"/>
  <c r="I18" i="15"/>
  <c r="G16" i="15"/>
  <c r="F16" i="15"/>
  <c r="K18" i="15"/>
  <c r="G26" i="15"/>
  <c r="D33" i="15"/>
  <c r="K33" i="15"/>
  <c r="B33" i="15"/>
  <c r="J33" i="15"/>
  <c r="I33" i="15"/>
  <c r="F33" i="15"/>
  <c r="C33" i="15"/>
  <c r="H33" i="15"/>
  <c r="G33" i="15"/>
  <c r="D27" i="15"/>
  <c r="K27" i="15"/>
  <c r="C27" i="15"/>
  <c r="J27" i="15"/>
  <c r="B27" i="15"/>
  <c r="I27" i="15"/>
  <c r="F27" i="15"/>
  <c r="H27" i="15"/>
  <c r="G27" i="15"/>
  <c r="K25" i="15"/>
  <c r="C25" i="15"/>
  <c r="I25" i="15"/>
  <c r="H25" i="15"/>
  <c r="G25" i="15"/>
  <c r="J25" i="15"/>
  <c r="B25" i="15"/>
  <c r="F25" i="15"/>
  <c r="D25" i="15"/>
  <c r="E25" i="15"/>
  <c r="E27" i="15" s="1"/>
  <c r="D21" i="15"/>
  <c r="B21" i="15"/>
  <c r="C21" i="15"/>
  <c r="G21" i="15"/>
  <c r="F21" i="15"/>
  <c r="B17" i="15"/>
  <c r="F17" i="15"/>
  <c r="G17" i="15"/>
  <c r="C17" i="15"/>
  <c r="D17" i="15"/>
  <c r="G10" i="15"/>
  <c r="D10" i="15"/>
  <c r="H10" i="15"/>
  <c r="K10" i="15"/>
  <c r="C10" i="15"/>
  <c r="J10" i="15"/>
  <c r="B10" i="15"/>
  <c r="I10" i="15"/>
  <c r="F10" i="15"/>
  <c r="E10" i="15"/>
  <c r="I12" i="15"/>
  <c r="F12" i="15"/>
  <c r="B12" i="15"/>
  <c r="D12" i="15"/>
  <c r="H12" i="15"/>
  <c r="K12" i="15"/>
  <c r="C12" i="15"/>
  <c r="J12" i="15"/>
  <c r="G12" i="15"/>
  <c r="G32" i="15"/>
  <c r="D32" i="15"/>
  <c r="C32" i="15"/>
  <c r="K32" i="15"/>
  <c r="B32" i="15"/>
  <c r="J32" i="15"/>
  <c r="H32" i="15"/>
  <c r="I32" i="15"/>
  <c r="F32" i="15"/>
  <c r="F23" i="15"/>
  <c r="D23" i="15"/>
  <c r="C23" i="15"/>
  <c r="G23" i="15"/>
  <c r="B23" i="15"/>
  <c r="G36" i="15"/>
  <c r="F36" i="15"/>
  <c r="D36" i="15"/>
  <c r="C36" i="15"/>
  <c r="K36" i="15"/>
  <c r="B36" i="15"/>
  <c r="J36" i="15"/>
  <c r="I36" i="15"/>
  <c r="H36" i="15"/>
  <c r="F13" i="15"/>
  <c r="K13" i="15"/>
  <c r="C13" i="15"/>
  <c r="J13" i="15"/>
  <c r="B13" i="15"/>
  <c r="I13" i="15"/>
  <c r="H13" i="15"/>
  <c r="G13" i="15"/>
  <c r="D13" i="15"/>
  <c r="D11" i="15"/>
  <c r="I11" i="15"/>
  <c r="H11" i="15"/>
  <c r="G11" i="15"/>
  <c r="F11" i="15"/>
  <c r="K11" i="15"/>
  <c r="C11" i="15"/>
  <c r="J11" i="15"/>
  <c r="B11" i="15"/>
  <c r="G20" i="15"/>
  <c r="E20" i="15"/>
  <c r="E21" i="15" s="1"/>
  <c r="D20" i="15"/>
  <c r="K20" i="15"/>
  <c r="C20" i="15"/>
  <c r="F20" i="15"/>
  <c r="J20" i="15"/>
  <c r="B20" i="15"/>
  <c r="H20" i="15"/>
  <c r="I20" i="15"/>
  <c r="E28" i="15" l="1"/>
  <c r="E26" i="15"/>
  <c r="E18" i="15"/>
  <c r="E17" i="15"/>
  <c r="E13" i="15"/>
  <c r="E12" i="15"/>
  <c r="E11" i="15"/>
  <c r="E22" i="15"/>
  <c r="E23" i="15"/>
  <c r="E389" i="8"/>
  <c r="D389" i="8"/>
  <c r="B389" i="8"/>
  <c r="A389" i="8"/>
  <c r="E388" i="8"/>
  <c r="D388" i="8"/>
  <c r="B388" i="8"/>
  <c r="A388" i="8"/>
  <c r="E387" i="8"/>
  <c r="D387" i="8"/>
  <c r="B387" i="8"/>
  <c r="A387" i="8"/>
  <c r="E386" i="8"/>
  <c r="D386" i="8"/>
  <c r="B386" i="8"/>
  <c r="A386" i="8"/>
  <c r="E385" i="8"/>
  <c r="D385" i="8"/>
  <c r="B385" i="8"/>
  <c r="A385" i="8"/>
  <c r="E384" i="8"/>
  <c r="D384" i="8"/>
  <c r="B384" i="8"/>
  <c r="A384" i="8"/>
  <c r="E383" i="8"/>
  <c r="D383" i="8"/>
  <c r="B383" i="8"/>
  <c r="A383" i="8"/>
  <c r="AD144" i="3" l="1"/>
  <c r="AD26" i="3"/>
  <c r="AD151" i="3"/>
  <c r="AD24" i="3"/>
  <c r="AD25" i="3"/>
  <c r="AD150" i="3"/>
  <c r="AD163" i="3"/>
  <c r="AD78" i="3"/>
  <c r="AD161" i="3"/>
  <c r="AD143" i="3"/>
  <c r="AD84" i="3"/>
  <c r="AD93" i="3"/>
  <c r="AD159" i="3"/>
  <c r="AD99" i="3"/>
  <c r="AD165" i="3"/>
  <c r="AD89" i="3"/>
  <c r="AD91" i="3"/>
  <c r="AD103" i="3"/>
  <c r="AD75" i="3"/>
  <c r="AD87" i="3"/>
  <c r="AD97" i="3"/>
  <c r="AD76" i="3"/>
  <c r="AD188" i="3"/>
  <c r="AD196" i="3"/>
  <c r="AD186" i="3"/>
  <c r="AD190" i="3"/>
  <c r="AD198" i="3"/>
  <c r="AD200" i="3"/>
  <c r="AD192" i="3"/>
  <c r="AD95" i="3"/>
  <c r="AD184" i="3"/>
  <c r="AD170" i="3"/>
  <c r="AD178" i="3"/>
  <c r="AD180" i="3"/>
  <c r="AD168" i="3"/>
  <c r="AD209" i="3"/>
  <c r="AD213" i="3"/>
  <c r="AD211" i="3"/>
  <c r="AD223" i="3"/>
  <c r="AD217" i="3"/>
  <c r="AD115" i="3"/>
  <c r="AD131" i="3"/>
  <c r="AD117" i="3"/>
  <c r="AD133" i="3"/>
  <c r="AD219" i="3"/>
  <c r="AD10" i="3"/>
  <c r="AD121" i="3"/>
  <c r="AD182" i="3"/>
  <c r="AD207" i="3"/>
  <c r="AD221" i="3"/>
  <c r="AD74" i="3"/>
  <c r="AD127" i="3"/>
  <c r="AD125" i="3"/>
  <c r="AD123" i="3"/>
  <c r="AD136" i="3"/>
  <c r="AD129" i="3"/>
  <c r="AD9" i="3"/>
  <c r="AD172" i="3"/>
  <c r="AD194" i="3"/>
  <c r="AD114" i="3"/>
  <c r="AD119" i="3"/>
  <c r="AD215" i="3"/>
  <c r="AD49" i="3"/>
  <c r="AD51" i="3"/>
  <c r="AD53" i="3"/>
  <c r="AD39" i="3"/>
  <c r="AD34" i="3"/>
  <c r="AD41" i="3"/>
  <c r="AD47" i="3"/>
  <c r="AD43" i="3"/>
  <c r="AD174" i="3"/>
  <c r="AD45" i="3"/>
  <c r="AD176" i="3"/>
  <c r="AD112" i="3"/>
  <c r="AD107" i="3"/>
  <c r="AD105" i="3"/>
  <c r="AD108" i="3"/>
  <c r="AD110" i="3"/>
  <c r="AD3" i="3"/>
  <c r="AD4" i="3"/>
  <c r="AD5" i="3"/>
  <c r="AD6" i="3"/>
  <c r="AD7" i="3"/>
  <c r="AD8" i="3"/>
  <c r="AD11" i="3"/>
  <c r="AD12" i="3"/>
  <c r="AD13" i="3"/>
  <c r="AD14" i="3"/>
  <c r="AD15" i="3"/>
  <c r="AD16" i="3"/>
  <c r="AD17" i="3"/>
  <c r="AD18" i="3"/>
  <c r="AD21" i="3"/>
  <c r="AD22" i="3"/>
  <c r="AD27" i="3"/>
  <c r="AD28" i="3"/>
  <c r="AD29" i="3"/>
  <c r="AD30" i="3"/>
  <c r="AD31" i="3"/>
  <c r="AD32" i="3"/>
  <c r="AD23" i="3"/>
  <c r="AD33" i="3"/>
  <c r="AD35" i="3"/>
  <c r="AD36" i="3"/>
  <c r="AD37" i="3"/>
  <c r="AD38" i="3"/>
  <c r="AD40" i="3"/>
  <c r="AD42" i="3"/>
  <c r="AD44" i="3"/>
  <c r="AD46" i="3"/>
  <c r="AD48" i="3"/>
  <c r="AD50" i="3"/>
  <c r="AD52" i="3"/>
  <c r="AD54" i="3"/>
  <c r="AD55" i="3"/>
  <c r="AD56" i="3"/>
  <c r="AD57" i="3"/>
  <c r="AD58" i="3"/>
  <c r="AD59" i="3"/>
  <c r="AD60" i="3"/>
  <c r="AD61" i="3"/>
  <c r="AD62" i="3"/>
  <c r="AD63" i="3"/>
  <c r="AD64" i="3"/>
  <c r="AD65" i="3"/>
  <c r="AD66" i="3"/>
  <c r="AD67" i="3"/>
  <c r="AD68" i="3"/>
  <c r="AD69" i="3"/>
  <c r="AD70" i="3"/>
  <c r="AD71" i="3"/>
  <c r="AD72" i="3"/>
  <c r="AD73" i="3"/>
  <c r="AD77" i="3"/>
  <c r="AD79" i="3"/>
  <c r="AD80" i="3"/>
  <c r="AD81" i="3"/>
  <c r="AD82" i="3"/>
  <c r="AD83" i="3"/>
  <c r="AD85" i="3"/>
  <c r="AD86" i="3"/>
  <c r="AD88" i="3"/>
  <c r="AD90" i="3"/>
  <c r="AD92" i="3"/>
  <c r="AD94" i="3"/>
  <c r="AD96" i="3"/>
  <c r="AD98" i="3"/>
  <c r="AD100" i="3"/>
  <c r="AD101" i="3"/>
  <c r="AD102" i="3"/>
  <c r="AD104" i="3"/>
  <c r="AD106" i="3"/>
  <c r="AD109" i="3"/>
  <c r="AD111" i="3"/>
  <c r="AD113" i="3"/>
  <c r="AD116" i="3"/>
  <c r="AD118" i="3"/>
  <c r="AD120" i="3"/>
  <c r="AD122" i="3"/>
  <c r="AD124" i="3"/>
  <c r="AD126" i="3"/>
  <c r="AD128" i="3"/>
  <c r="AD130" i="3"/>
  <c r="AD132" i="3"/>
  <c r="AD134" i="3"/>
  <c r="AD135" i="3"/>
  <c r="AD137" i="3"/>
  <c r="AD138" i="3"/>
  <c r="AD139" i="3"/>
  <c r="AD140" i="3"/>
  <c r="AD141" i="3"/>
  <c r="AD145" i="3"/>
  <c r="AD146" i="3"/>
  <c r="AD148" i="3"/>
  <c r="AD149" i="3"/>
  <c r="AD152" i="3"/>
  <c r="AD153" i="3"/>
  <c r="AD154" i="3"/>
  <c r="AD155" i="3"/>
  <c r="AD156" i="3"/>
  <c r="AD157" i="3"/>
  <c r="AD158" i="3"/>
  <c r="AD142" i="3"/>
  <c r="AD147" i="3"/>
  <c r="AD160" i="3"/>
  <c r="AD162" i="3"/>
  <c r="AD164" i="3"/>
  <c r="AD166" i="3"/>
  <c r="AD169" i="3"/>
  <c r="AD171" i="3"/>
  <c r="AD173" i="3"/>
  <c r="AD175" i="3"/>
  <c r="AD177" i="3"/>
  <c r="AD179" i="3"/>
  <c r="AD181" i="3"/>
  <c r="AD183" i="3"/>
  <c r="AD185" i="3"/>
  <c r="AD187" i="3"/>
  <c r="AD189" i="3"/>
  <c r="AD191" i="3"/>
  <c r="AD193" i="3"/>
  <c r="AD195" i="3"/>
  <c r="AD197" i="3"/>
  <c r="AD199" i="3"/>
  <c r="AD201" i="3"/>
  <c r="AD202" i="3"/>
  <c r="AD203" i="3"/>
  <c r="AD204" i="3"/>
  <c r="AD205" i="3"/>
  <c r="AD206" i="3"/>
  <c r="AD208" i="3"/>
  <c r="AD210" i="3"/>
  <c r="AD212" i="3"/>
  <c r="AD214" i="3"/>
  <c r="AD216" i="3"/>
  <c r="AD218" i="3"/>
  <c r="AD220" i="3"/>
  <c r="AD222" i="3"/>
  <c r="AD224" i="3"/>
  <c r="E380" i="8"/>
  <c r="D380" i="8"/>
  <c r="B380" i="8"/>
  <c r="A380" i="8"/>
  <c r="E379" i="8"/>
  <c r="D379" i="8"/>
  <c r="B379" i="8"/>
  <c r="A379" i="8"/>
  <c r="E378" i="8"/>
  <c r="D378" i="8"/>
  <c r="B378" i="8"/>
  <c r="A378" i="8"/>
  <c r="E377" i="8"/>
  <c r="D377" i="8"/>
  <c r="B377" i="8"/>
  <c r="A377" i="8"/>
  <c r="E376" i="8"/>
  <c r="D376" i="8"/>
  <c r="B376" i="8"/>
  <c r="A376" i="8"/>
  <c r="E375" i="8"/>
  <c r="D375" i="8"/>
  <c r="B375" i="8"/>
  <c r="A375" i="8"/>
  <c r="E374" i="8"/>
  <c r="D374" i="8"/>
  <c r="B374" i="8"/>
  <c r="A374" i="8"/>
  <c r="AC144" i="3" l="1"/>
  <c r="AC150" i="3"/>
  <c r="AC151" i="3"/>
  <c r="AC26" i="3"/>
  <c r="AC24" i="3"/>
  <c r="AC25" i="3"/>
  <c r="AC161" i="3"/>
  <c r="AC163" i="3"/>
  <c r="AC78" i="3"/>
  <c r="AC84" i="3"/>
  <c r="AC143" i="3"/>
  <c r="AC87" i="3"/>
  <c r="AC97" i="3"/>
  <c r="AC93" i="3"/>
  <c r="AC159" i="3"/>
  <c r="AC99" i="3"/>
  <c r="AC165" i="3"/>
  <c r="AC89" i="3"/>
  <c r="AC91" i="3"/>
  <c r="AC103" i="3"/>
  <c r="AC76" i="3"/>
  <c r="AC75" i="3"/>
  <c r="AC188" i="3"/>
  <c r="AC186" i="3"/>
  <c r="AC190" i="3"/>
  <c r="AC198" i="3"/>
  <c r="AC200" i="3"/>
  <c r="AC95" i="3"/>
  <c r="AC192" i="3"/>
  <c r="AC196" i="3"/>
  <c r="AC178" i="3"/>
  <c r="AC180" i="3"/>
  <c r="AC168" i="3"/>
  <c r="AC184" i="3"/>
  <c r="AC170" i="3"/>
  <c r="AC209" i="3"/>
  <c r="AC213" i="3"/>
  <c r="AC211" i="3"/>
  <c r="AC223" i="3"/>
  <c r="AC207" i="3"/>
  <c r="AC221" i="3"/>
  <c r="AC9" i="3"/>
  <c r="AC119" i="3"/>
  <c r="AC172" i="3"/>
  <c r="AC10" i="3"/>
  <c r="AC121" i="3"/>
  <c r="AC182" i="3"/>
  <c r="AC215" i="3"/>
  <c r="AC125" i="3"/>
  <c r="AC217" i="3"/>
  <c r="AC115" i="3"/>
  <c r="AC131" i="3"/>
  <c r="AC114" i="3"/>
  <c r="AC117" i="3"/>
  <c r="AC74" i="3"/>
  <c r="AC123" i="3"/>
  <c r="AC136" i="3"/>
  <c r="AC127" i="3"/>
  <c r="AC129" i="3"/>
  <c r="AC219" i="3"/>
  <c r="AC133" i="3"/>
  <c r="AC194" i="3"/>
  <c r="AC39" i="3"/>
  <c r="AC34" i="3"/>
  <c r="AC41" i="3"/>
  <c r="AC43" i="3"/>
  <c r="AC174" i="3"/>
  <c r="AC45" i="3"/>
  <c r="AC176" i="3"/>
  <c r="AC47" i="3"/>
  <c r="AC49" i="3"/>
  <c r="AC53" i="3"/>
  <c r="AC51" i="3"/>
  <c r="AC107" i="3"/>
  <c r="AC108" i="3"/>
  <c r="AC110" i="3"/>
  <c r="AC112" i="3"/>
  <c r="AC105" i="3"/>
  <c r="AC3" i="3"/>
  <c r="AC4" i="3"/>
  <c r="AC5" i="3"/>
  <c r="AC6" i="3"/>
  <c r="AC7" i="3"/>
  <c r="AC8" i="3"/>
  <c r="AC11" i="3"/>
  <c r="AC12" i="3"/>
  <c r="AC13" i="3"/>
  <c r="AC14" i="3"/>
  <c r="AC15" i="3"/>
  <c r="AC16" i="3"/>
  <c r="AC17" i="3"/>
  <c r="AC18" i="3"/>
  <c r="AC21" i="3"/>
  <c r="AC22" i="3"/>
  <c r="AC27" i="3"/>
  <c r="AC28" i="3"/>
  <c r="AC29" i="3"/>
  <c r="AC30" i="3"/>
  <c r="AC31" i="3"/>
  <c r="AC32" i="3"/>
  <c r="AC23" i="3"/>
  <c r="AC33" i="3"/>
  <c r="AC35" i="3"/>
  <c r="AC36" i="3"/>
  <c r="AC37" i="3"/>
  <c r="AC38" i="3"/>
  <c r="AC40" i="3"/>
  <c r="AC42" i="3"/>
  <c r="AC44" i="3"/>
  <c r="AC46" i="3"/>
  <c r="AC48" i="3"/>
  <c r="AC50" i="3"/>
  <c r="AC52" i="3"/>
  <c r="AC54" i="3"/>
  <c r="AC55" i="3"/>
  <c r="AC56" i="3"/>
  <c r="AC57" i="3"/>
  <c r="AC58" i="3"/>
  <c r="AC59" i="3"/>
  <c r="AC60" i="3"/>
  <c r="AC61" i="3"/>
  <c r="AC62" i="3"/>
  <c r="AC63" i="3"/>
  <c r="AC64" i="3"/>
  <c r="AC65" i="3"/>
  <c r="AC66" i="3"/>
  <c r="AC67" i="3"/>
  <c r="AC68" i="3"/>
  <c r="AC69" i="3"/>
  <c r="AC70" i="3"/>
  <c r="AC71" i="3"/>
  <c r="AC72" i="3"/>
  <c r="AC73" i="3"/>
  <c r="AC77" i="3"/>
  <c r="AC79" i="3"/>
  <c r="AC80" i="3"/>
  <c r="AC81" i="3"/>
  <c r="AC82" i="3"/>
  <c r="AC83" i="3"/>
  <c r="AC85" i="3"/>
  <c r="AC86" i="3"/>
  <c r="AC88" i="3"/>
  <c r="AC90" i="3"/>
  <c r="AC92" i="3"/>
  <c r="AC94" i="3"/>
  <c r="AC96" i="3"/>
  <c r="AC98" i="3"/>
  <c r="AC100" i="3"/>
  <c r="AC101" i="3"/>
  <c r="AC102" i="3"/>
  <c r="AC104" i="3"/>
  <c r="AC106" i="3"/>
  <c r="AC109" i="3"/>
  <c r="AC111" i="3"/>
  <c r="AC113" i="3"/>
  <c r="AC116" i="3"/>
  <c r="AC118" i="3"/>
  <c r="AC120" i="3"/>
  <c r="AC122" i="3"/>
  <c r="AC124" i="3"/>
  <c r="AC126" i="3"/>
  <c r="AC128" i="3"/>
  <c r="AC130" i="3"/>
  <c r="AC132" i="3"/>
  <c r="AC134" i="3"/>
  <c r="AC135" i="3"/>
  <c r="AC137" i="3"/>
  <c r="AC138" i="3"/>
  <c r="AC139" i="3"/>
  <c r="AC140" i="3"/>
  <c r="AC141" i="3"/>
  <c r="AC145" i="3"/>
  <c r="AC146" i="3"/>
  <c r="AC148" i="3"/>
  <c r="AC149" i="3"/>
  <c r="AC152" i="3"/>
  <c r="AC153" i="3"/>
  <c r="AC154" i="3"/>
  <c r="AC155" i="3"/>
  <c r="AC156" i="3"/>
  <c r="AC157" i="3"/>
  <c r="AC158" i="3"/>
  <c r="AC142" i="3"/>
  <c r="AC147" i="3"/>
  <c r="AC160" i="3"/>
  <c r="AC162" i="3"/>
  <c r="AC164" i="3"/>
  <c r="AC166" i="3"/>
  <c r="AC169" i="3"/>
  <c r="AC171" i="3"/>
  <c r="AC173" i="3"/>
  <c r="AC175" i="3"/>
  <c r="AC177" i="3"/>
  <c r="AC179" i="3"/>
  <c r="AC181" i="3"/>
  <c r="AC183" i="3"/>
  <c r="AC185" i="3"/>
  <c r="AC187" i="3"/>
  <c r="AC189" i="3"/>
  <c r="AC191" i="3"/>
  <c r="AC193" i="3"/>
  <c r="AC195" i="3"/>
  <c r="AC197" i="3"/>
  <c r="AC199" i="3"/>
  <c r="AC201" i="3"/>
  <c r="AC202" i="3"/>
  <c r="AC203" i="3"/>
  <c r="AC204" i="3"/>
  <c r="AC205" i="3"/>
  <c r="AC206" i="3"/>
  <c r="AC208" i="3"/>
  <c r="AC210" i="3"/>
  <c r="AC212" i="3"/>
  <c r="AC214" i="3"/>
  <c r="AC216" i="3"/>
  <c r="AC218" i="3"/>
  <c r="AC220" i="3"/>
  <c r="AC222" i="3"/>
  <c r="AC224" i="3"/>
  <c r="E371" i="8"/>
  <c r="D371" i="8"/>
  <c r="B371" i="8"/>
  <c r="A371" i="8"/>
  <c r="E370" i="8"/>
  <c r="D370" i="8"/>
  <c r="B370" i="8"/>
  <c r="A370" i="8"/>
  <c r="E369" i="8"/>
  <c r="D369" i="8"/>
  <c r="B369" i="8"/>
  <c r="A369" i="8"/>
  <c r="E368" i="8"/>
  <c r="D368" i="8"/>
  <c r="B368" i="8"/>
  <c r="A368" i="8"/>
  <c r="AB144" i="3" l="1"/>
  <c r="AB24" i="3"/>
  <c r="AB25" i="3"/>
  <c r="AB150" i="3"/>
  <c r="AB151" i="3"/>
  <c r="AB26" i="3"/>
  <c r="AB84" i="3"/>
  <c r="AB161" i="3"/>
  <c r="AB163" i="3"/>
  <c r="AB78" i="3"/>
  <c r="AB143" i="3"/>
  <c r="AB76" i="3"/>
  <c r="AB103" i="3"/>
  <c r="AB87" i="3"/>
  <c r="AB97" i="3"/>
  <c r="AB91" i="3"/>
  <c r="AB93" i="3"/>
  <c r="AB159" i="3"/>
  <c r="AB99" i="3"/>
  <c r="AB165" i="3"/>
  <c r="AB89" i="3"/>
  <c r="AB75" i="3"/>
  <c r="AB188" i="3"/>
  <c r="AB196" i="3"/>
  <c r="AB186" i="3"/>
  <c r="AB190" i="3"/>
  <c r="AB198" i="3"/>
  <c r="AB192" i="3"/>
  <c r="AB200" i="3"/>
  <c r="AB95" i="3"/>
  <c r="AB184" i="3"/>
  <c r="AB170" i="3"/>
  <c r="AB178" i="3"/>
  <c r="AB180" i="3"/>
  <c r="AB168" i="3"/>
  <c r="AB209" i="3"/>
  <c r="AB213" i="3"/>
  <c r="AB211" i="3"/>
  <c r="AB223" i="3"/>
  <c r="AB217" i="3"/>
  <c r="AB123" i="3"/>
  <c r="AB194" i="3"/>
  <c r="AB125" i="3"/>
  <c r="AB219" i="3"/>
  <c r="AB136" i="3"/>
  <c r="AB114" i="3"/>
  <c r="AB129" i="3"/>
  <c r="AB207" i="3"/>
  <c r="AB221" i="3"/>
  <c r="AB9" i="3"/>
  <c r="AB119" i="3"/>
  <c r="AB172" i="3"/>
  <c r="AB133" i="3"/>
  <c r="AB215" i="3"/>
  <c r="AB10" i="3"/>
  <c r="AB182" i="3"/>
  <c r="AB117" i="3"/>
  <c r="AB74" i="3"/>
  <c r="AB115" i="3"/>
  <c r="AB121" i="3"/>
  <c r="AB127" i="3"/>
  <c r="AB131" i="3"/>
  <c r="AB45" i="3"/>
  <c r="AB176" i="3"/>
  <c r="AB47" i="3"/>
  <c r="AB49" i="3"/>
  <c r="AB51" i="3"/>
  <c r="AB174" i="3"/>
  <c r="AB53" i="3"/>
  <c r="AB39" i="3"/>
  <c r="AB34" i="3"/>
  <c r="AB41" i="3"/>
  <c r="AB43" i="3"/>
  <c r="AB105" i="3"/>
  <c r="AB112" i="3"/>
  <c r="AB107" i="3"/>
  <c r="AB108" i="3"/>
  <c r="AB110" i="3"/>
  <c r="AB3" i="3"/>
  <c r="AB4" i="3"/>
  <c r="AB5" i="3"/>
  <c r="AB6" i="3"/>
  <c r="AB7" i="3"/>
  <c r="AB8" i="3"/>
  <c r="AB11" i="3"/>
  <c r="AB12" i="3"/>
  <c r="AB13" i="3"/>
  <c r="AB14" i="3"/>
  <c r="AB15" i="3"/>
  <c r="AB16" i="3"/>
  <c r="AB17" i="3"/>
  <c r="AB18" i="3"/>
  <c r="AB21" i="3"/>
  <c r="AB22" i="3"/>
  <c r="AB27" i="3"/>
  <c r="AB28" i="3"/>
  <c r="AB29" i="3"/>
  <c r="AB30" i="3"/>
  <c r="AB31" i="3"/>
  <c r="AB32" i="3"/>
  <c r="AB23" i="3"/>
  <c r="AB33" i="3"/>
  <c r="AB35" i="3"/>
  <c r="AB36" i="3"/>
  <c r="AB37" i="3"/>
  <c r="AB38" i="3"/>
  <c r="AB40" i="3"/>
  <c r="AB42" i="3"/>
  <c r="AB44" i="3"/>
  <c r="AB46" i="3"/>
  <c r="AB48" i="3"/>
  <c r="AB50" i="3"/>
  <c r="AB52" i="3"/>
  <c r="AB54" i="3"/>
  <c r="AB55" i="3"/>
  <c r="AB56" i="3"/>
  <c r="AB57" i="3"/>
  <c r="AB58" i="3"/>
  <c r="AB59" i="3"/>
  <c r="AB60" i="3"/>
  <c r="AB61" i="3"/>
  <c r="AB62" i="3"/>
  <c r="AB63" i="3"/>
  <c r="AB64" i="3"/>
  <c r="AB65" i="3"/>
  <c r="AB66" i="3"/>
  <c r="AB67" i="3"/>
  <c r="AB68" i="3"/>
  <c r="AB69" i="3"/>
  <c r="AB70" i="3"/>
  <c r="AB71" i="3"/>
  <c r="AB72" i="3"/>
  <c r="AB73" i="3"/>
  <c r="AB77" i="3"/>
  <c r="AB79" i="3"/>
  <c r="AB80" i="3"/>
  <c r="AB81" i="3"/>
  <c r="AB82" i="3"/>
  <c r="AB83" i="3"/>
  <c r="AB85" i="3"/>
  <c r="AB86" i="3"/>
  <c r="AB88" i="3"/>
  <c r="AB90" i="3"/>
  <c r="AB92" i="3"/>
  <c r="AB94" i="3"/>
  <c r="AB96" i="3"/>
  <c r="AB98" i="3"/>
  <c r="AB100" i="3"/>
  <c r="AB101" i="3"/>
  <c r="AB102" i="3"/>
  <c r="AB104" i="3"/>
  <c r="AB106" i="3"/>
  <c r="AB109" i="3"/>
  <c r="AB111" i="3"/>
  <c r="AB113" i="3"/>
  <c r="AB116" i="3"/>
  <c r="AB118" i="3"/>
  <c r="AB120" i="3"/>
  <c r="AB122" i="3"/>
  <c r="AB124" i="3"/>
  <c r="AB126" i="3"/>
  <c r="AB128" i="3"/>
  <c r="AB130" i="3"/>
  <c r="AB132" i="3"/>
  <c r="AB134" i="3"/>
  <c r="AB135" i="3"/>
  <c r="AB137" i="3"/>
  <c r="AB138" i="3"/>
  <c r="AB139" i="3"/>
  <c r="AB140" i="3"/>
  <c r="AB141" i="3"/>
  <c r="AB145" i="3"/>
  <c r="AB146" i="3"/>
  <c r="AB148" i="3"/>
  <c r="AB149" i="3"/>
  <c r="AB152" i="3"/>
  <c r="AB153" i="3"/>
  <c r="AB154" i="3"/>
  <c r="AB155" i="3"/>
  <c r="AB156" i="3"/>
  <c r="AB157" i="3"/>
  <c r="AB158" i="3"/>
  <c r="AB142" i="3"/>
  <c r="AB147" i="3"/>
  <c r="AB160" i="3"/>
  <c r="AB162" i="3"/>
  <c r="AB164" i="3"/>
  <c r="AB166" i="3"/>
  <c r="AB169" i="3"/>
  <c r="AB171" i="3"/>
  <c r="AB173" i="3"/>
  <c r="AB175" i="3"/>
  <c r="AB177" i="3"/>
  <c r="AB179" i="3"/>
  <c r="AB181" i="3"/>
  <c r="AB183" i="3"/>
  <c r="AB185" i="3"/>
  <c r="AB187" i="3"/>
  <c r="AB189" i="3"/>
  <c r="AB191" i="3"/>
  <c r="AB193" i="3"/>
  <c r="AB195" i="3"/>
  <c r="AB197" i="3"/>
  <c r="AB199" i="3"/>
  <c r="AB201" i="3"/>
  <c r="AB202" i="3"/>
  <c r="AB203" i="3"/>
  <c r="AB204" i="3"/>
  <c r="AB205" i="3"/>
  <c r="AB206" i="3"/>
  <c r="AB208" i="3"/>
  <c r="AB210" i="3"/>
  <c r="AB212" i="3"/>
  <c r="AB214" i="3"/>
  <c r="AB216" i="3"/>
  <c r="AB218" i="3"/>
  <c r="AB220" i="3"/>
  <c r="AB222" i="3"/>
  <c r="AB224" i="3"/>
  <c r="A364" i="8"/>
  <c r="A365" i="8"/>
  <c r="B364" i="8"/>
  <c r="B365" i="8"/>
  <c r="D364" i="8"/>
  <c r="D365" i="8"/>
  <c r="E364" i="8"/>
  <c r="E365" i="8"/>
  <c r="A361" i="8"/>
  <c r="A362" i="8"/>
  <c r="A363" i="8"/>
  <c r="B361" i="8"/>
  <c r="B362" i="8"/>
  <c r="B363" i="8"/>
  <c r="D361" i="8"/>
  <c r="D362" i="8"/>
  <c r="D363" i="8"/>
  <c r="E361" i="8"/>
  <c r="E362" i="8"/>
  <c r="E363" i="8"/>
  <c r="A360" i="8"/>
  <c r="B360" i="8"/>
  <c r="D360" i="8"/>
  <c r="E360" i="8"/>
  <c r="A359" i="8" l="1"/>
  <c r="B359" i="8"/>
  <c r="D359" i="8"/>
  <c r="E359" i="8"/>
  <c r="E358" i="8" l="1"/>
  <c r="D358" i="8"/>
  <c r="B358" i="8"/>
  <c r="A358" i="8"/>
  <c r="E357" i="8"/>
  <c r="D357" i="8"/>
  <c r="B357" i="8"/>
  <c r="A357" i="8"/>
  <c r="E356" i="8"/>
  <c r="D356" i="8"/>
  <c r="B356" i="8"/>
  <c r="A356" i="8"/>
  <c r="E355" i="8"/>
  <c r="D355" i="8"/>
  <c r="B355" i="8"/>
  <c r="A355" i="8"/>
  <c r="AA144" i="3" l="1"/>
  <c r="AA24" i="3"/>
  <c r="AA25" i="3"/>
  <c r="AA151" i="3"/>
  <c r="AA150" i="3"/>
  <c r="AA26" i="3"/>
  <c r="AA84" i="3"/>
  <c r="AA161" i="3"/>
  <c r="AA163" i="3"/>
  <c r="AA143" i="3"/>
  <c r="AA78" i="3"/>
  <c r="AA75" i="3"/>
  <c r="AA76" i="3"/>
  <c r="AA87" i="3"/>
  <c r="AA97" i="3"/>
  <c r="AA93" i="3"/>
  <c r="AA159" i="3"/>
  <c r="AA99" i="3"/>
  <c r="AA165" i="3"/>
  <c r="AA89" i="3"/>
  <c r="AA91" i="3"/>
  <c r="AA103" i="3"/>
  <c r="AA188" i="3"/>
  <c r="AA186" i="3"/>
  <c r="AA190" i="3"/>
  <c r="AA198" i="3"/>
  <c r="AA196" i="3"/>
  <c r="AA200" i="3"/>
  <c r="AA192" i="3"/>
  <c r="AA95" i="3"/>
  <c r="AA178" i="3"/>
  <c r="AA180" i="3"/>
  <c r="AA168" i="3"/>
  <c r="AA184" i="3"/>
  <c r="AA170" i="3"/>
  <c r="AA209" i="3"/>
  <c r="AA213" i="3"/>
  <c r="AA211" i="3"/>
  <c r="AA223" i="3"/>
  <c r="AA207" i="3"/>
  <c r="AA221" i="3"/>
  <c r="AA74" i="3"/>
  <c r="AA127" i="3"/>
  <c r="AA136" i="3"/>
  <c r="AA114" i="3"/>
  <c r="AA129" i="3"/>
  <c r="AA215" i="3"/>
  <c r="AA117" i="3"/>
  <c r="AA133" i="3"/>
  <c r="AA217" i="3"/>
  <c r="AA123" i="3"/>
  <c r="AA194" i="3"/>
  <c r="AA121" i="3"/>
  <c r="AA119" i="3"/>
  <c r="AA125" i="3"/>
  <c r="AA131" i="3"/>
  <c r="AA10" i="3"/>
  <c r="AA219" i="3"/>
  <c r="AA9" i="3"/>
  <c r="AA172" i="3"/>
  <c r="AA182" i="3"/>
  <c r="AA115" i="3"/>
  <c r="AA51" i="3"/>
  <c r="AA53" i="3"/>
  <c r="AA39" i="3"/>
  <c r="AA34" i="3"/>
  <c r="AA41" i="3"/>
  <c r="AA43" i="3"/>
  <c r="AA174" i="3"/>
  <c r="AA49" i="3"/>
  <c r="AA45" i="3"/>
  <c r="AA176" i="3"/>
  <c r="AA47" i="3"/>
  <c r="AA110" i="3"/>
  <c r="AA105" i="3"/>
  <c r="AA107" i="3"/>
  <c r="AA108" i="3"/>
  <c r="AA112" i="3"/>
  <c r="AA3" i="3"/>
  <c r="AA4" i="3"/>
  <c r="AA5" i="3"/>
  <c r="AA6" i="3"/>
  <c r="AA7" i="3"/>
  <c r="AA8" i="3"/>
  <c r="AA11" i="3"/>
  <c r="AA12" i="3"/>
  <c r="AA13" i="3"/>
  <c r="AA14" i="3"/>
  <c r="AA15" i="3"/>
  <c r="AA16" i="3"/>
  <c r="AA17" i="3"/>
  <c r="AA18" i="3"/>
  <c r="AA21" i="3"/>
  <c r="AA22" i="3"/>
  <c r="AA27" i="3"/>
  <c r="AA28" i="3"/>
  <c r="AA29" i="3"/>
  <c r="AA30" i="3"/>
  <c r="AA31" i="3"/>
  <c r="AA32" i="3"/>
  <c r="AA23" i="3"/>
  <c r="AA33" i="3"/>
  <c r="AA35" i="3"/>
  <c r="AA36" i="3"/>
  <c r="AA37" i="3"/>
  <c r="AA38" i="3"/>
  <c r="AA40" i="3"/>
  <c r="AA42" i="3"/>
  <c r="AA44" i="3"/>
  <c r="AA46" i="3"/>
  <c r="AA48" i="3"/>
  <c r="AA50" i="3"/>
  <c r="AA52" i="3"/>
  <c r="AA54" i="3"/>
  <c r="AA55" i="3"/>
  <c r="AA202" i="3"/>
  <c r="AA56" i="3"/>
  <c r="AA57" i="3"/>
  <c r="AA58" i="3"/>
  <c r="AA59" i="3"/>
  <c r="AA60" i="3"/>
  <c r="AA61" i="3"/>
  <c r="AA62" i="3"/>
  <c r="AA63" i="3"/>
  <c r="AA64" i="3"/>
  <c r="AA65" i="3"/>
  <c r="AA66" i="3"/>
  <c r="AA67" i="3"/>
  <c r="AA68" i="3"/>
  <c r="AA69" i="3"/>
  <c r="AA70" i="3"/>
  <c r="AA71" i="3"/>
  <c r="AA72" i="3"/>
  <c r="AA73" i="3"/>
  <c r="AA77" i="3"/>
  <c r="AA79" i="3"/>
  <c r="AA80" i="3"/>
  <c r="AA81" i="3"/>
  <c r="AA82" i="3"/>
  <c r="AA83" i="3"/>
  <c r="AA85" i="3"/>
  <c r="AA86" i="3"/>
  <c r="AA88" i="3"/>
  <c r="AA90" i="3"/>
  <c r="AA92" i="3"/>
  <c r="AA94" i="3"/>
  <c r="AA96" i="3"/>
  <c r="AA98" i="3"/>
  <c r="AA100" i="3"/>
  <c r="AA101" i="3"/>
  <c r="AA102" i="3"/>
  <c r="AA104" i="3"/>
  <c r="AA106" i="3"/>
  <c r="AA109" i="3"/>
  <c r="AA111" i="3"/>
  <c r="AA113" i="3"/>
  <c r="AA116" i="3"/>
  <c r="AA118" i="3"/>
  <c r="AA120" i="3"/>
  <c r="AA122" i="3"/>
  <c r="AA124" i="3"/>
  <c r="AA126" i="3"/>
  <c r="AA128" i="3"/>
  <c r="AA130" i="3"/>
  <c r="AA132" i="3"/>
  <c r="AA134" i="3"/>
  <c r="AA135" i="3"/>
  <c r="AA137" i="3"/>
  <c r="AA138" i="3"/>
  <c r="AA139" i="3"/>
  <c r="AA140" i="3"/>
  <c r="AA141" i="3"/>
  <c r="AA145" i="3"/>
  <c r="AA146" i="3"/>
  <c r="AA148" i="3"/>
  <c r="AA149" i="3"/>
  <c r="AA152" i="3"/>
  <c r="AA153" i="3"/>
  <c r="AA154" i="3"/>
  <c r="AA155" i="3"/>
  <c r="AA156" i="3"/>
  <c r="AA157" i="3"/>
  <c r="AA158" i="3"/>
  <c r="AA142" i="3"/>
  <c r="AA147" i="3"/>
  <c r="AA160" i="3"/>
  <c r="AA162" i="3"/>
  <c r="AA164" i="3"/>
  <c r="AA166" i="3"/>
  <c r="AA169" i="3"/>
  <c r="AA171" i="3"/>
  <c r="AA173" i="3"/>
  <c r="AA175" i="3"/>
  <c r="AA177" i="3"/>
  <c r="AA179" i="3"/>
  <c r="AA181" i="3"/>
  <c r="AA183" i="3"/>
  <c r="AA185" i="3"/>
  <c r="AA187" i="3"/>
  <c r="AA189" i="3"/>
  <c r="AA191" i="3"/>
  <c r="AA193" i="3"/>
  <c r="AA195" i="3"/>
  <c r="AA197" i="3"/>
  <c r="AA199" i="3"/>
  <c r="AA201" i="3"/>
  <c r="AA203" i="3"/>
  <c r="AA204" i="3"/>
  <c r="AA205" i="3"/>
  <c r="AA206" i="3"/>
  <c r="AA208" i="3"/>
  <c r="AA210" i="3"/>
  <c r="AA212" i="3"/>
  <c r="AA214" i="3"/>
  <c r="AA216" i="3"/>
  <c r="AA218" i="3"/>
  <c r="AA220" i="3"/>
  <c r="AA222" i="3"/>
  <c r="AA224" i="3"/>
  <c r="E352" i="8"/>
  <c r="D352" i="8"/>
  <c r="B352" i="8"/>
  <c r="A352" i="8"/>
  <c r="E351" i="8"/>
  <c r="D351" i="8"/>
  <c r="B351" i="8"/>
  <c r="A351" i="8"/>
  <c r="E350" i="8"/>
  <c r="D350" i="8"/>
  <c r="B350" i="8"/>
  <c r="A350" i="8"/>
  <c r="E349" i="8"/>
  <c r="D349" i="8"/>
  <c r="B349" i="8"/>
  <c r="A349" i="8"/>
  <c r="AE144" i="3" l="1"/>
  <c r="AE24" i="3"/>
  <c r="AE25" i="3"/>
  <c r="AE150" i="3"/>
  <c r="AE26" i="3"/>
  <c r="AE151" i="3"/>
  <c r="AE78" i="3"/>
  <c r="AE143" i="3"/>
  <c r="AE163" i="3"/>
  <c r="AE84" i="3"/>
  <c r="AE161" i="3"/>
  <c r="AE99" i="3"/>
  <c r="AE165" i="3"/>
  <c r="AE89" i="3"/>
  <c r="AE91" i="3"/>
  <c r="AE103" i="3"/>
  <c r="AE87" i="3"/>
  <c r="AE75" i="3"/>
  <c r="AE76" i="3"/>
  <c r="AE93" i="3"/>
  <c r="AE159" i="3"/>
  <c r="AE97" i="3"/>
  <c r="AE188" i="3"/>
  <c r="AE186" i="3"/>
  <c r="AE190" i="3"/>
  <c r="AE198" i="3"/>
  <c r="AE200" i="3"/>
  <c r="AE192" i="3"/>
  <c r="AE196" i="3"/>
  <c r="AE95" i="3"/>
  <c r="AE178" i="3"/>
  <c r="AE180" i="3"/>
  <c r="AE168" i="3"/>
  <c r="AE184" i="3"/>
  <c r="AE170" i="3"/>
  <c r="AE209" i="3"/>
  <c r="AE213" i="3"/>
  <c r="AE211" i="3"/>
  <c r="AE223" i="3"/>
  <c r="AE207" i="3"/>
  <c r="AE221" i="3"/>
  <c r="AE74" i="3"/>
  <c r="AE127" i="3"/>
  <c r="AE136" i="3"/>
  <c r="AE114" i="3"/>
  <c r="AE129" i="3"/>
  <c r="AE215" i="3"/>
  <c r="AE117" i="3"/>
  <c r="AE133" i="3"/>
  <c r="AE217" i="3"/>
  <c r="AE123" i="3"/>
  <c r="AE194" i="3"/>
  <c r="AE10" i="3"/>
  <c r="AE182" i="3"/>
  <c r="AE121" i="3"/>
  <c r="AE115" i="3"/>
  <c r="AE9" i="3"/>
  <c r="AE219" i="3"/>
  <c r="AE119" i="3"/>
  <c r="AE131" i="3"/>
  <c r="AE125" i="3"/>
  <c r="AE172" i="3"/>
  <c r="AE43" i="3"/>
  <c r="AE174" i="3"/>
  <c r="AE45" i="3"/>
  <c r="AE176" i="3"/>
  <c r="AE41" i="3"/>
  <c r="AE47" i="3"/>
  <c r="AE49" i="3"/>
  <c r="AE51" i="3"/>
  <c r="AE53" i="3"/>
  <c r="AE39" i="3"/>
  <c r="AE34" i="3"/>
  <c r="AE105" i="3"/>
  <c r="AE107" i="3"/>
  <c r="AE108" i="3"/>
  <c r="AE110" i="3"/>
  <c r="AE112" i="3"/>
  <c r="AE3" i="3"/>
  <c r="AE4" i="3"/>
  <c r="AE5" i="3"/>
  <c r="AE6" i="3"/>
  <c r="AE7" i="3"/>
  <c r="AE8" i="3"/>
  <c r="AE11" i="3"/>
  <c r="AE12" i="3"/>
  <c r="AE13" i="3"/>
  <c r="AE14" i="3"/>
  <c r="AE15" i="3"/>
  <c r="AE16" i="3"/>
  <c r="AE17" i="3"/>
  <c r="AE18" i="3"/>
  <c r="AE21" i="3"/>
  <c r="AE22" i="3"/>
  <c r="AE27" i="3"/>
  <c r="AE28" i="3"/>
  <c r="AE29" i="3"/>
  <c r="AE30" i="3"/>
  <c r="AE31" i="3"/>
  <c r="AE32" i="3"/>
  <c r="AE23" i="3"/>
  <c r="AE33" i="3"/>
  <c r="AE35" i="3"/>
  <c r="AE36" i="3"/>
  <c r="AE37" i="3"/>
  <c r="AE38" i="3"/>
  <c r="AE40" i="3"/>
  <c r="AE42" i="3"/>
  <c r="AE44" i="3"/>
  <c r="AE46" i="3"/>
  <c r="AE48" i="3"/>
  <c r="AE50" i="3"/>
  <c r="AE52" i="3"/>
  <c r="AE54" i="3"/>
  <c r="AE55" i="3"/>
  <c r="AE56" i="3"/>
  <c r="AE57" i="3"/>
  <c r="AE58" i="3"/>
  <c r="AE59" i="3"/>
  <c r="AE60" i="3"/>
  <c r="AE61" i="3"/>
  <c r="AE62" i="3"/>
  <c r="AE63" i="3"/>
  <c r="AE64" i="3"/>
  <c r="AE65" i="3"/>
  <c r="AE66" i="3"/>
  <c r="AE67" i="3"/>
  <c r="AE68" i="3"/>
  <c r="AE69" i="3"/>
  <c r="AE70" i="3"/>
  <c r="AE71" i="3"/>
  <c r="AE72" i="3"/>
  <c r="AE73" i="3"/>
  <c r="AE77" i="3"/>
  <c r="AE79" i="3"/>
  <c r="AE80" i="3"/>
  <c r="AE81" i="3"/>
  <c r="AE82" i="3"/>
  <c r="AE83" i="3"/>
  <c r="AE85" i="3"/>
  <c r="AE86" i="3"/>
  <c r="AE88" i="3"/>
  <c r="AE90" i="3"/>
  <c r="AE92" i="3"/>
  <c r="AE94" i="3"/>
  <c r="AE96" i="3"/>
  <c r="AE98" i="3"/>
  <c r="AE100" i="3"/>
  <c r="AE101" i="3"/>
  <c r="AE102" i="3"/>
  <c r="AE104" i="3"/>
  <c r="AE106" i="3"/>
  <c r="AE109" i="3"/>
  <c r="AE111" i="3"/>
  <c r="AE113" i="3"/>
  <c r="AE116" i="3"/>
  <c r="AE118" i="3"/>
  <c r="AE120" i="3"/>
  <c r="AE122" i="3"/>
  <c r="AE124" i="3"/>
  <c r="AE126" i="3"/>
  <c r="AE128" i="3"/>
  <c r="AE130" i="3"/>
  <c r="AE132" i="3"/>
  <c r="AE134" i="3"/>
  <c r="AE135" i="3"/>
  <c r="AE137" i="3"/>
  <c r="AE138" i="3"/>
  <c r="AE139" i="3"/>
  <c r="AE140" i="3"/>
  <c r="AE141" i="3"/>
  <c r="AE145" i="3"/>
  <c r="AE146" i="3"/>
  <c r="AE148" i="3"/>
  <c r="AE149" i="3"/>
  <c r="AE152" i="3"/>
  <c r="AE153" i="3"/>
  <c r="AE154" i="3"/>
  <c r="AE155" i="3"/>
  <c r="AE156" i="3"/>
  <c r="AE157" i="3"/>
  <c r="AE158" i="3"/>
  <c r="AE142" i="3"/>
  <c r="AE147" i="3"/>
  <c r="AE160" i="3"/>
  <c r="AE162" i="3"/>
  <c r="AE164" i="3"/>
  <c r="AE166" i="3"/>
  <c r="AE169" i="3"/>
  <c r="AE171" i="3"/>
  <c r="AE173" i="3"/>
  <c r="AE175" i="3"/>
  <c r="AE177" i="3"/>
  <c r="AE179" i="3"/>
  <c r="AE181" i="3"/>
  <c r="AE183" i="3"/>
  <c r="AE185" i="3"/>
  <c r="AE187" i="3"/>
  <c r="AE189" i="3"/>
  <c r="AE191" i="3"/>
  <c r="AE193" i="3"/>
  <c r="AE195" i="3"/>
  <c r="AE197" i="3"/>
  <c r="AE199" i="3"/>
  <c r="AE201" i="3"/>
  <c r="AE202" i="3"/>
  <c r="AE203" i="3"/>
  <c r="AE204" i="3"/>
  <c r="AE205" i="3"/>
  <c r="AE206" i="3"/>
  <c r="AE208" i="3"/>
  <c r="AE210" i="3"/>
  <c r="AE212" i="3"/>
  <c r="AE214" i="3"/>
  <c r="AE216" i="3"/>
  <c r="AE218" i="3"/>
  <c r="AE220" i="3"/>
  <c r="AE222" i="3"/>
  <c r="AE224" i="3"/>
  <c r="A221" i="8"/>
  <c r="A230" i="8" l="1"/>
  <c r="A231" i="8"/>
  <c r="B230" i="8"/>
  <c r="B231" i="8"/>
  <c r="D230" i="8"/>
  <c r="D231" i="8"/>
  <c r="E230" i="8"/>
  <c r="E231" i="8"/>
  <c r="A232" i="8"/>
  <c r="B232" i="8"/>
  <c r="D232" i="8"/>
  <c r="E232" i="8"/>
  <c r="A215" i="8" l="1"/>
  <c r="A216" i="8"/>
  <c r="A217" i="8"/>
  <c r="A218" i="8"/>
  <c r="B215" i="8"/>
  <c r="B216" i="8"/>
  <c r="B217" i="8"/>
  <c r="B218" i="8"/>
  <c r="D215" i="8"/>
  <c r="D216" i="8"/>
  <c r="D217" i="8"/>
  <c r="D218" i="8"/>
  <c r="E215" i="8"/>
  <c r="E216" i="8"/>
  <c r="E217" i="8"/>
  <c r="E218" i="8"/>
  <c r="A207" i="8"/>
  <c r="A208" i="8"/>
  <c r="A209" i="8"/>
  <c r="A210" i="8"/>
  <c r="A211" i="8"/>
  <c r="A212" i="8"/>
  <c r="A213" i="8"/>
  <c r="A214" i="8"/>
  <c r="B207" i="8"/>
  <c r="B208" i="8"/>
  <c r="B209" i="8"/>
  <c r="B210" i="8"/>
  <c r="B211" i="8"/>
  <c r="B212" i="8"/>
  <c r="B213" i="8"/>
  <c r="B214" i="8"/>
  <c r="D207" i="8"/>
  <c r="D208" i="8"/>
  <c r="D209" i="8"/>
  <c r="D210" i="8"/>
  <c r="D211" i="8"/>
  <c r="D212" i="8"/>
  <c r="D213" i="8"/>
  <c r="D214" i="8"/>
  <c r="E207" i="8"/>
  <c r="E208" i="8"/>
  <c r="E209" i="8"/>
  <c r="E210" i="8"/>
  <c r="E211" i="8"/>
  <c r="E212" i="8"/>
  <c r="E213" i="8"/>
  <c r="E214" i="8"/>
  <c r="A163" i="8" l="1"/>
  <c r="A164" i="8"/>
  <c r="A165" i="8"/>
  <c r="A166" i="8"/>
  <c r="A167" i="8"/>
  <c r="B163" i="8"/>
  <c r="B164" i="8"/>
  <c r="B165" i="8"/>
  <c r="B166" i="8"/>
  <c r="B167" i="8"/>
  <c r="D163" i="8"/>
  <c r="D164" i="8"/>
  <c r="D165" i="8"/>
  <c r="D166" i="8"/>
  <c r="D167" i="8"/>
  <c r="E163" i="8"/>
  <c r="E164" i="8"/>
  <c r="E165" i="8"/>
  <c r="E166" i="8"/>
  <c r="E167" i="8"/>
  <c r="A31" i="5" l="1"/>
  <c r="A41" i="5"/>
  <c r="L30" i="14" l="1"/>
  <c r="B7" i="14" s="1"/>
  <c r="L5" i="14"/>
  <c r="G5" i="14"/>
  <c r="L24" i="13"/>
  <c r="A40" i="13" s="1"/>
  <c r="L5" i="13"/>
  <c r="G5" i="13"/>
  <c r="L30" i="12"/>
  <c r="B7" i="12" s="1"/>
  <c r="L5" i="12"/>
  <c r="A20" i="12" s="1"/>
  <c r="G5" i="12"/>
  <c r="L30" i="10"/>
  <c r="B7" i="10" s="1"/>
  <c r="L5" i="10"/>
  <c r="A10" i="10" s="1"/>
  <c r="E10" i="10" s="1"/>
  <c r="G5" i="10"/>
  <c r="J3" i="3"/>
  <c r="I3" i="3"/>
  <c r="H3" i="3"/>
  <c r="G3" i="3"/>
  <c r="H28" i="15" l="1"/>
  <c r="H23" i="15"/>
  <c r="J28" i="15"/>
  <c r="J23" i="15"/>
  <c r="K28" i="15"/>
  <c r="K23" i="15"/>
  <c r="I28" i="15"/>
  <c r="I23" i="15"/>
  <c r="H26" i="15"/>
  <c r="H16" i="15"/>
  <c r="J26" i="15"/>
  <c r="J16" i="15"/>
  <c r="K26" i="15"/>
  <c r="K16" i="15"/>
  <c r="I26" i="15"/>
  <c r="I16" i="15"/>
  <c r="A28" i="14"/>
  <c r="E28" i="14" s="1"/>
  <c r="A22" i="14"/>
  <c r="A27" i="14"/>
  <c r="A26" i="14"/>
  <c r="A25" i="14"/>
  <c r="E25" i="14" s="1"/>
  <c r="A23" i="14"/>
  <c r="E23" i="14" s="1"/>
  <c r="A21" i="14"/>
  <c r="H21" i="15"/>
  <c r="H17" i="15"/>
  <c r="I21" i="15"/>
  <c r="I17" i="15"/>
  <c r="J21" i="15"/>
  <c r="J17" i="15"/>
  <c r="K21" i="15"/>
  <c r="K17" i="15"/>
  <c r="A50" i="14"/>
  <c r="A10" i="14"/>
  <c r="G10" i="14" s="1"/>
  <c r="A20" i="14"/>
  <c r="E20" i="14" s="1"/>
  <c r="A11" i="14"/>
  <c r="A13" i="14"/>
  <c r="A15" i="14"/>
  <c r="E15" i="14" s="1"/>
  <c r="A12" i="14"/>
  <c r="A16" i="14"/>
  <c r="A17" i="14"/>
  <c r="A18" i="14"/>
  <c r="A38" i="10"/>
  <c r="I38" i="10" s="1"/>
  <c r="A37" i="10"/>
  <c r="A35" i="12"/>
  <c r="A45" i="12"/>
  <c r="H45" i="12" s="1"/>
  <c r="A37" i="12"/>
  <c r="J37" i="12" s="1"/>
  <c r="A44" i="12"/>
  <c r="K44" i="12" s="1"/>
  <c r="A43" i="12"/>
  <c r="A42" i="12"/>
  <c r="J42" i="12" s="1"/>
  <c r="A41" i="12"/>
  <c r="H41" i="12" s="1"/>
  <c r="A40" i="12"/>
  <c r="J40" i="12" s="1"/>
  <c r="A39" i="12"/>
  <c r="A38" i="12"/>
  <c r="H38" i="12" s="1"/>
  <c r="A43" i="14"/>
  <c r="J43" i="14" s="1"/>
  <c r="A47" i="14"/>
  <c r="J47" i="14" s="1"/>
  <c r="A45" i="14"/>
  <c r="I45" i="14" s="1"/>
  <c r="A49" i="14"/>
  <c r="D49" i="14" s="1"/>
  <c r="A33" i="14"/>
  <c r="I33" i="14" s="1"/>
  <c r="A37" i="14"/>
  <c r="F37" i="14" s="1"/>
  <c r="A42" i="14"/>
  <c r="K42" i="14" s="1"/>
  <c r="A44" i="14"/>
  <c r="A46" i="14"/>
  <c r="B46" i="14" s="1"/>
  <c r="A48" i="14"/>
  <c r="H48" i="14" s="1"/>
  <c r="A35" i="14"/>
  <c r="I35" i="14" s="1"/>
  <c r="A36" i="14"/>
  <c r="A41" i="14"/>
  <c r="B41" i="14" s="1"/>
  <c r="A39" i="14"/>
  <c r="K39" i="14" s="1"/>
  <c r="A32" i="14"/>
  <c r="A40" i="14"/>
  <c r="A34" i="14"/>
  <c r="G34" i="14" s="1"/>
  <c r="A38" i="14"/>
  <c r="D38" i="14" s="1"/>
  <c r="A17" i="13"/>
  <c r="H17" i="13" s="1"/>
  <c r="A19" i="13"/>
  <c r="A16" i="13"/>
  <c r="A20" i="13"/>
  <c r="A21" i="13"/>
  <c r="A22" i="13"/>
  <c r="E22" i="13" s="1"/>
  <c r="A14" i="13"/>
  <c r="A15" i="13"/>
  <c r="A28" i="13"/>
  <c r="F28" i="13" s="1"/>
  <c r="A38" i="13"/>
  <c r="I38" i="13" s="1"/>
  <c r="A31" i="13"/>
  <c r="K31" i="13" s="1"/>
  <c r="A32" i="13"/>
  <c r="J32" i="13" s="1"/>
  <c r="A34" i="13"/>
  <c r="H34" i="13" s="1"/>
  <c r="A35" i="13"/>
  <c r="G35" i="13" s="1"/>
  <c r="A36" i="13"/>
  <c r="F36" i="13" s="1"/>
  <c r="A26" i="13"/>
  <c r="A37" i="13"/>
  <c r="H37" i="13" s="1"/>
  <c r="A27" i="13"/>
  <c r="D40" i="13"/>
  <c r="F40" i="13"/>
  <c r="G40" i="13"/>
  <c r="A10" i="13"/>
  <c r="A12" i="13"/>
  <c r="A33" i="13"/>
  <c r="J33" i="13" s="1"/>
  <c r="A29" i="13"/>
  <c r="D29" i="13" s="1"/>
  <c r="A39" i="13"/>
  <c r="G39" i="13" s="1"/>
  <c r="A9" i="13"/>
  <c r="A30" i="13"/>
  <c r="C30" i="13" s="1"/>
  <c r="A11" i="13"/>
  <c r="H40" i="13"/>
  <c r="K40" i="13"/>
  <c r="B40" i="13"/>
  <c r="C40" i="13"/>
  <c r="I40" i="13"/>
  <c r="J40" i="13"/>
  <c r="A36" i="12"/>
  <c r="A32" i="12"/>
  <c r="A33" i="12"/>
  <c r="A34" i="12"/>
  <c r="I34" i="12" s="1"/>
  <c r="A22" i="12"/>
  <c r="A23" i="12"/>
  <c r="A12" i="12"/>
  <c r="A13" i="12"/>
  <c r="A18" i="12"/>
  <c r="F18" i="12" s="1"/>
  <c r="A28" i="12"/>
  <c r="H28" i="12" s="1"/>
  <c r="A11" i="12"/>
  <c r="A21" i="12"/>
  <c r="A15" i="12"/>
  <c r="A25" i="12"/>
  <c r="E25" i="12" s="1"/>
  <c r="A16" i="12"/>
  <c r="A26" i="12"/>
  <c r="A17" i="12"/>
  <c r="A27" i="12"/>
  <c r="A10" i="12"/>
  <c r="E20" i="12"/>
  <c r="G20" i="12"/>
  <c r="H20" i="12"/>
  <c r="I20" i="12"/>
  <c r="B20" i="12"/>
  <c r="J20" i="12"/>
  <c r="C20" i="12"/>
  <c r="K20" i="12"/>
  <c r="D20" i="12"/>
  <c r="A11" i="10"/>
  <c r="A18" i="10"/>
  <c r="A28" i="10"/>
  <c r="A20" i="10"/>
  <c r="K20" i="10" s="1"/>
  <c r="A12" i="10"/>
  <c r="A22" i="10"/>
  <c r="A23" i="10"/>
  <c r="A15" i="10"/>
  <c r="C15" i="10" s="1"/>
  <c r="A25" i="10"/>
  <c r="D25" i="10" s="1"/>
  <c r="A21" i="10"/>
  <c r="A13" i="10"/>
  <c r="A16" i="10"/>
  <c r="A26" i="10"/>
  <c r="A17" i="10"/>
  <c r="A27" i="10"/>
  <c r="A32" i="10"/>
  <c r="A33" i="10"/>
  <c r="D33" i="10" s="1"/>
  <c r="A34" i="10"/>
  <c r="A35" i="10"/>
  <c r="D35" i="10" s="1"/>
  <c r="A36" i="10"/>
  <c r="C10" i="10"/>
  <c r="K10" i="10"/>
  <c r="D10" i="10"/>
  <c r="G10" i="10"/>
  <c r="H10" i="10"/>
  <c r="B13" i="10" l="1"/>
  <c r="G18" i="10"/>
  <c r="E18" i="14"/>
  <c r="E26" i="14"/>
  <c r="E27" i="14"/>
  <c r="E21" i="14"/>
  <c r="E22" i="14"/>
  <c r="E17" i="14"/>
  <c r="E16" i="14"/>
  <c r="J23" i="14"/>
  <c r="D23" i="14"/>
  <c r="G23" i="14"/>
  <c r="C23" i="14"/>
  <c r="F23" i="14"/>
  <c r="H23" i="14"/>
  <c r="I23" i="14"/>
  <c r="K23" i="14"/>
  <c r="B23" i="14"/>
  <c r="K25" i="14"/>
  <c r="D25" i="14"/>
  <c r="F25" i="14"/>
  <c r="B25" i="14"/>
  <c r="G25" i="14"/>
  <c r="J25" i="14"/>
  <c r="C25" i="14"/>
  <c r="I25" i="14"/>
  <c r="H25" i="14"/>
  <c r="I26" i="14"/>
  <c r="J26" i="14"/>
  <c r="F26" i="14"/>
  <c r="K26" i="14"/>
  <c r="B26" i="14"/>
  <c r="G26" i="14"/>
  <c r="C26" i="14"/>
  <c r="D26" i="14"/>
  <c r="H26" i="14"/>
  <c r="H21" i="14"/>
  <c r="C21" i="14"/>
  <c r="K21" i="14"/>
  <c r="F21" i="14"/>
  <c r="D21" i="14"/>
  <c r="G21" i="14"/>
  <c r="J21" i="14"/>
  <c r="I21" i="14"/>
  <c r="B21" i="14"/>
  <c r="F27" i="14"/>
  <c r="G27" i="14"/>
  <c r="K27" i="14"/>
  <c r="H27" i="14"/>
  <c r="B27" i="14"/>
  <c r="J27" i="14"/>
  <c r="I27" i="14"/>
  <c r="D27" i="14"/>
  <c r="C27" i="14"/>
  <c r="G22" i="14"/>
  <c r="F22" i="14"/>
  <c r="H22" i="14"/>
  <c r="C22" i="14"/>
  <c r="I22" i="14"/>
  <c r="K22" i="14"/>
  <c r="D22" i="14"/>
  <c r="J22" i="14"/>
  <c r="B22" i="14"/>
  <c r="K28" i="14"/>
  <c r="H28" i="14"/>
  <c r="B28" i="14"/>
  <c r="J28" i="14"/>
  <c r="G28" i="14"/>
  <c r="C28" i="14"/>
  <c r="D28" i="14"/>
  <c r="I28" i="14"/>
  <c r="F28" i="14"/>
  <c r="D18" i="14"/>
  <c r="H16" i="14"/>
  <c r="I11" i="14"/>
  <c r="G26" i="10"/>
  <c r="J28" i="10"/>
  <c r="E28" i="10"/>
  <c r="D23" i="10"/>
  <c r="E23" i="10"/>
  <c r="E26" i="12"/>
  <c r="E27" i="12" s="1"/>
  <c r="E28" i="12" s="1"/>
  <c r="E21" i="12"/>
  <c r="E22" i="12" s="1"/>
  <c r="E23" i="12" s="1"/>
  <c r="C50" i="14"/>
  <c r="K50" i="14"/>
  <c r="B50" i="14"/>
  <c r="J50" i="14"/>
  <c r="D50" i="14"/>
  <c r="I50" i="14"/>
  <c r="G50" i="14"/>
  <c r="F50" i="14"/>
  <c r="H50" i="14"/>
  <c r="C38" i="10"/>
  <c r="K38" i="10"/>
  <c r="H38" i="10"/>
  <c r="B38" i="10"/>
  <c r="G38" i="10"/>
  <c r="J38" i="10"/>
  <c r="D38" i="10"/>
  <c r="F38" i="10"/>
  <c r="I37" i="10"/>
  <c r="H37" i="10"/>
  <c r="G37" i="10"/>
  <c r="F37" i="10"/>
  <c r="C37" i="10"/>
  <c r="K37" i="10"/>
  <c r="J37" i="10"/>
  <c r="D37" i="10"/>
  <c r="B37" i="10"/>
  <c r="D45" i="14"/>
  <c r="K41" i="12"/>
  <c r="K45" i="12"/>
  <c r="J38" i="12"/>
  <c r="J45" i="12"/>
  <c r="B41" i="12"/>
  <c r="F41" i="12"/>
  <c r="D41" i="12"/>
  <c r="G41" i="12"/>
  <c r="C41" i="12"/>
  <c r="I41" i="12"/>
  <c r="K37" i="12"/>
  <c r="D40" i="12"/>
  <c r="B40" i="12"/>
  <c r="G40" i="12"/>
  <c r="F40" i="12"/>
  <c r="C40" i="12"/>
  <c r="I40" i="12"/>
  <c r="F42" i="12"/>
  <c r="D42" i="12"/>
  <c r="B42" i="12"/>
  <c r="C42" i="12"/>
  <c r="G42" i="12"/>
  <c r="I42" i="12"/>
  <c r="K38" i="12"/>
  <c r="K40" i="12"/>
  <c r="F43" i="12"/>
  <c r="D43" i="12"/>
  <c r="B43" i="12"/>
  <c r="G43" i="12"/>
  <c r="C43" i="12"/>
  <c r="I43" i="12"/>
  <c r="C44" i="12"/>
  <c r="D44" i="12"/>
  <c r="B44" i="12"/>
  <c r="G44" i="12"/>
  <c r="F44" i="12"/>
  <c r="I44" i="12"/>
  <c r="G37" i="12"/>
  <c r="C37" i="12"/>
  <c r="F37" i="12"/>
  <c r="B37" i="12"/>
  <c r="D37" i="12"/>
  <c r="I37" i="12"/>
  <c r="K43" i="12"/>
  <c r="K42" i="12"/>
  <c r="J44" i="12"/>
  <c r="F38" i="12"/>
  <c r="C38" i="12"/>
  <c r="G38" i="12"/>
  <c r="D38" i="12"/>
  <c r="B38" i="12"/>
  <c r="I38" i="12"/>
  <c r="G45" i="12"/>
  <c r="F45" i="12"/>
  <c r="D45" i="12"/>
  <c r="C45" i="12"/>
  <c r="B45" i="12"/>
  <c r="I45" i="12"/>
  <c r="J41" i="12"/>
  <c r="H43" i="12"/>
  <c r="H37" i="12"/>
  <c r="J43" i="12"/>
  <c r="D39" i="12"/>
  <c r="C39" i="12"/>
  <c r="B39" i="12"/>
  <c r="G39" i="12"/>
  <c r="F39" i="12"/>
  <c r="K39" i="12"/>
  <c r="J39" i="12"/>
  <c r="H39" i="12"/>
  <c r="I39" i="12"/>
  <c r="H40" i="12"/>
  <c r="H44" i="12"/>
  <c r="H42" i="12"/>
  <c r="H33" i="13"/>
  <c r="J45" i="14"/>
  <c r="I49" i="14"/>
  <c r="C33" i="14"/>
  <c r="B35" i="13"/>
  <c r="B33" i="14"/>
  <c r="G38" i="14"/>
  <c r="J37" i="14"/>
  <c r="H37" i="14"/>
  <c r="G37" i="14"/>
  <c r="D37" i="14"/>
  <c r="J33" i="14"/>
  <c r="H49" i="14"/>
  <c r="G31" i="13"/>
  <c r="H31" i="13"/>
  <c r="J49" i="14"/>
  <c r="H38" i="14"/>
  <c r="K33" i="14"/>
  <c r="D33" i="14"/>
  <c r="H33" i="14"/>
  <c r="G33" i="14"/>
  <c r="H45" i="14"/>
  <c r="K48" i="14"/>
  <c r="F45" i="14"/>
  <c r="I46" i="14"/>
  <c r="G46" i="14"/>
  <c r="B45" i="14"/>
  <c r="D43" i="14"/>
  <c r="K37" i="14"/>
  <c r="B37" i="14"/>
  <c r="I37" i="14"/>
  <c r="H46" i="14"/>
  <c r="C46" i="14"/>
  <c r="J41" i="14"/>
  <c r="H41" i="14"/>
  <c r="J46" i="14"/>
  <c r="K46" i="14"/>
  <c r="F46" i="14"/>
  <c r="G35" i="14"/>
  <c r="F35" i="14"/>
  <c r="B42" i="14"/>
  <c r="D47" i="14"/>
  <c r="F42" i="14"/>
  <c r="I34" i="14"/>
  <c r="C42" i="14"/>
  <c r="H42" i="14"/>
  <c r="J42" i="14"/>
  <c r="G42" i="14"/>
  <c r="D42" i="14"/>
  <c r="I42" i="14"/>
  <c r="B48" i="14"/>
  <c r="J48" i="14"/>
  <c r="D44" i="14"/>
  <c r="I44" i="14"/>
  <c r="G44" i="14"/>
  <c r="F44" i="14"/>
  <c r="C44" i="14"/>
  <c r="J34" i="14"/>
  <c r="D35" i="14"/>
  <c r="F49" i="14"/>
  <c r="B49" i="14"/>
  <c r="K44" i="14"/>
  <c r="B44" i="14"/>
  <c r="D46" i="14"/>
  <c r="K49" i="14"/>
  <c r="G49" i="14"/>
  <c r="C49" i="14"/>
  <c r="K45" i="14"/>
  <c r="G45" i="14"/>
  <c r="C45" i="14"/>
  <c r="J44" i="14"/>
  <c r="H44" i="14"/>
  <c r="D48" i="14"/>
  <c r="I48" i="14"/>
  <c r="G48" i="14"/>
  <c r="F48" i="14"/>
  <c r="C48" i="14"/>
  <c r="G47" i="14"/>
  <c r="K47" i="14"/>
  <c r="I47" i="14"/>
  <c r="H47" i="14"/>
  <c r="F47" i="14"/>
  <c r="C47" i="14"/>
  <c r="B47" i="14"/>
  <c r="G43" i="14"/>
  <c r="K43" i="14"/>
  <c r="I43" i="14"/>
  <c r="H43" i="14"/>
  <c r="F43" i="14"/>
  <c r="C43" i="14"/>
  <c r="B43" i="14"/>
  <c r="J35" i="14"/>
  <c r="B34" i="14"/>
  <c r="H35" i="14"/>
  <c r="K35" i="14"/>
  <c r="D33" i="13"/>
  <c r="J38" i="14"/>
  <c r="G41" i="14"/>
  <c r="B38" i="14"/>
  <c r="I41" i="14"/>
  <c r="K41" i="14"/>
  <c r="I38" i="14"/>
  <c r="H34" i="14"/>
  <c r="G18" i="14"/>
  <c r="B18" i="14"/>
  <c r="I18" i="14"/>
  <c r="H18" i="14"/>
  <c r="J18" i="14"/>
  <c r="F39" i="14"/>
  <c r="J39" i="14"/>
  <c r="H39" i="14"/>
  <c r="I39" i="14"/>
  <c r="F38" i="14"/>
  <c r="K16" i="14"/>
  <c r="G16" i="14"/>
  <c r="J16" i="14"/>
  <c r="F16" i="14"/>
  <c r="B16" i="14"/>
  <c r="D16" i="14"/>
  <c r="D10" i="14"/>
  <c r="K10" i="14"/>
  <c r="J10" i="14"/>
  <c r="I10" i="14"/>
  <c r="B10" i="14"/>
  <c r="H10" i="14"/>
  <c r="D39" i="14"/>
  <c r="F18" i="14"/>
  <c r="C35" i="14"/>
  <c r="C16" i="14"/>
  <c r="B35" i="14"/>
  <c r="F11" i="14"/>
  <c r="F34" i="14"/>
  <c r="D34" i="14"/>
  <c r="F33" i="14"/>
  <c r="C37" i="14"/>
  <c r="K18" i="14"/>
  <c r="G39" i="14"/>
  <c r="C39" i="14"/>
  <c r="I16" i="14"/>
  <c r="B39" i="14"/>
  <c r="D41" i="14"/>
  <c r="F41" i="14"/>
  <c r="C41" i="14"/>
  <c r="F10" i="14"/>
  <c r="H11" i="14"/>
  <c r="C10" i="14"/>
  <c r="G11" i="14"/>
  <c r="C18" i="14"/>
  <c r="B11" i="14"/>
  <c r="J11" i="14"/>
  <c r="E10" i="14"/>
  <c r="E11" i="14" s="1"/>
  <c r="K38" i="14"/>
  <c r="C38" i="14"/>
  <c r="K34" i="14"/>
  <c r="C34" i="14"/>
  <c r="D11" i="14"/>
  <c r="K11" i="14"/>
  <c r="C11" i="14"/>
  <c r="I28" i="13"/>
  <c r="I12" i="14"/>
  <c r="H12" i="14"/>
  <c r="G12" i="14"/>
  <c r="F12" i="14"/>
  <c r="B12" i="14"/>
  <c r="D12" i="14"/>
  <c r="J12" i="14"/>
  <c r="K12" i="14"/>
  <c r="C12" i="14"/>
  <c r="D17" i="14"/>
  <c r="K17" i="14"/>
  <c r="C17" i="14"/>
  <c r="J17" i="14"/>
  <c r="B17" i="14"/>
  <c r="I17" i="14"/>
  <c r="F17" i="14"/>
  <c r="H17" i="14"/>
  <c r="G17" i="14"/>
  <c r="G36" i="14"/>
  <c r="F36" i="14"/>
  <c r="D36" i="14"/>
  <c r="C36" i="14"/>
  <c r="K36" i="14"/>
  <c r="B36" i="14"/>
  <c r="J36" i="14"/>
  <c r="I36" i="14"/>
  <c r="H36" i="14"/>
  <c r="K28" i="13"/>
  <c r="K15" i="14"/>
  <c r="C15" i="14"/>
  <c r="J15" i="14"/>
  <c r="B15" i="14"/>
  <c r="I15" i="14"/>
  <c r="H15" i="14"/>
  <c r="G15" i="14"/>
  <c r="D15" i="14"/>
  <c r="F15" i="14"/>
  <c r="G40" i="14"/>
  <c r="F40" i="14"/>
  <c r="D40" i="14"/>
  <c r="C40" i="14"/>
  <c r="K40" i="14"/>
  <c r="B40" i="14"/>
  <c r="J40" i="14"/>
  <c r="I40" i="14"/>
  <c r="H40" i="14"/>
  <c r="G32" i="14"/>
  <c r="F32" i="14"/>
  <c r="D32" i="14"/>
  <c r="C32" i="14"/>
  <c r="K32" i="14"/>
  <c r="B32" i="14"/>
  <c r="J32" i="14"/>
  <c r="I32" i="14"/>
  <c r="H32" i="14"/>
  <c r="G20" i="14"/>
  <c r="F20" i="14"/>
  <c r="D20" i="14"/>
  <c r="K20" i="14"/>
  <c r="C20" i="14"/>
  <c r="J20" i="14"/>
  <c r="B20" i="14"/>
  <c r="I20" i="14"/>
  <c r="H20" i="14"/>
  <c r="F13" i="14"/>
  <c r="D13" i="14"/>
  <c r="K13" i="14"/>
  <c r="C13" i="14"/>
  <c r="J13" i="14"/>
  <c r="B13" i="14"/>
  <c r="G13" i="14"/>
  <c r="I13" i="14"/>
  <c r="H13" i="14"/>
  <c r="I31" i="13"/>
  <c r="J31" i="13"/>
  <c r="F31" i="13"/>
  <c r="J35" i="13"/>
  <c r="C35" i="13"/>
  <c r="D10" i="12"/>
  <c r="E10" i="12"/>
  <c r="E11" i="12" s="1"/>
  <c r="E12" i="12" s="1"/>
  <c r="E13" i="12" s="1"/>
  <c r="D31" i="13"/>
  <c r="B31" i="13"/>
  <c r="C31" i="13"/>
  <c r="G34" i="13"/>
  <c r="B37" i="13"/>
  <c r="F38" i="13"/>
  <c r="H28" i="13"/>
  <c r="B34" i="13"/>
  <c r="D34" i="13"/>
  <c r="F37" i="13"/>
  <c r="I35" i="13"/>
  <c r="G32" i="13"/>
  <c r="C32" i="13"/>
  <c r="B32" i="13"/>
  <c r="F32" i="13"/>
  <c r="I32" i="13"/>
  <c r="H32" i="13"/>
  <c r="K39" i="13"/>
  <c r="D28" i="13"/>
  <c r="G37" i="13"/>
  <c r="J37" i="13"/>
  <c r="C37" i="13"/>
  <c r="J28" i="13"/>
  <c r="G28" i="13"/>
  <c r="B28" i="13"/>
  <c r="C28" i="13"/>
  <c r="H38" i="13"/>
  <c r="J30" i="13"/>
  <c r="I36" i="13"/>
  <c r="C33" i="13"/>
  <c r="D30" i="13"/>
  <c r="B30" i="13"/>
  <c r="K38" i="13"/>
  <c r="H30" i="13"/>
  <c r="B38" i="13"/>
  <c r="F30" i="13"/>
  <c r="J29" i="13"/>
  <c r="J34" i="13"/>
  <c r="D38" i="13"/>
  <c r="F34" i="13"/>
  <c r="K30" i="13"/>
  <c r="J38" i="13"/>
  <c r="G30" i="13"/>
  <c r="C34" i="13"/>
  <c r="I34" i="13"/>
  <c r="I30" i="13"/>
  <c r="G38" i="13"/>
  <c r="J39" i="13"/>
  <c r="K34" i="13"/>
  <c r="C38" i="13"/>
  <c r="D36" i="13"/>
  <c r="K35" i="13"/>
  <c r="H36" i="13"/>
  <c r="H35" i="13"/>
  <c r="B36" i="13"/>
  <c r="F35" i="13"/>
  <c r="G36" i="13"/>
  <c r="C36" i="13"/>
  <c r="K36" i="13"/>
  <c r="D35" i="13"/>
  <c r="J36" i="13"/>
  <c r="H29" i="13"/>
  <c r="B29" i="13"/>
  <c r="G33" i="13"/>
  <c r="F29" i="13"/>
  <c r="C29" i="13"/>
  <c r="I29" i="13"/>
  <c r="D32" i="13"/>
  <c r="G29" i="13"/>
  <c r="K29" i="13"/>
  <c r="K32" i="13"/>
  <c r="I39" i="13"/>
  <c r="K37" i="13"/>
  <c r="I37" i="13"/>
  <c r="D37" i="13"/>
  <c r="C39" i="13"/>
  <c r="D39" i="13"/>
  <c r="H39" i="13"/>
  <c r="I33" i="13"/>
  <c r="K33" i="13"/>
  <c r="F33" i="13"/>
  <c r="B33" i="13"/>
  <c r="F39" i="13"/>
  <c r="B39" i="13"/>
  <c r="J17" i="13"/>
  <c r="K17" i="13"/>
  <c r="B17" i="13"/>
  <c r="G17" i="13"/>
  <c r="C17" i="13"/>
  <c r="I17" i="13"/>
  <c r="D17" i="13"/>
  <c r="F17" i="13"/>
  <c r="J20" i="13"/>
  <c r="B20" i="13"/>
  <c r="C20" i="13"/>
  <c r="I20" i="13"/>
  <c r="H20" i="13"/>
  <c r="G20" i="13"/>
  <c r="D20" i="13"/>
  <c r="F20" i="13"/>
  <c r="K20" i="13"/>
  <c r="D26" i="13"/>
  <c r="F26" i="13"/>
  <c r="C26" i="13"/>
  <c r="G26" i="13"/>
  <c r="K26" i="13"/>
  <c r="B26" i="13"/>
  <c r="J26" i="13"/>
  <c r="I26" i="13"/>
  <c r="H26" i="13"/>
  <c r="I14" i="13"/>
  <c r="K14" i="13"/>
  <c r="H14" i="13"/>
  <c r="G14" i="13"/>
  <c r="F14" i="13"/>
  <c r="J14" i="13"/>
  <c r="B14" i="13"/>
  <c r="E14" i="13"/>
  <c r="E15" i="13" s="1"/>
  <c r="E16" i="13" s="1"/>
  <c r="E17" i="13" s="1"/>
  <c r="D14" i="13"/>
  <c r="C14" i="13"/>
  <c r="E19" i="13"/>
  <c r="E20" i="13" s="1"/>
  <c r="E21" i="13" s="1"/>
  <c r="F19" i="13"/>
  <c r="D19" i="13"/>
  <c r="K19" i="13"/>
  <c r="C19" i="13"/>
  <c r="J19" i="13"/>
  <c r="B19" i="13"/>
  <c r="I19" i="13"/>
  <c r="H19" i="13"/>
  <c r="G19" i="13"/>
  <c r="G11" i="13"/>
  <c r="F11" i="13"/>
  <c r="I11" i="13"/>
  <c r="D11" i="13"/>
  <c r="H11" i="13"/>
  <c r="K11" i="13"/>
  <c r="C11" i="13"/>
  <c r="J11" i="13"/>
  <c r="B11" i="13"/>
  <c r="D22" i="13"/>
  <c r="K22" i="13"/>
  <c r="C22" i="13"/>
  <c r="J22" i="13"/>
  <c r="B22" i="13"/>
  <c r="I22" i="13"/>
  <c r="H22" i="13"/>
  <c r="G22" i="13"/>
  <c r="F22" i="13"/>
  <c r="J10" i="13"/>
  <c r="B10" i="13"/>
  <c r="I10" i="13"/>
  <c r="H10" i="13"/>
  <c r="G10" i="13"/>
  <c r="D10" i="13"/>
  <c r="C10" i="13"/>
  <c r="F10" i="13"/>
  <c r="K10" i="13"/>
  <c r="K27" i="13"/>
  <c r="B27" i="13"/>
  <c r="C27" i="13"/>
  <c r="J27" i="13"/>
  <c r="I27" i="13"/>
  <c r="H27" i="13"/>
  <c r="G27" i="13"/>
  <c r="F27" i="13"/>
  <c r="D27" i="13"/>
  <c r="E9" i="13"/>
  <c r="E10" i="13" s="1"/>
  <c r="E11" i="13" s="1"/>
  <c r="E12" i="13" s="1"/>
  <c r="D9" i="13"/>
  <c r="F9" i="13"/>
  <c r="K9" i="13"/>
  <c r="C9" i="13"/>
  <c r="J9" i="13"/>
  <c r="B9" i="13"/>
  <c r="I9" i="13"/>
  <c r="H9" i="13"/>
  <c r="G9" i="13"/>
  <c r="F15" i="13"/>
  <c r="D15" i="13"/>
  <c r="K15" i="13"/>
  <c r="C15" i="13"/>
  <c r="J15" i="13"/>
  <c r="B15" i="13"/>
  <c r="H15" i="13"/>
  <c r="G15" i="13"/>
  <c r="I15" i="13"/>
  <c r="G21" i="13"/>
  <c r="H21" i="13"/>
  <c r="F21" i="13"/>
  <c r="D21" i="13"/>
  <c r="I21" i="13"/>
  <c r="K21" i="13"/>
  <c r="C21" i="13"/>
  <c r="J21" i="13"/>
  <c r="B21" i="13"/>
  <c r="K16" i="13"/>
  <c r="C16" i="13"/>
  <c r="J16" i="13"/>
  <c r="B16" i="13"/>
  <c r="I16" i="13"/>
  <c r="H16" i="13"/>
  <c r="D16" i="13"/>
  <c r="G16" i="13"/>
  <c r="F16" i="13"/>
  <c r="D12" i="13"/>
  <c r="K12" i="13"/>
  <c r="C12" i="13"/>
  <c r="J12" i="13"/>
  <c r="B12" i="13"/>
  <c r="I12" i="13"/>
  <c r="F12" i="13"/>
  <c r="H12" i="13"/>
  <c r="G12" i="13"/>
  <c r="J34" i="12"/>
  <c r="C28" i="12"/>
  <c r="B25" i="12"/>
  <c r="D28" i="12"/>
  <c r="F25" i="12"/>
  <c r="H18" i="12"/>
  <c r="G10" i="12"/>
  <c r="G25" i="12"/>
  <c r="J25" i="12"/>
  <c r="C25" i="12"/>
  <c r="H25" i="12"/>
  <c r="K25" i="12"/>
  <c r="I25" i="12"/>
  <c r="D25" i="12"/>
  <c r="D34" i="12"/>
  <c r="B34" i="12"/>
  <c r="K34" i="12"/>
  <c r="H34" i="12"/>
  <c r="G34" i="12"/>
  <c r="F34" i="12"/>
  <c r="C34" i="12"/>
  <c r="G28" i="12"/>
  <c r="F28" i="12"/>
  <c r="J28" i="12"/>
  <c r="K28" i="12"/>
  <c r="B28" i="12"/>
  <c r="I28" i="12"/>
  <c r="D18" i="12"/>
  <c r="K10" i="12"/>
  <c r="C10" i="12"/>
  <c r="I10" i="12"/>
  <c r="K18" i="12"/>
  <c r="I18" i="12"/>
  <c r="C18" i="12"/>
  <c r="J10" i="12"/>
  <c r="J18" i="12"/>
  <c r="G18" i="12"/>
  <c r="B10" i="12"/>
  <c r="H10" i="12"/>
  <c r="B18" i="12"/>
  <c r="F20" i="12"/>
  <c r="F10" i="12"/>
  <c r="K27" i="12"/>
  <c r="C27" i="12"/>
  <c r="J27" i="12"/>
  <c r="B27" i="12"/>
  <c r="I27" i="12"/>
  <c r="H27" i="12"/>
  <c r="G27" i="12"/>
  <c r="F27" i="12"/>
  <c r="D27" i="12"/>
  <c r="G35" i="12"/>
  <c r="F35" i="12"/>
  <c r="D35" i="12"/>
  <c r="C35" i="12"/>
  <c r="K35" i="12"/>
  <c r="B35" i="12"/>
  <c r="J35" i="12"/>
  <c r="I35" i="12"/>
  <c r="H35" i="12"/>
  <c r="F16" i="12"/>
  <c r="D16" i="12"/>
  <c r="K16" i="12"/>
  <c r="C16" i="12"/>
  <c r="G16" i="12"/>
  <c r="J16" i="12"/>
  <c r="B16" i="12"/>
  <c r="I16" i="12"/>
  <c r="H16" i="12"/>
  <c r="D32" i="12"/>
  <c r="C32" i="12"/>
  <c r="K32" i="12"/>
  <c r="B32" i="12"/>
  <c r="J32" i="12"/>
  <c r="I32" i="12"/>
  <c r="F32" i="12"/>
  <c r="H32" i="12"/>
  <c r="G32" i="12"/>
  <c r="J11" i="12"/>
  <c r="B11" i="12"/>
  <c r="K11" i="12"/>
  <c r="I11" i="12"/>
  <c r="H11" i="12"/>
  <c r="G11" i="12"/>
  <c r="C11" i="12"/>
  <c r="F11" i="12"/>
  <c r="D11" i="12"/>
  <c r="G12" i="12"/>
  <c r="F12" i="12"/>
  <c r="D12" i="12"/>
  <c r="H12" i="12"/>
  <c r="K12" i="12"/>
  <c r="C12" i="12"/>
  <c r="J12" i="12"/>
  <c r="B12" i="12"/>
  <c r="I12" i="12"/>
  <c r="I15" i="12"/>
  <c r="B15" i="12"/>
  <c r="H15" i="12"/>
  <c r="G15" i="12"/>
  <c r="F15" i="12"/>
  <c r="J15" i="12"/>
  <c r="E15" i="12"/>
  <c r="E16" i="12" s="1"/>
  <c r="E17" i="12" s="1"/>
  <c r="E18" i="12" s="1"/>
  <c r="D15" i="12"/>
  <c r="K15" i="12"/>
  <c r="C15" i="12"/>
  <c r="D23" i="12"/>
  <c r="K23" i="12"/>
  <c r="C23" i="12"/>
  <c r="J23" i="12"/>
  <c r="B23" i="12"/>
  <c r="I23" i="12"/>
  <c r="H23" i="12"/>
  <c r="G23" i="12"/>
  <c r="F23" i="12"/>
  <c r="D36" i="12"/>
  <c r="F36" i="12"/>
  <c r="C36" i="12"/>
  <c r="K36" i="12"/>
  <c r="B36" i="12"/>
  <c r="J36" i="12"/>
  <c r="I36" i="12"/>
  <c r="H36" i="12"/>
  <c r="G36" i="12"/>
  <c r="K17" i="12"/>
  <c r="C17" i="12"/>
  <c r="D17" i="12"/>
  <c r="J17" i="12"/>
  <c r="B17" i="12"/>
  <c r="I17" i="12"/>
  <c r="H17" i="12"/>
  <c r="G17" i="12"/>
  <c r="F17" i="12"/>
  <c r="F26" i="12"/>
  <c r="G26" i="12"/>
  <c r="D26" i="12"/>
  <c r="K26" i="12"/>
  <c r="C26" i="12"/>
  <c r="J26" i="12"/>
  <c r="B26" i="12"/>
  <c r="I26" i="12"/>
  <c r="H26" i="12"/>
  <c r="K33" i="12"/>
  <c r="B33" i="12"/>
  <c r="J33" i="12"/>
  <c r="I33" i="12"/>
  <c r="H33" i="12"/>
  <c r="C33" i="12"/>
  <c r="G33" i="12"/>
  <c r="F33" i="12"/>
  <c r="D33" i="12"/>
  <c r="J21" i="12"/>
  <c r="B21" i="12"/>
  <c r="I21" i="12"/>
  <c r="H21" i="12"/>
  <c r="G21" i="12"/>
  <c r="C21" i="12"/>
  <c r="F21" i="12"/>
  <c r="D21" i="12"/>
  <c r="K21" i="12"/>
  <c r="D13" i="12"/>
  <c r="K13" i="12"/>
  <c r="C13" i="12"/>
  <c r="J13" i="12"/>
  <c r="B13" i="12"/>
  <c r="I13" i="12"/>
  <c r="H13" i="12"/>
  <c r="G13" i="12"/>
  <c r="F13" i="12"/>
  <c r="G22" i="12"/>
  <c r="F22" i="12"/>
  <c r="H22" i="12"/>
  <c r="D22" i="12"/>
  <c r="K22" i="12"/>
  <c r="C22" i="12"/>
  <c r="J22" i="12"/>
  <c r="B22" i="12"/>
  <c r="I22" i="12"/>
  <c r="G35" i="10"/>
  <c r="J35" i="10"/>
  <c r="C35" i="10"/>
  <c r="H35" i="10"/>
  <c r="B35" i="10"/>
  <c r="G28" i="10"/>
  <c r="K35" i="10"/>
  <c r="B28" i="10"/>
  <c r="C28" i="10"/>
  <c r="I28" i="10"/>
  <c r="F28" i="10"/>
  <c r="H26" i="10"/>
  <c r="I26" i="10"/>
  <c r="J26" i="10"/>
  <c r="F26" i="10"/>
  <c r="D26" i="10"/>
  <c r="K28" i="10"/>
  <c r="B26" i="10"/>
  <c r="C18" i="10"/>
  <c r="J18" i="10"/>
  <c r="D13" i="10"/>
  <c r="I18" i="10"/>
  <c r="F18" i="10"/>
  <c r="K26" i="10"/>
  <c r="G20" i="10"/>
  <c r="C26" i="10"/>
  <c r="K18" i="10"/>
  <c r="J23" i="10"/>
  <c r="B18" i="10"/>
  <c r="B25" i="10"/>
  <c r="K25" i="10"/>
  <c r="J15" i="10"/>
  <c r="E15" i="10"/>
  <c r="E16" i="10" s="1"/>
  <c r="E17" i="10" s="1"/>
  <c r="E18" i="10" s="1"/>
  <c r="G33" i="10"/>
  <c r="K33" i="10"/>
  <c r="C33" i="10"/>
  <c r="B33" i="10"/>
  <c r="F33" i="10"/>
  <c r="J33" i="10"/>
  <c r="H33" i="10"/>
  <c r="I35" i="10"/>
  <c r="H20" i="10"/>
  <c r="C20" i="10"/>
  <c r="F35" i="10"/>
  <c r="I33" i="10"/>
  <c r="K15" i="10"/>
  <c r="D20" i="10"/>
  <c r="G25" i="10"/>
  <c r="E25" i="10"/>
  <c r="E26" i="10" s="1"/>
  <c r="E27" i="10" s="1"/>
  <c r="D15" i="10"/>
  <c r="C23" i="10"/>
  <c r="I23" i="10"/>
  <c r="K23" i="10"/>
  <c r="H25" i="10"/>
  <c r="G15" i="10"/>
  <c r="F23" i="10"/>
  <c r="J25" i="10"/>
  <c r="H15" i="10"/>
  <c r="G23" i="10"/>
  <c r="C25" i="10"/>
  <c r="B15" i="10"/>
  <c r="H23" i="10"/>
  <c r="B23" i="10"/>
  <c r="I20" i="10"/>
  <c r="J20" i="10"/>
  <c r="E20" i="10"/>
  <c r="E21" i="10" s="1"/>
  <c r="E22" i="10" s="1"/>
  <c r="F20" i="10"/>
  <c r="B20" i="10"/>
  <c r="J13" i="10"/>
  <c r="F25" i="10"/>
  <c r="I25" i="10"/>
  <c r="C13" i="10"/>
  <c r="D18" i="10"/>
  <c r="H18" i="10"/>
  <c r="K13" i="10"/>
  <c r="F13" i="10"/>
  <c r="I10" i="10"/>
  <c r="F10" i="10"/>
  <c r="E11" i="10"/>
  <c r="E12" i="10" s="1"/>
  <c r="E13" i="10" s="1"/>
  <c r="B10" i="10"/>
  <c r="J10" i="10"/>
  <c r="G13" i="10"/>
  <c r="D28" i="10"/>
  <c r="H28" i="10"/>
  <c r="I13" i="10"/>
  <c r="H13" i="10"/>
  <c r="I15" i="10"/>
  <c r="F15" i="10"/>
  <c r="F11" i="10"/>
  <c r="D11" i="10"/>
  <c r="K11" i="10"/>
  <c r="C11" i="10"/>
  <c r="I11" i="10"/>
  <c r="H11" i="10"/>
  <c r="G11" i="10"/>
  <c r="B11" i="10"/>
  <c r="J11" i="10"/>
  <c r="K12" i="10"/>
  <c r="C12" i="10"/>
  <c r="H12" i="10"/>
  <c r="J12" i="10"/>
  <c r="B12" i="10"/>
  <c r="I12" i="10"/>
  <c r="F12" i="10"/>
  <c r="G12" i="10"/>
  <c r="D12" i="10"/>
  <c r="K32" i="10"/>
  <c r="B32" i="10"/>
  <c r="J32" i="10"/>
  <c r="H32" i="10"/>
  <c r="I32" i="10"/>
  <c r="F32" i="10"/>
  <c r="D32" i="10"/>
  <c r="C32" i="10"/>
  <c r="G32" i="10"/>
  <c r="G17" i="10"/>
  <c r="F17" i="10"/>
  <c r="D17" i="10"/>
  <c r="J17" i="10"/>
  <c r="B17" i="10"/>
  <c r="I17" i="10"/>
  <c r="K17" i="10"/>
  <c r="H17" i="10"/>
  <c r="C17" i="10"/>
  <c r="J16" i="10"/>
  <c r="B16" i="10"/>
  <c r="G16" i="10"/>
  <c r="I16" i="10"/>
  <c r="H16" i="10"/>
  <c r="D16" i="10"/>
  <c r="K16" i="10"/>
  <c r="C16" i="10"/>
  <c r="F16" i="10"/>
  <c r="K22" i="10"/>
  <c r="C22" i="10"/>
  <c r="J22" i="10"/>
  <c r="B22" i="10"/>
  <c r="H22" i="10"/>
  <c r="I22" i="10"/>
  <c r="F22" i="10"/>
  <c r="G22" i="10"/>
  <c r="D22" i="10"/>
  <c r="G34" i="10"/>
  <c r="F34" i="10"/>
  <c r="C34" i="10"/>
  <c r="D34" i="10"/>
  <c r="J34" i="10"/>
  <c r="H34" i="10"/>
  <c r="I34" i="10"/>
  <c r="B34" i="10"/>
  <c r="K34" i="10"/>
  <c r="F21" i="10"/>
  <c r="C21" i="10"/>
  <c r="D21" i="10"/>
  <c r="K21" i="10"/>
  <c r="I21" i="10"/>
  <c r="H21" i="10"/>
  <c r="B21" i="10"/>
  <c r="J21" i="10"/>
  <c r="G21" i="10"/>
  <c r="G27" i="10"/>
  <c r="F27" i="10"/>
  <c r="D27" i="10"/>
  <c r="J27" i="10"/>
  <c r="B27" i="10"/>
  <c r="I27" i="10"/>
  <c r="K27" i="10"/>
  <c r="H27" i="10"/>
  <c r="C27" i="10"/>
  <c r="K36" i="10"/>
  <c r="B36" i="10"/>
  <c r="J36" i="10"/>
  <c r="I36" i="10"/>
  <c r="H36" i="10"/>
  <c r="F36" i="10"/>
  <c r="D36" i="10"/>
  <c r="C36" i="10"/>
  <c r="G36" i="10"/>
  <c r="A87" i="8"/>
  <c r="E12" i="14" l="1"/>
  <c r="E13" i="14"/>
  <c r="A299" i="8"/>
  <c r="B299" i="8"/>
  <c r="D299" i="8"/>
  <c r="E299" i="8"/>
  <c r="E345" i="8" l="1"/>
  <c r="D345" i="8"/>
  <c r="B345" i="8"/>
  <c r="A345" i="8"/>
  <c r="E344" i="8"/>
  <c r="D344" i="8"/>
  <c r="B344" i="8"/>
  <c r="A344" i="8"/>
  <c r="E343" i="8"/>
  <c r="D343" i="8"/>
  <c r="B343" i="8"/>
  <c r="A343" i="8"/>
  <c r="E342" i="8"/>
  <c r="D342" i="8"/>
  <c r="B342" i="8"/>
  <c r="A342" i="8"/>
  <c r="E339" i="8"/>
  <c r="D339" i="8"/>
  <c r="B339" i="8"/>
  <c r="A339" i="8"/>
  <c r="E338" i="8"/>
  <c r="D338" i="8"/>
  <c r="B338" i="8"/>
  <c r="A338" i="8"/>
  <c r="E337" i="8"/>
  <c r="D337" i="8"/>
  <c r="B337" i="8"/>
  <c r="A337" i="8"/>
  <c r="E336" i="8"/>
  <c r="D336" i="8"/>
  <c r="B336" i="8"/>
  <c r="A336" i="8"/>
  <c r="E298" i="8"/>
  <c r="D298" i="8"/>
  <c r="B298" i="8"/>
  <c r="A298" i="8"/>
  <c r="E297" i="8"/>
  <c r="D297" i="8"/>
  <c r="B297" i="8"/>
  <c r="A297" i="8"/>
  <c r="E296" i="8"/>
  <c r="D296" i="8"/>
  <c r="B296" i="8"/>
  <c r="A296" i="8"/>
  <c r="E295" i="8"/>
  <c r="D295" i="8"/>
  <c r="B295" i="8"/>
  <c r="A295" i="8"/>
  <c r="E294" i="8"/>
  <c r="D294" i="8"/>
  <c r="B294" i="8"/>
  <c r="A294" i="8"/>
  <c r="E293" i="8"/>
  <c r="D293" i="8"/>
  <c r="B293" i="8"/>
  <c r="A293" i="8"/>
  <c r="E292" i="8"/>
  <c r="D292" i="8"/>
  <c r="B292" i="8"/>
  <c r="A292" i="8"/>
  <c r="E291" i="8"/>
  <c r="D291" i="8"/>
  <c r="B291" i="8"/>
  <c r="A291" i="8"/>
  <c r="E290" i="8"/>
  <c r="D290" i="8"/>
  <c r="B290" i="8"/>
  <c r="A290" i="8"/>
  <c r="E289" i="8"/>
  <c r="D289" i="8"/>
  <c r="B289" i="8"/>
  <c r="A289" i="8"/>
  <c r="E288" i="8"/>
  <c r="D288" i="8"/>
  <c r="B288" i="8"/>
  <c r="A288" i="8"/>
  <c r="E287" i="8"/>
  <c r="D287" i="8"/>
  <c r="B287" i="8"/>
  <c r="A287" i="8"/>
  <c r="E286" i="8"/>
  <c r="D286" i="8"/>
  <c r="B286" i="8"/>
  <c r="A286" i="8"/>
  <c r="E285" i="8"/>
  <c r="D285" i="8"/>
  <c r="B285" i="8"/>
  <c r="A285" i="8"/>
  <c r="E284" i="8"/>
  <c r="D284" i="8"/>
  <c r="B284" i="8"/>
  <c r="A284" i="8"/>
  <c r="E283" i="8"/>
  <c r="D283" i="8"/>
  <c r="B283" i="8"/>
  <c r="A283" i="8"/>
  <c r="E282" i="8"/>
  <c r="D282" i="8"/>
  <c r="B282" i="8"/>
  <c r="A282" i="8"/>
  <c r="E281" i="8"/>
  <c r="D281" i="8"/>
  <c r="B281" i="8"/>
  <c r="A281" i="8"/>
  <c r="A333" i="8"/>
  <c r="B333" i="8"/>
  <c r="D333" i="8"/>
  <c r="E333" i="8"/>
  <c r="A332" i="8"/>
  <c r="B332" i="8"/>
  <c r="D332" i="8"/>
  <c r="E332" i="8"/>
  <c r="A327" i="8"/>
  <c r="A328" i="8"/>
  <c r="A329" i="8"/>
  <c r="A330" i="8"/>
  <c r="A331" i="8"/>
  <c r="B327" i="8"/>
  <c r="B328" i="8"/>
  <c r="B329" i="8"/>
  <c r="B330" i="8"/>
  <c r="B331" i="8"/>
  <c r="D327" i="8"/>
  <c r="D328" i="8"/>
  <c r="D329" i="8"/>
  <c r="D330" i="8"/>
  <c r="D331" i="8"/>
  <c r="E327" i="8"/>
  <c r="E328" i="8"/>
  <c r="E329" i="8"/>
  <c r="E330" i="8"/>
  <c r="E331" i="8"/>
  <c r="AJ144" i="3" l="1"/>
  <c r="AJ24" i="3"/>
  <c r="AJ3" i="3"/>
  <c r="AJ21" i="3"/>
  <c r="AJ40" i="3"/>
  <c r="AJ56" i="3"/>
  <c r="AJ72" i="3"/>
  <c r="AJ89" i="3"/>
  <c r="AJ106" i="3"/>
  <c r="AJ122" i="3"/>
  <c r="AJ138" i="3"/>
  <c r="AJ158" i="3"/>
  <c r="AJ177" i="3"/>
  <c r="AJ193" i="3"/>
  <c r="AJ209" i="3"/>
  <c r="AJ25" i="3"/>
  <c r="AJ4" i="3"/>
  <c r="AJ22" i="3"/>
  <c r="AJ41" i="3"/>
  <c r="AJ57" i="3"/>
  <c r="AJ73" i="3"/>
  <c r="AJ92" i="3"/>
  <c r="AJ107" i="3"/>
  <c r="AJ123" i="3"/>
  <c r="AJ139" i="3"/>
  <c r="AJ160" i="3"/>
  <c r="AJ178" i="3"/>
  <c r="AJ194" i="3"/>
  <c r="AJ210" i="3"/>
  <c r="AJ150" i="3"/>
  <c r="AJ5" i="3"/>
  <c r="AJ23" i="3"/>
  <c r="AJ42" i="3"/>
  <c r="AJ58" i="3"/>
  <c r="AJ74" i="3"/>
  <c r="AJ91" i="3"/>
  <c r="AJ108" i="3"/>
  <c r="AJ124" i="3"/>
  <c r="AJ140" i="3"/>
  <c r="AJ159" i="3"/>
  <c r="AJ179" i="3"/>
  <c r="AJ195" i="3"/>
  <c r="AJ211" i="3"/>
  <c r="AJ143" i="3"/>
  <c r="AJ26" i="3"/>
  <c r="AJ6" i="3"/>
  <c r="AJ27" i="3"/>
  <c r="AJ43" i="3"/>
  <c r="AJ59" i="3"/>
  <c r="AJ75" i="3"/>
  <c r="AJ94" i="3"/>
  <c r="AJ109" i="3"/>
  <c r="AJ125" i="3"/>
  <c r="AJ141" i="3"/>
  <c r="AJ162" i="3"/>
  <c r="AJ180" i="3"/>
  <c r="AJ196" i="3"/>
  <c r="AJ212" i="3"/>
  <c r="AJ163" i="3"/>
  <c r="AJ7" i="3"/>
  <c r="AJ28" i="3"/>
  <c r="AJ44" i="3"/>
  <c r="AJ60" i="3"/>
  <c r="AJ77" i="3"/>
  <c r="AJ93" i="3"/>
  <c r="AJ110" i="3"/>
  <c r="AJ126" i="3"/>
  <c r="AJ142" i="3"/>
  <c r="AJ164" i="3"/>
  <c r="AJ181" i="3"/>
  <c r="AJ197" i="3"/>
  <c r="AJ213" i="3"/>
  <c r="AJ78" i="3"/>
  <c r="AJ8" i="3"/>
  <c r="AJ29" i="3"/>
  <c r="AJ45" i="3"/>
  <c r="AJ61" i="3"/>
  <c r="AJ76" i="3"/>
  <c r="AJ95" i="3"/>
  <c r="AJ111" i="3"/>
  <c r="AJ127" i="3"/>
  <c r="AJ145" i="3"/>
  <c r="AJ166" i="3"/>
  <c r="AJ182" i="3"/>
  <c r="AJ198" i="3"/>
  <c r="AJ214" i="3"/>
  <c r="AJ84" i="3"/>
  <c r="AJ30" i="3"/>
  <c r="AJ79" i="3"/>
  <c r="AJ96" i="3"/>
  <c r="AJ128" i="3"/>
  <c r="AJ146" i="3"/>
  <c r="AJ165" i="3"/>
  <c r="AJ199" i="3"/>
  <c r="AJ215" i="3"/>
  <c r="AJ161" i="3"/>
  <c r="AJ151" i="3"/>
  <c r="AJ9" i="3"/>
  <c r="AJ46" i="3"/>
  <c r="AJ62" i="3"/>
  <c r="AJ112" i="3"/>
  <c r="AJ183" i="3"/>
  <c r="AJ10" i="3"/>
  <c r="AJ31" i="3"/>
  <c r="AJ47" i="3"/>
  <c r="AJ63" i="3"/>
  <c r="AJ80" i="3"/>
  <c r="AJ98" i="3"/>
  <c r="AJ113" i="3"/>
  <c r="AJ129" i="3"/>
  <c r="AJ147" i="3"/>
  <c r="AJ168" i="3"/>
  <c r="AJ184" i="3"/>
  <c r="AJ200" i="3"/>
  <c r="AJ216" i="3"/>
  <c r="AJ185" i="3"/>
  <c r="AJ11" i="3"/>
  <c r="AJ32" i="3"/>
  <c r="AJ48" i="3"/>
  <c r="AJ64" i="3"/>
  <c r="AJ81" i="3"/>
  <c r="AJ97" i="3"/>
  <c r="AJ114" i="3"/>
  <c r="AJ130" i="3"/>
  <c r="AJ148" i="3"/>
  <c r="AJ169" i="3"/>
  <c r="AJ201" i="3"/>
  <c r="AJ217" i="3"/>
  <c r="AJ12" i="3"/>
  <c r="AJ33" i="3"/>
  <c r="AJ49" i="3"/>
  <c r="AJ65" i="3"/>
  <c r="AJ82" i="3"/>
  <c r="AJ100" i="3"/>
  <c r="AJ115" i="3"/>
  <c r="AJ131" i="3"/>
  <c r="AJ149" i="3"/>
  <c r="AJ170" i="3"/>
  <c r="AJ186" i="3"/>
  <c r="AJ202" i="3"/>
  <c r="AJ218" i="3"/>
  <c r="AJ13" i="3"/>
  <c r="AJ34" i="3"/>
  <c r="AJ50" i="3"/>
  <c r="AJ66" i="3"/>
  <c r="AJ83" i="3"/>
  <c r="AJ99" i="3"/>
  <c r="AJ116" i="3"/>
  <c r="AJ132" i="3"/>
  <c r="AJ152" i="3"/>
  <c r="AJ171" i="3"/>
  <c r="AJ187" i="3"/>
  <c r="AJ203" i="3"/>
  <c r="AJ219" i="3"/>
  <c r="AJ14" i="3"/>
  <c r="AJ35" i="3"/>
  <c r="AJ51" i="3"/>
  <c r="AJ67" i="3"/>
  <c r="AJ85" i="3"/>
  <c r="AJ101" i="3"/>
  <c r="AJ117" i="3"/>
  <c r="AJ133" i="3"/>
  <c r="AJ153" i="3"/>
  <c r="AJ172" i="3"/>
  <c r="AJ188" i="3"/>
  <c r="AJ204" i="3"/>
  <c r="AJ15" i="3"/>
  <c r="AJ36" i="3"/>
  <c r="AJ52" i="3"/>
  <c r="AJ68" i="3"/>
  <c r="AJ86" i="3"/>
  <c r="AJ102" i="3"/>
  <c r="AJ118" i="3"/>
  <c r="AJ134" i="3"/>
  <c r="AJ16" i="3"/>
  <c r="AJ37" i="3"/>
  <c r="AJ53" i="3"/>
  <c r="AJ69" i="3"/>
  <c r="AJ88" i="3"/>
  <c r="AJ104" i="3"/>
  <c r="AJ119" i="3"/>
  <c r="AJ135" i="3"/>
  <c r="AJ155" i="3"/>
  <c r="AJ174" i="3"/>
  <c r="AJ190" i="3"/>
  <c r="AJ206" i="3"/>
  <c r="AJ222" i="3"/>
  <c r="AJ17" i="3"/>
  <c r="AJ38" i="3"/>
  <c r="AJ54" i="3"/>
  <c r="AJ70" i="3"/>
  <c r="AJ87" i="3"/>
  <c r="AJ103" i="3"/>
  <c r="AJ120" i="3"/>
  <c r="AJ136" i="3"/>
  <c r="AJ175" i="3"/>
  <c r="AJ156" i="3"/>
  <c r="AJ157" i="3"/>
  <c r="AJ173" i="3"/>
  <c r="AJ176" i="3"/>
  <c r="AJ189" i="3"/>
  <c r="AJ154" i="3"/>
  <c r="AJ191" i="3"/>
  <c r="AJ192" i="3"/>
  <c r="AJ18" i="3"/>
  <c r="AJ205" i="3"/>
  <c r="AJ39" i="3"/>
  <c r="AJ207" i="3"/>
  <c r="AJ55" i="3"/>
  <c r="AJ208" i="3"/>
  <c r="AJ71" i="3"/>
  <c r="AJ220" i="3"/>
  <c r="AJ90" i="3"/>
  <c r="AJ221" i="3"/>
  <c r="AJ105" i="3"/>
  <c r="AJ223" i="3"/>
  <c r="AJ121" i="3"/>
  <c r="AJ224" i="3"/>
  <c r="AJ137" i="3"/>
  <c r="AG144" i="3"/>
  <c r="AG5" i="3"/>
  <c r="AG23" i="3"/>
  <c r="AG42" i="3"/>
  <c r="AG58" i="3"/>
  <c r="AG74" i="3"/>
  <c r="AG91" i="3"/>
  <c r="AG108" i="3"/>
  <c r="AG124" i="3"/>
  <c r="AG140" i="3"/>
  <c r="AG159" i="3"/>
  <c r="AG179" i="3"/>
  <c r="AG195" i="3"/>
  <c r="AG211" i="3"/>
  <c r="AG143" i="3"/>
  <c r="AG6" i="3"/>
  <c r="AG27" i="3"/>
  <c r="AG43" i="3"/>
  <c r="AG75" i="3"/>
  <c r="AG94" i="3"/>
  <c r="AG125" i="3"/>
  <c r="AG141" i="3"/>
  <c r="AG162" i="3"/>
  <c r="AG196" i="3"/>
  <c r="AG212" i="3"/>
  <c r="AG163" i="3"/>
  <c r="AG28" i="3"/>
  <c r="AG77" i="3"/>
  <c r="AG93" i="3"/>
  <c r="AG126" i="3"/>
  <c r="AG164" i="3"/>
  <c r="AG181" i="3"/>
  <c r="AG59" i="3"/>
  <c r="AG109" i="3"/>
  <c r="AG180" i="3"/>
  <c r="AG44" i="3"/>
  <c r="AG110" i="3"/>
  <c r="AG197" i="3"/>
  <c r="AG7" i="3"/>
  <c r="AG60" i="3"/>
  <c r="AG142" i="3"/>
  <c r="AG151" i="3"/>
  <c r="AG24" i="3"/>
  <c r="AG25" i="3"/>
  <c r="AG10" i="3"/>
  <c r="AG31" i="3"/>
  <c r="AG47" i="3"/>
  <c r="AG63" i="3"/>
  <c r="AG80" i="3"/>
  <c r="AG98" i="3"/>
  <c r="AG113" i="3"/>
  <c r="AG129" i="3"/>
  <c r="AG147" i="3"/>
  <c r="AG168" i="3"/>
  <c r="AG184" i="3"/>
  <c r="AG200" i="3"/>
  <c r="AG216" i="3"/>
  <c r="AG11" i="3"/>
  <c r="AG32" i="3"/>
  <c r="AG48" i="3"/>
  <c r="AG81" i="3"/>
  <c r="AG97" i="3"/>
  <c r="AG114" i="3"/>
  <c r="AG150" i="3"/>
  <c r="AG64" i="3"/>
  <c r="AG26" i="3"/>
  <c r="AG12" i="3"/>
  <c r="AG33" i="3"/>
  <c r="AG49" i="3"/>
  <c r="AG65" i="3"/>
  <c r="AG82" i="3"/>
  <c r="AG100" i="3"/>
  <c r="AG115" i="3"/>
  <c r="AG131" i="3"/>
  <c r="AG149" i="3"/>
  <c r="AG170" i="3"/>
  <c r="AG186" i="3"/>
  <c r="AG202" i="3"/>
  <c r="AG218" i="3"/>
  <c r="AG13" i="3"/>
  <c r="AG50" i="3"/>
  <c r="AG66" i="3"/>
  <c r="AG99" i="3"/>
  <c r="AG116" i="3"/>
  <c r="AG132" i="3"/>
  <c r="AG171" i="3"/>
  <c r="AG187" i="3"/>
  <c r="AG34" i="3"/>
  <c r="AG83" i="3"/>
  <c r="AG152" i="3"/>
  <c r="AG18" i="3"/>
  <c r="AG39" i="3"/>
  <c r="AG55" i="3"/>
  <c r="AG71" i="3"/>
  <c r="AG90" i="3"/>
  <c r="AG105" i="3"/>
  <c r="AG121" i="3"/>
  <c r="AG137" i="3"/>
  <c r="AG157" i="3"/>
  <c r="AG176" i="3"/>
  <c r="AG192" i="3"/>
  <c r="AG208" i="3"/>
  <c r="AG224" i="3"/>
  <c r="AG37" i="3"/>
  <c r="AG69" i="3"/>
  <c r="AG104" i="3"/>
  <c r="AG134" i="3"/>
  <c r="AG169" i="3"/>
  <c r="AG198" i="3"/>
  <c r="AG221" i="3"/>
  <c r="AG172" i="3"/>
  <c r="AG199" i="3"/>
  <c r="AG201" i="3"/>
  <c r="AG78" i="3"/>
  <c r="AG207" i="3"/>
  <c r="AG209" i="3"/>
  <c r="AG89" i="3"/>
  <c r="AG123" i="3"/>
  <c r="AG191" i="3"/>
  <c r="AG36" i="3"/>
  <c r="AG38" i="3"/>
  <c r="AG70" i="3"/>
  <c r="AG103" i="3"/>
  <c r="AG135" i="3"/>
  <c r="AG222" i="3"/>
  <c r="AG203" i="3"/>
  <c r="AG52" i="3"/>
  <c r="AG210" i="3"/>
  <c r="AG165" i="3"/>
  <c r="AG3" i="3"/>
  <c r="AG40" i="3"/>
  <c r="AG72" i="3"/>
  <c r="AG106" i="3"/>
  <c r="AG136" i="3"/>
  <c r="AG173" i="3"/>
  <c r="AG223" i="3"/>
  <c r="AG118" i="3"/>
  <c r="AG185" i="3"/>
  <c r="AG35" i="3"/>
  <c r="AG4" i="3"/>
  <c r="AG41" i="3"/>
  <c r="AG73" i="3"/>
  <c r="AG107" i="3"/>
  <c r="AG138" i="3"/>
  <c r="AG174" i="3"/>
  <c r="AG161" i="3"/>
  <c r="AG87" i="3"/>
  <c r="AG68" i="3"/>
  <c r="AG8" i="3"/>
  <c r="AG45" i="3"/>
  <c r="AG76" i="3"/>
  <c r="AG111" i="3"/>
  <c r="AG139" i="3"/>
  <c r="AG175" i="3"/>
  <c r="AG204" i="3"/>
  <c r="AG9" i="3"/>
  <c r="AG46" i="3"/>
  <c r="AG79" i="3"/>
  <c r="AG112" i="3"/>
  <c r="AG177" i="3"/>
  <c r="AG205" i="3"/>
  <c r="AG86" i="3"/>
  <c r="AG153" i="3"/>
  <c r="AG120" i="3"/>
  <c r="AG56" i="3"/>
  <c r="AG156" i="3"/>
  <c r="AG62" i="3"/>
  <c r="AG101" i="3"/>
  <c r="AG194" i="3"/>
  <c r="AG145" i="3"/>
  <c r="AG154" i="3"/>
  <c r="AG188" i="3"/>
  <c r="AG214" i="3"/>
  <c r="AG128" i="3"/>
  <c r="AG67" i="3"/>
  <c r="AG14" i="3"/>
  <c r="AG51" i="3"/>
  <c r="AG85" i="3"/>
  <c r="AG117" i="3"/>
  <c r="AG146" i="3"/>
  <c r="AG178" i="3"/>
  <c r="AG206" i="3"/>
  <c r="AG84" i="3"/>
  <c r="AG15" i="3"/>
  <c r="AG148" i="3"/>
  <c r="AG183" i="3"/>
  <c r="AG54" i="3"/>
  <c r="AG122" i="3"/>
  <c r="AG213" i="3"/>
  <c r="AG57" i="3"/>
  <c r="AG30" i="3"/>
  <c r="AG160" i="3"/>
  <c r="AG102" i="3"/>
  <c r="AG182" i="3"/>
  <c r="AG193" i="3"/>
  <c r="AG16" i="3"/>
  <c r="AG53" i="3"/>
  <c r="AG88" i="3"/>
  <c r="AG119" i="3"/>
  <c r="AG155" i="3"/>
  <c r="AG92" i="3"/>
  <c r="AG219" i="3"/>
  <c r="AG17" i="3"/>
  <c r="AG21" i="3"/>
  <c r="AG189" i="3"/>
  <c r="AG217" i="3"/>
  <c r="AG133" i="3"/>
  <c r="AG22" i="3"/>
  <c r="AG130" i="3"/>
  <c r="AG29" i="3"/>
  <c r="AG61" i="3"/>
  <c r="AG95" i="3"/>
  <c r="AG127" i="3"/>
  <c r="AG158" i="3"/>
  <c r="AG190" i="3"/>
  <c r="AG215" i="3"/>
  <c r="AG96" i="3"/>
  <c r="AG166" i="3"/>
  <c r="AG220" i="3"/>
  <c r="AK144" i="3"/>
  <c r="AK24" i="3"/>
  <c r="AK25" i="3"/>
  <c r="AK150" i="3"/>
  <c r="AK151" i="3"/>
  <c r="AK26" i="3"/>
  <c r="AK3" i="3"/>
  <c r="AK161" i="3"/>
  <c r="AK163" i="3"/>
  <c r="AK78" i="3"/>
  <c r="AK143" i="3"/>
  <c r="AK84" i="3"/>
  <c r="AK87" i="3"/>
  <c r="AK97" i="3"/>
  <c r="AK93" i="3"/>
  <c r="AK159" i="3"/>
  <c r="AK99" i="3"/>
  <c r="AK165" i="3"/>
  <c r="AK89" i="3"/>
  <c r="AK91" i="3"/>
  <c r="AK103" i="3"/>
  <c r="AK76" i="3"/>
  <c r="AK75" i="3"/>
  <c r="AK188" i="3"/>
  <c r="AK196" i="3"/>
  <c r="AK186" i="3"/>
  <c r="AK190" i="3"/>
  <c r="AK198" i="3"/>
  <c r="AK200" i="3"/>
  <c r="AK192" i="3"/>
  <c r="AK95" i="3"/>
  <c r="AK178" i="3"/>
  <c r="AK180" i="3"/>
  <c r="AK168" i="3"/>
  <c r="AK184" i="3"/>
  <c r="AK170" i="3"/>
  <c r="AK209" i="3"/>
  <c r="AK213" i="3"/>
  <c r="AK211" i="3"/>
  <c r="AK223" i="3"/>
  <c r="AK207" i="3"/>
  <c r="AK221" i="3"/>
  <c r="AK215" i="3"/>
  <c r="AK9" i="3"/>
  <c r="AK119" i="3"/>
  <c r="AK172" i="3"/>
  <c r="AK10" i="3"/>
  <c r="AK121" i="3"/>
  <c r="AK182" i="3"/>
  <c r="AK194" i="3"/>
  <c r="AK127" i="3"/>
  <c r="AK133" i="3"/>
  <c r="AK123" i="3"/>
  <c r="AK117" i="3"/>
  <c r="AK125" i="3"/>
  <c r="AK74" i="3"/>
  <c r="AK131" i="3"/>
  <c r="AK217" i="3"/>
  <c r="AK136" i="3"/>
  <c r="AK114" i="3"/>
  <c r="AK129" i="3"/>
  <c r="AK115" i="3"/>
  <c r="AK219" i="3"/>
  <c r="AK39" i="3"/>
  <c r="AK34" i="3"/>
  <c r="AK43" i="3"/>
  <c r="AK41" i="3"/>
  <c r="AK174" i="3"/>
  <c r="AK53" i="3"/>
  <c r="AK45" i="3"/>
  <c r="AK176" i="3"/>
  <c r="AK47" i="3"/>
  <c r="AK49" i="3"/>
  <c r="AK51" i="3"/>
  <c r="AK107" i="3"/>
  <c r="AK110" i="3"/>
  <c r="AK112" i="3"/>
  <c r="AK105" i="3"/>
  <c r="AK108" i="3"/>
  <c r="AK203" i="3"/>
  <c r="AK202" i="3"/>
  <c r="AK13" i="3"/>
  <c r="AK14" i="3"/>
  <c r="AK205" i="3"/>
  <c r="AK206" i="3"/>
  <c r="AK204" i="3"/>
  <c r="AK142" i="3"/>
  <c r="AK23" i="3"/>
  <c r="AK147" i="3"/>
  <c r="AK22" i="3"/>
  <c r="AK146" i="3"/>
  <c r="AK145" i="3"/>
  <c r="AK21" i="3"/>
  <c r="AK148" i="3"/>
  <c r="AK149" i="3"/>
  <c r="AK153" i="3"/>
  <c r="AK134" i="3"/>
  <c r="AK29" i="3"/>
  <c r="AK66" i="3"/>
  <c r="AK141" i="3"/>
  <c r="AK16" i="3"/>
  <c r="AK15" i="3"/>
  <c r="AK57" i="3"/>
  <c r="AK18" i="3"/>
  <c r="AK62" i="3"/>
  <c r="AK68" i="3"/>
  <c r="AK63" i="3"/>
  <c r="AK58" i="3"/>
  <c r="AK56" i="3"/>
  <c r="AK17" i="3"/>
  <c r="AK59" i="3"/>
  <c r="AK28" i="3"/>
  <c r="AK96" i="3"/>
  <c r="AK65" i="3"/>
  <c r="AK104" i="3"/>
  <c r="AK98" i="3"/>
  <c r="AK88" i="3"/>
  <c r="AK67" i="3"/>
  <c r="AK100" i="3"/>
  <c r="AK69" i="3"/>
  <c r="AK64" i="3"/>
  <c r="AK27" i="3"/>
  <c r="AK92" i="3"/>
  <c r="AK152" i="3"/>
  <c r="AK90" i="3"/>
  <c r="AK155" i="3"/>
  <c r="AK7" i="3"/>
  <c r="AK154" i="3"/>
  <c r="AK31" i="3"/>
  <c r="AK138" i="3"/>
  <c r="AK6" i="3"/>
  <c r="AK137" i="3"/>
  <c r="AK201" i="3"/>
  <c r="AK32" i="3"/>
  <c r="AK158" i="3"/>
  <c r="AK181" i="3"/>
  <c r="AK183" i="3"/>
  <c r="AK169" i="3"/>
  <c r="AK185" i="3"/>
  <c r="AK157" i="3"/>
  <c r="AK30" i="3"/>
  <c r="AK173" i="3"/>
  <c r="AK156" i="3"/>
  <c r="AK171" i="3"/>
  <c r="AK139" i="3"/>
  <c r="AK73" i="3"/>
  <c r="AK12" i="3"/>
  <c r="AK140" i="3"/>
  <c r="AK11" i="3"/>
  <c r="AK8" i="3"/>
  <c r="AK135" i="3"/>
  <c r="AK175" i="3"/>
  <c r="AK71" i="3"/>
  <c r="AK36" i="3"/>
  <c r="AK177" i="3"/>
  <c r="AK37" i="3"/>
  <c r="AK70" i="3"/>
  <c r="AK5" i="3"/>
  <c r="AK4" i="3"/>
  <c r="AK35" i="3"/>
  <c r="AK48" i="3"/>
  <c r="AK72" i="3"/>
  <c r="AK83" i="3"/>
  <c r="AK94" i="3"/>
  <c r="AK120" i="3"/>
  <c r="AK166" i="3"/>
  <c r="AK195" i="3"/>
  <c r="AK216" i="3"/>
  <c r="AK33" i="3"/>
  <c r="AK118" i="3"/>
  <c r="AK50" i="3"/>
  <c r="AK85" i="3"/>
  <c r="AK122" i="3"/>
  <c r="AK179" i="3"/>
  <c r="AK197" i="3"/>
  <c r="AK218" i="3"/>
  <c r="AK46" i="3"/>
  <c r="AK52" i="3"/>
  <c r="AK106" i="3"/>
  <c r="AK124" i="3"/>
  <c r="AK199" i="3"/>
  <c r="AK220" i="3"/>
  <c r="AK38" i="3"/>
  <c r="AK54" i="3"/>
  <c r="AK77" i="3"/>
  <c r="AK109" i="3"/>
  <c r="AK126" i="3"/>
  <c r="AK187" i="3"/>
  <c r="AK222" i="3"/>
  <c r="AK214" i="3"/>
  <c r="AK40" i="3"/>
  <c r="AK55" i="3"/>
  <c r="AK79" i="3"/>
  <c r="AK86" i="3"/>
  <c r="AK101" i="3"/>
  <c r="AK111" i="3"/>
  <c r="AK128" i="3"/>
  <c r="AK189" i="3"/>
  <c r="AK208" i="3"/>
  <c r="AK224" i="3"/>
  <c r="AK42" i="3"/>
  <c r="AK60" i="3"/>
  <c r="AK80" i="3"/>
  <c r="AK102" i="3"/>
  <c r="AK113" i="3"/>
  <c r="AK130" i="3"/>
  <c r="AK160" i="3"/>
  <c r="AK191" i="3"/>
  <c r="AK210" i="3"/>
  <c r="AK82" i="3"/>
  <c r="AK44" i="3"/>
  <c r="AK61" i="3"/>
  <c r="AK81" i="3"/>
  <c r="AK116" i="3"/>
  <c r="AK132" i="3"/>
  <c r="AK162" i="3"/>
  <c r="AK193" i="3"/>
  <c r="AK212" i="3"/>
  <c r="AK164" i="3"/>
  <c r="A317" i="8"/>
  <c r="B317" i="8"/>
  <c r="D317" i="8"/>
  <c r="E317" i="8"/>
  <c r="A315" i="8"/>
  <c r="B315" i="8"/>
  <c r="D315" i="8"/>
  <c r="E315" i="8"/>
  <c r="A310" i="8"/>
  <c r="A311" i="8"/>
  <c r="A312" i="8"/>
  <c r="A313" i="8"/>
  <c r="A314" i="8"/>
  <c r="B310" i="8"/>
  <c r="B311" i="8"/>
  <c r="B312" i="8"/>
  <c r="B313" i="8"/>
  <c r="B314" i="8"/>
  <c r="D310" i="8"/>
  <c r="D311" i="8"/>
  <c r="D312" i="8"/>
  <c r="D313" i="8"/>
  <c r="D314" i="8"/>
  <c r="E310" i="8"/>
  <c r="E311" i="8"/>
  <c r="E312" i="8"/>
  <c r="E313" i="8"/>
  <c r="E314" i="8"/>
  <c r="A268" i="8" l="1"/>
  <c r="A274" i="8"/>
  <c r="A275" i="8"/>
  <c r="A276" i="8"/>
  <c r="A277" i="8"/>
  <c r="A278" i="8"/>
  <c r="B268" i="8"/>
  <c r="B274" i="8"/>
  <c r="B275" i="8"/>
  <c r="B276" i="8"/>
  <c r="B277" i="8"/>
  <c r="B278" i="8"/>
  <c r="D268" i="8"/>
  <c r="D274" i="8"/>
  <c r="D275" i="8"/>
  <c r="D276" i="8"/>
  <c r="D277" i="8"/>
  <c r="D278" i="8"/>
  <c r="E268" i="8"/>
  <c r="E274" i="8"/>
  <c r="E275" i="8"/>
  <c r="E276" i="8"/>
  <c r="E277" i="8"/>
  <c r="E278" i="8"/>
  <c r="A264" i="8" l="1"/>
  <c r="A265" i="8"/>
  <c r="B264" i="8"/>
  <c r="B265" i="8"/>
  <c r="D264" i="8"/>
  <c r="D265" i="8"/>
  <c r="E264" i="8"/>
  <c r="E265" i="8"/>
  <c r="E326" i="8" l="1"/>
  <c r="D326" i="8"/>
  <c r="B326" i="8"/>
  <c r="A326" i="8"/>
  <c r="E325" i="8"/>
  <c r="D325" i="8"/>
  <c r="B325" i="8"/>
  <c r="A325" i="8"/>
  <c r="E324" i="8"/>
  <c r="D324" i="8"/>
  <c r="B324" i="8"/>
  <c r="A324" i="8"/>
  <c r="E323" i="8"/>
  <c r="D323" i="8"/>
  <c r="B323" i="8"/>
  <c r="A323" i="8"/>
  <c r="E322" i="8"/>
  <c r="D322" i="8"/>
  <c r="B322" i="8"/>
  <c r="A322" i="8"/>
  <c r="E321" i="8"/>
  <c r="D321" i="8"/>
  <c r="B321" i="8"/>
  <c r="A321" i="8"/>
  <c r="E320" i="8"/>
  <c r="D320" i="8"/>
  <c r="B320" i="8"/>
  <c r="A320" i="8"/>
  <c r="E309" i="8"/>
  <c r="D309" i="8"/>
  <c r="B309" i="8"/>
  <c r="A309" i="8"/>
  <c r="E308" i="8"/>
  <c r="D308" i="8"/>
  <c r="B308" i="8"/>
  <c r="A308" i="8"/>
  <c r="E307" i="8"/>
  <c r="D307" i="8"/>
  <c r="B307" i="8"/>
  <c r="A307" i="8"/>
  <c r="E306" i="8"/>
  <c r="D306" i="8"/>
  <c r="B306" i="8"/>
  <c r="A306" i="8"/>
  <c r="E305" i="8"/>
  <c r="D305" i="8"/>
  <c r="B305" i="8"/>
  <c r="A305" i="8"/>
  <c r="E304" i="8"/>
  <c r="D304" i="8"/>
  <c r="B304" i="8"/>
  <c r="A304" i="8"/>
  <c r="E303" i="8"/>
  <c r="D303" i="8"/>
  <c r="B303" i="8"/>
  <c r="A303" i="8"/>
  <c r="E302" i="8"/>
  <c r="D302" i="8"/>
  <c r="B302" i="8"/>
  <c r="A302" i="8"/>
  <c r="E267" i="8"/>
  <c r="D267" i="8"/>
  <c r="B267" i="8"/>
  <c r="A267" i="8"/>
  <c r="E266" i="8"/>
  <c r="D266" i="8"/>
  <c r="B266" i="8"/>
  <c r="A266" i="8"/>
  <c r="E263" i="8"/>
  <c r="D263" i="8"/>
  <c r="B263" i="8"/>
  <c r="A263" i="8"/>
  <c r="E262" i="8"/>
  <c r="D262" i="8"/>
  <c r="B262" i="8"/>
  <c r="A262" i="8"/>
  <c r="E261" i="8"/>
  <c r="D261" i="8"/>
  <c r="B261" i="8"/>
  <c r="A261" i="8"/>
  <c r="E260" i="8"/>
  <c r="D260" i="8"/>
  <c r="B260" i="8"/>
  <c r="A260" i="8"/>
  <c r="E259" i="8"/>
  <c r="D259" i="8"/>
  <c r="B259" i="8"/>
  <c r="A259" i="8"/>
  <c r="E258" i="8"/>
  <c r="D258" i="8"/>
  <c r="B258" i="8"/>
  <c r="A258" i="8"/>
  <c r="E257" i="8"/>
  <c r="D257" i="8"/>
  <c r="B257" i="8"/>
  <c r="A257" i="8"/>
  <c r="E256" i="8"/>
  <c r="D256" i="8"/>
  <c r="B256" i="8"/>
  <c r="A256" i="8"/>
  <c r="A250" i="8"/>
  <c r="A251" i="8"/>
  <c r="A252" i="8"/>
  <c r="B250" i="8"/>
  <c r="B251" i="8"/>
  <c r="B252" i="8"/>
  <c r="D250" i="8"/>
  <c r="D251" i="8"/>
  <c r="D252" i="8"/>
  <c r="E250" i="8"/>
  <c r="E251" i="8"/>
  <c r="E252" i="8"/>
  <c r="AF20" i="3" l="1"/>
  <c r="AF167" i="3"/>
  <c r="AF19" i="3"/>
  <c r="AI144" i="3"/>
  <c r="AI10" i="3"/>
  <c r="AI31" i="3"/>
  <c r="AI47" i="3"/>
  <c r="AI63" i="3"/>
  <c r="AI80" i="3"/>
  <c r="AI98" i="3"/>
  <c r="AI113" i="3"/>
  <c r="AI129" i="3"/>
  <c r="AI147" i="3"/>
  <c r="AI168" i="3"/>
  <c r="AI184" i="3"/>
  <c r="AI200" i="3"/>
  <c r="AI216" i="3"/>
  <c r="AI11" i="3"/>
  <c r="AI32" i="3"/>
  <c r="AI48" i="3"/>
  <c r="AI64" i="3"/>
  <c r="AI81" i="3"/>
  <c r="AI97" i="3"/>
  <c r="AI114" i="3"/>
  <c r="AI130" i="3"/>
  <c r="AI148" i="3"/>
  <c r="AI169" i="3"/>
  <c r="AI185" i="3"/>
  <c r="AI201" i="3"/>
  <c r="AI217" i="3"/>
  <c r="AI12" i="3"/>
  <c r="AI33" i="3"/>
  <c r="AI49" i="3"/>
  <c r="AI65" i="3"/>
  <c r="AI82" i="3"/>
  <c r="AI100" i="3"/>
  <c r="AI115" i="3"/>
  <c r="AI131" i="3"/>
  <c r="AI149" i="3"/>
  <c r="AI170" i="3"/>
  <c r="AI186" i="3"/>
  <c r="AI202" i="3"/>
  <c r="AI218" i="3"/>
  <c r="AI13" i="3"/>
  <c r="AI34" i="3"/>
  <c r="AI50" i="3"/>
  <c r="AI66" i="3"/>
  <c r="AI83" i="3"/>
  <c r="AI99" i="3"/>
  <c r="AI116" i="3"/>
  <c r="AI132" i="3"/>
  <c r="AI152" i="3"/>
  <c r="AI171" i="3"/>
  <c r="AI187" i="3"/>
  <c r="AI203" i="3"/>
  <c r="AI219" i="3"/>
  <c r="AI14" i="3"/>
  <c r="AI35" i="3"/>
  <c r="AI51" i="3"/>
  <c r="AI67" i="3"/>
  <c r="AI85" i="3"/>
  <c r="AI101" i="3"/>
  <c r="AI117" i="3"/>
  <c r="AI133" i="3"/>
  <c r="AI153" i="3"/>
  <c r="AI172" i="3"/>
  <c r="AI188" i="3"/>
  <c r="AI204" i="3"/>
  <c r="AI220" i="3"/>
  <c r="AI151" i="3"/>
  <c r="AI15" i="3"/>
  <c r="AI36" i="3"/>
  <c r="AI52" i="3"/>
  <c r="AI68" i="3"/>
  <c r="AI86" i="3"/>
  <c r="AI102" i="3"/>
  <c r="AI118" i="3"/>
  <c r="AI134" i="3"/>
  <c r="AI154" i="3"/>
  <c r="AI173" i="3"/>
  <c r="AI189" i="3"/>
  <c r="AI205" i="3"/>
  <c r="AI221" i="3"/>
  <c r="AI16" i="3"/>
  <c r="AI37" i="3"/>
  <c r="AI53" i="3"/>
  <c r="AI69" i="3"/>
  <c r="AI88" i="3"/>
  <c r="AI104" i="3"/>
  <c r="AI119" i="3"/>
  <c r="AI135" i="3"/>
  <c r="AI155" i="3"/>
  <c r="AI174" i="3"/>
  <c r="AI190" i="3"/>
  <c r="AI206" i="3"/>
  <c r="AI222" i="3"/>
  <c r="AI17" i="3"/>
  <c r="AI38" i="3"/>
  <c r="AI54" i="3"/>
  <c r="AI70" i="3"/>
  <c r="AI87" i="3"/>
  <c r="AI103" i="3"/>
  <c r="AI120" i="3"/>
  <c r="AI136" i="3"/>
  <c r="AI156" i="3"/>
  <c r="AI175" i="3"/>
  <c r="AI191" i="3"/>
  <c r="AI207" i="3"/>
  <c r="AI223" i="3"/>
  <c r="AI18" i="3"/>
  <c r="AI39" i="3"/>
  <c r="AI55" i="3"/>
  <c r="AI71" i="3"/>
  <c r="AI90" i="3"/>
  <c r="AI105" i="3"/>
  <c r="AI121" i="3"/>
  <c r="AI137" i="3"/>
  <c r="AI157" i="3"/>
  <c r="AI176" i="3"/>
  <c r="AI192" i="3"/>
  <c r="AI208" i="3"/>
  <c r="AI224" i="3"/>
  <c r="AI3" i="3"/>
  <c r="AI21" i="3"/>
  <c r="AI40" i="3"/>
  <c r="AI56" i="3"/>
  <c r="AI72" i="3"/>
  <c r="AI89" i="3"/>
  <c r="AI106" i="3"/>
  <c r="AI122" i="3"/>
  <c r="AI138" i="3"/>
  <c r="AI158" i="3"/>
  <c r="AI177" i="3"/>
  <c r="AI193" i="3"/>
  <c r="AI209" i="3"/>
  <c r="AI4" i="3"/>
  <c r="AI22" i="3"/>
  <c r="AI41" i="3"/>
  <c r="AI57" i="3"/>
  <c r="AI73" i="3"/>
  <c r="AI92" i="3"/>
  <c r="AI107" i="3"/>
  <c r="AI123" i="3"/>
  <c r="AI139" i="3"/>
  <c r="AI160" i="3"/>
  <c r="AI178" i="3"/>
  <c r="AI194" i="3"/>
  <c r="AI210" i="3"/>
  <c r="AI5" i="3"/>
  <c r="AI23" i="3"/>
  <c r="AI42" i="3"/>
  <c r="AI58" i="3"/>
  <c r="AI74" i="3"/>
  <c r="AI91" i="3"/>
  <c r="AI108" i="3"/>
  <c r="AI124" i="3"/>
  <c r="AI140" i="3"/>
  <c r="AI159" i="3"/>
  <c r="AI179" i="3"/>
  <c r="AI195" i="3"/>
  <c r="AI211" i="3"/>
  <c r="AI143" i="3"/>
  <c r="AI24" i="3"/>
  <c r="AI6" i="3"/>
  <c r="AI27" i="3"/>
  <c r="AI43" i="3"/>
  <c r="AI59" i="3"/>
  <c r="AI75" i="3"/>
  <c r="AI94" i="3"/>
  <c r="AI109" i="3"/>
  <c r="AI125" i="3"/>
  <c r="AI141" i="3"/>
  <c r="AI162" i="3"/>
  <c r="AI180" i="3"/>
  <c r="AI196" i="3"/>
  <c r="AI212" i="3"/>
  <c r="AI163" i="3"/>
  <c r="AI25" i="3"/>
  <c r="AI7" i="3"/>
  <c r="AI28" i="3"/>
  <c r="AI44" i="3"/>
  <c r="AI60" i="3"/>
  <c r="AI77" i="3"/>
  <c r="AI93" i="3"/>
  <c r="AI110" i="3"/>
  <c r="AI126" i="3"/>
  <c r="AI142" i="3"/>
  <c r="AI164" i="3"/>
  <c r="AI181" i="3"/>
  <c r="AI197" i="3"/>
  <c r="AI213" i="3"/>
  <c r="AI78" i="3"/>
  <c r="AI150" i="3"/>
  <c r="AI8" i="3"/>
  <c r="AI29" i="3"/>
  <c r="AI45" i="3"/>
  <c r="AI61" i="3"/>
  <c r="AI76" i="3"/>
  <c r="AI95" i="3"/>
  <c r="AI111" i="3"/>
  <c r="AI127" i="3"/>
  <c r="AI145" i="3"/>
  <c r="AI166" i="3"/>
  <c r="AI182" i="3"/>
  <c r="AI198" i="3"/>
  <c r="AI214" i="3"/>
  <c r="AI84" i="3"/>
  <c r="AI112" i="3"/>
  <c r="AI128" i="3"/>
  <c r="AI146" i="3"/>
  <c r="AI165" i="3"/>
  <c r="AI183" i="3"/>
  <c r="AI199" i="3"/>
  <c r="AI96" i="3"/>
  <c r="AI215" i="3"/>
  <c r="AI161" i="3"/>
  <c r="AI26" i="3"/>
  <c r="AI9" i="3"/>
  <c r="AI30" i="3"/>
  <c r="AI46" i="3"/>
  <c r="AI62" i="3"/>
  <c r="AI79" i="3"/>
  <c r="AH144" i="3"/>
  <c r="AH12" i="3"/>
  <c r="AH33" i="3"/>
  <c r="AH49" i="3"/>
  <c r="AH65" i="3"/>
  <c r="AH82" i="3"/>
  <c r="AH100" i="3"/>
  <c r="AH115" i="3"/>
  <c r="AH131" i="3"/>
  <c r="AH149" i="3"/>
  <c r="AH170" i="3"/>
  <c r="AH186" i="3"/>
  <c r="AH202" i="3"/>
  <c r="AH218" i="3"/>
  <c r="AH34" i="3"/>
  <c r="AH66" i="3"/>
  <c r="AH83" i="3"/>
  <c r="AH116" i="3"/>
  <c r="AH132" i="3"/>
  <c r="AH171" i="3"/>
  <c r="AH187" i="3"/>
  <c r="AH203" i="3"/>
  <c r="AH13" i="3"/>
  <c r="AH50" i="3"/>
  <c r="AH99" i="3"/>
  <c r="AH152" i="3"/>
  <c r="AH219" i="3"/>
  <c r="AH14" i="3"/>
  <c r="AH35" i="3"/>
  <c r="AH51" i="3"/>
  <c r="AH67" i="3"/>
  <c r="AH85" i="3"/>
  <c r="AH101" i="3"/>
  <c r="AH117" i="3"/>
  <c r="AH133" i="3"/>
  <c r="AH153" i="3"/>
  <c r="AH172" i="3"/>
  <c r="AH188" i="3"/>
  <c r="AH204" i="3"/>
  <c r="AH220" i="3"/>
  <c r="AH15" i="3"/>
  <c r="AH36" i="3"/>
  <c r="AH52" i="3"/>
  <c r="AH68" i="3"/>
  <c r="AH86" i="3"/>
  <c r="AH102" i="3"/>
  <c r="AH118" i="3"/>
  <c r="AH134" i="3"/>
  <c r="AH154" i="3"/>
  <c r="AH173" i="3"/>
  <c r="AH151" i="3"/>
  <c r="AH16" i="3"/>
  <c r="AH37" i="3"/>
  <c r="AH53" i="3"/>
  <c r="AH69" i="3"/>
  <c r="AH88" i="3"/>
  <c r="AH104" i="3"/>
  <c r="AH119" i="3"/>
  <c r="AH135" i="3"/>
  <c r="AH155" i="3"/>
  <c r="AH174" i="3"/>
  <c r="AH190" i="3"/>
  <c r="AH206" i="3"/>
  <c r="AH17" i="3"/>
  <c r="AH38" i="3"/>
  <c r="AH54" i="3"/>
  <c r="AH70" i="3"/>
  <c r="AH87" i="3"/>
  <c r="AH103" i="3"/>
  <c r="AH120" i="3"/>
  <c r="AH136" i="3"/>
  <c r="AH156" i="3"/>
  <c r="AH175" i="3"/>
  <c r="AH191" i="3"/>
  <c r="AH207" i="3"/>
  <c r="AH223" i="3"/>
  <c r="AH39" i="3"/>
  <c r="AH55" i="3"/>
  <c r="AH71" i="3"/>
  <c r="AH105" i="3"/>
  <c r="AH121" i="3"/>
  <c r="AH137" i="3"/>
  <c r="AH176" i="3"/>
  <c r="AH192" i="3"/>
  <c r="AH208" i="3"/>
  <c r="AH18" i="3"/>
  <c r="AH90" i="3"/>
  <c r="AH157" i="3"/>
  <c r="AH224" i="3"/>
  <c r="AH3" i="3"/>
  <c r="AH21" i="3"/>
  <c r="AH40" i="3"/>
  <c r="AH56" i="3"/>
  <c r="AH72" i="3"/>
  <c r="AH89" i="3"/>
  <c r="AH106" i="3"/>
  <c r="AH122" i="3"/>
  <c r="AH138" i="3"/>
  <c r="AH158" i="3"/>
  <c r="AH177" i="3"/>
  <c r="AH193" i="3"/>
  <c r="AH209" i="3"/>
  <c r="AH4" i="3"/>
  <c r="AH22" i="3"/>
  <c r="AH57" i="3"/>
  <c r="AH73" i="3"/>
  <c r="AH107" i="3"/>
  <c r="AH123" i="3"/>
  <c r="AH160" i="3"/>
  <c r="AH178" i="3"/>
  <c r="AH194" i="3"/>
  <c r="AH24" i="3"/>
  <c r="AH41" i="3"/>
  <c r="AH92" i="3"/>
  <c r="AH139" i="3"/>
  <c r="AH210" i="3"/>
  <c r="AH25" i="3"/>
  <c r="AH5" i="3"/>
  <c r="AH150" i="3"/>
  <c r="AH6" i="3"/>
  <c r="AH26" i="3"/>
  <c r="AH9" i="3"/>
  <c r="AH30" i="3"/>
  <c r="AH46" i="3"/>
  <c r="AH62" i="3"/>
  <c r="AH79" i="3"/>
  <c r="AH96" i="3"/>
  <c r="AH112" i="3"/>
  <c r="AH128" i="3"/>
  <c r="AH146" i="3"/>
  <c r="AH165" i="3"/>
  <c r="AH183" i="3"/>
  <c r="AH199" i="3"/>
  <c r="AH215" i="3"/>
  <c r="AH161" i="3"/>
  <c r="AH10" i="3"/>
  <c r="AH60" i="3"/>
  <c r="AH108" i="3"/>
  <c r="AH147" i="3"/>
  <c r="AH196" i="3"/>
  <c r="AH78" i="3"/>
  <c r="AH142" i="3"/>
  <c r="AH11" i="3"/>
  <c r="AH61" i="3"/>
  <c r="AH109" i="3"/>
  <c r="AH148" i="3"/>
  <c r="AH197" i="3"/>
  <c r="AH84" i="3"/>
  <c r="AH94" i="3"/>
  <c r="AH98" i="3"/>
  <c r="AH23" i="3"/>
  <c r="AH63" i="3"/>
  <c r="AH110" i="3"/>
  <c r="AH159" i="3"/>
  <c r="AH198" i="3"/>
  <c r="AH45" i="3"/>
  <c r="AH195" i="3"/>
  <c r="AH27" i="3"/>
  <c r="AH64" i="3"/>
  <c r="AH111" i="3"/>
  <c r="AH162" i="3"/>
  <c r="AH200" i="3"/>
  <c r="AH217" i="3"/>
  <c r="AH189" i="3"/>
  <c r="AH28" i="3"/>
  <c r="AH74" i="3"/>
  <c r="AH113" i="3"/>
  <c r="AH164" i="3"/>
  <c r="AH201" i="3"/>
  <c r="AH75" i="3"/>
  <c r="AH166" i="3"/>
  <c r="AH182" i="3"/>
  <c r="AH29" i="3"/>
  <c r="AH114" i="3"/>
  <c r="AH205" i="3"/>
  <c r="AH163" i="3"/>
  <c r="AH31" i="3"/>
  <c r="AH77" i="3"/>
  <c r="AH124" i="3"/>
  <c r="AH168" i="3"/>
  <c r="AH211" i="3"/>
  <c r="AH125" i="3"/>
  <c r="AH212" i="3"/>
  <c r="AH7" i="3"/>
  <c r="AH8" i="3"/>
  <c r="AH32" i="3"/>
  <c r="AH76" i="3"/>
  <c r="AH169" i="3"/>
  <c r="AH185" i="3"/>
  <c r="AH145" i="3"/>
  <c r="AH42" i="3"/>
  <c r="AH80" i="3"/>
  <c r="AH126" i="3"/>
  <c r="AH179" i="3"/>
  <c r="AH213" i="3"/>
  <c r="AH43" i="3"/>
  <c r="AH81" i="3"/>
  <c r="AH127" i="3"/>
  <c r="AH180" i="3"/>
  <c r="AH214" i="3"/>
  <c r="AH130" i="3"/>
  <c r="AH58" i="3"/>
  <c r="AH44" i="3"/>
  <c r="AH91" i="3"/>
  <c r="AH129" i="3"/>
  <c r="AH181" i="3"/>
  <c r="AH216" i="3"/>
  <c r="AH143" i="3"/>
  <c r="AH97" i="3"/>
  <c r="AH47" i="3"/>
  <c r="AH93" i="3"/>
  <c r="AH140" i="3"/>
  <c r="AH184" i="3"/>
  <c r="AH221" i="3"/>
  <c r="AH48" i="3"/>
  <c r="AH95" i="3"/>
  <c r="AH141" i="3"/>
  <c r="AH222" i="3"/>
  <c r="AH59" i="3"/>
  <c r="AF144" i="3"/>
  <c r="AF24" i="3"/>
  <c r="AF25" i="3"/>
  <c r="AF151" i="3"/>
  <c r="AF150" i="3"/>
  <c r="AF26" i="3"/>
  <c r="AF3" i="3"/>
  <c r="AF143" i="3"/>
  <c r="AF84" i="3"/>
  <c r="AF161" i="3"/>
  <c r="AF163" i="3"/>
  <c r="AF78" i="3"/>
  <c r="AF89" i="3"/>
  <c r="AF91" i="3"/>
  <c r="AF103" i="3"/>
  <c r="AF75" i="3"/>
  <c r="AF76" i="3"/>
  <c r="AF87" i="3"/>
  <c r="AF97" i="3"/>
  <c r="AF99" i="3"/>
  <c r="AF165" i="3"/>
  <c r="AF159" i="3"/>
  <c r="AF93" i="3"/>
  <c r="AF188" i="3"/>
  <c r="AF186" i="3"/>
  <c r="AF190" i="3"/>
  <c r="AF198" i="3"/>
  <c r="AF196" i="3"/>
  <c r="AF200" i="3"/>
  <c r="AF192" i="3"/>
  <c r="AF95" i="3"/>
  <c r="AF184" i="3"/>
  <c r="AF170" i="3"/>
  <c r="AF178" i="3"/>
  <c r="AF180" i="3"/>
  <c r="AF168" i="3"/>
  <c r="AF209" i="3"/>
  <c r="AF213" i="3"/>
  <c r="AF211" i="3"/>
  <c r="AF223" i="3"/>
  <c r="AF217" i="3"/>
  <c r="AF123" i="3"/>
  <c r="AF194" i="3"/>
  <c r="AF125" i="3"/>
  <c r="AF219" i="3"/>
  <c r="AF136" i="3"/>
  <c r="AF114" i="3"/>
  <c r="AF129" i="3"/>
  <c r="AF207" i="3"/>
  <c r="AF221" i="3"/>
  <c r="AF9" i="3"/>
  <c r="AF119" i="3"/>
  <c r="AF172" i="3"/>
  <c r="AF117" i="3"/>
  <c r="AF121" i="3"/>
  <c r="AF74" i="3"/>
  <c r="AF115" i="3"/>
  <c r="AF127" i="3"/>
  <c r="AF133" i="3"/>
  <c r="AF131" i="3"/>
  <c r="AF215" i="3"/>
  <c r="AF10" i="3"/>
  <c r="AF182" i="3"/>
  <c r="AF53" i="3"/>
  <c r="AF51" i="3"/>
  <c r="AF39" i="3"/>
  <c r="AF34" i="3"/>
  <c r="AF41" i="3"/>
  <c r="AF43" i="3"/>
  <c r="AF174" i="3"/>
  <c r="AF45" i="3"/>
  <c r="AF176" i="3"/>
  <c r="AF47" i="3"/>
  <c r="AF49" i="3"/>
  <c r="AF108" i="3"/>
  <c r="AF105" i="3"/>
  <c r="AF112" i="3"/>
  <c r="AF107" i="3"/>
  <c r="AF110" i="3"/>
  <c r="AF203" i="3"/>
  <c r="AF202" i="3"/>
  <c r="AF13" i="3"/>
  <c r="AF14" i="3"/>
  <c r="AF205" i="3"/>
  <c r="AF206" i="3"/>
  <c r="AF204" i="3"/>
  <c r="AF142" i="3"/>
  <c r="AF23" i="3"/>
  <c r="AF147" i="3"/>
  <c r="AF145" i="3"/>
  <c r="AF22" i="3"/>
  <c r="AF146" i="3"/>
  <c r="AF21" i="3"/>
  <c r="AF148" i="3"/>
  <c r="AF149" i="3"/>
  <c r="AF153" i="3"/>
  <c r="AF134" i="3"/>
  <c r="AF29" i="3"/>
  <c r="AF141" i="3"/>
  <c r="AF66" i="3"/>
  <c r="AF15" i="3"/>
  <c r="AF16" i="3"/>
  <c r="AF59" i="3"/>
  <c r="AF62" i="3"/>
  <c r="AF68" i="3"/>
  <c r="AF56" i="3"/>
  <c r="AF17" i="3"/>
  <c r="AF57" i="3"/>
  <c r="AF18" i="3"/>
  <c r="AF63" i="3"/>
  <c r="AF58" i="3"/>
  <c r="AF28" i="3"/>
  <c r="AF104" i="3"/>
  <c r="AF98" i="3"/>
  <c r="AF27" i="3"/>
  <c r="AF90" i="3"/>
  <c r="AF152" i="3"/>
  <c r="AF100" i="3"/>
  <c r="AF92" i="3"/>
  <c r="AF64" i="3"/>
  <c r="AF88" i="3"/>
  <c r="AF96" i="3"/>
  <c r="AF65" i="3"/>
  <c r="AF67" i="3"/>
  <c r="AF69" i="3"/>
  <c r="AF7" i="3"/>
  <c r="AF138" i="3"/>
  <c r="AF32" i="3"/>
  <c r="AF158" i="3"/>
  <c r="AF6" i="3"/>
  <c r="AF201" i="3"/>
  <c r="AF154" i="3"/>
  <c r="AF137" i="3"/>
  <c r="AF155" i="3"/>
  <c r="AF31" i="3"/>
  <c r="AF157" i="3"/>
  <c r="AF156" i="3"/>
  <c r="AF30" i="3"/>
  <c r="AF169" i="3"/>
  <c r="AF173" i="3"/>
  <c r="AF171" i="3"/>
  <c r="AF181" i="3"/>
  <c r="AF183" i="3"/>
  <c r="AF185" i="3"/>
  <c r="AF12" i="3"/>
  <c r="AF139" i="3"/>
  <c r="AF140" i="3"/>
  <c r="AF11" i="3"/>
  <c r="AF73" i="3"/>
  <c r="AF8" i="3"/>
  <c r="AF37" i="3"/>
  <c r="AF71" i="3"/>
  <c r="AF36" i="3"/>
  <c r="AF70" i="3"/>
  <c r="AF177" i="3"/>
  <c r="AF135" i="3"/>
  <c r="AF175" i="3"/>
  <c r="AF5" i="3"/>
  <c r="AF4" i="3"/>
  <c r="AF50" i="3"/>
  <c r="AF85" i="3"/>
  <c r="AF122" i="3"/>
  <c r="AF179" i="3"/>
  <c r="AF197" i="3"/>
  <c r="AF218" i="3"/>
  <c r="AF52" i="3"/>
  <c r="AF106" i="3"/>
  <c r="AF124" i="3"/>
  <c r="AF199" i="3"/>
  <c r="AF220" i="3"/>
  <c r="AF38" i="3"/>
  <c r="AF54" i="3"/>
  <c r="AF77" i="3"/>
  <c r="AF109" i="3"/>
  <c r="AF126" i="3"/>
  <c r="AF187" i="3"/>
  <c r="AF222" i="3"/>
  <c r="AF40" i="3"/>
  <c r="AF55" i="3"/>
  <c r="AF79" i="3"/>
  <c r="AF86" i="3"/>
  <c r="AF101" i="3"/>
  <c r="AF111" i="3"/>
  <c r="AF128" i="3"/>
  <c r="AF189" i="3"/>
  <c r="AF208" i="3"/>
  <c r="AF224" i="3"/>
  <c r="AF42" i="3"/>
  <c r="AF60" i="3"/>
  <c r="AF80" i="3"/>
  <c r="AF102" i="3"/>
  <c r="AF113" i="3"/>
  <c r="AF130" i="3"/>
  <c r="AF160" i="3"/>
  <c r="AF191" i="3"/>
  <c r="AF210" i="3"/>
  <c r="AF44" i="3"/>
  <c r="AF61" i="3"/>
  <c r="AF81" i="3"/>
  <c r="AF116" i="3"/>
  <c r="AF132" i="3"/>
  <c r="AF162" i="3"/>
  <c r="AF193" i="3"/>
  <c r="AF212" i="3"/>
  <c r="AF33" i="3"/>
  <c r="AF46" i="3"/>
  <c r="AF82" i="3"/>
  <c r="AF118" i="3"/>
  <c r="AF164" i="3"/>
  <c r="AF214" i="3"/>
  <c r="AF35" i="3"/>
  <c r="AF48" i="3"/>
  <c r="AF72" i="3"/>
  <c r="AF83" i="3"/>
  <c r="AF94" i="3"/>
  <c r="AF120" i="3"/>
  <c r="AF166" i="3"/>
  <c r="AF195" i="3"/>
  <c r="AF216" i="3"/>
  <c r="A241" i="8"/>
  <c r="A242" i="8"/>
  <c r="A243" i="8"/>
  <c r="B241" i="8"/>
  <c r="B242" i="8"/>
  <c r="B243" i="8"/>
  <c r="D241" i="8"/>
  <c r="D242" i="8"/>
  <c r="D243" i="8"/>
  <c r="E241" i="8"/>
  <c r="E242" i="8"/>
  <c r="E243" i="8"/>
  <c r="E249" i="8" l="1"/>
  <c r="D249" i="8"/>
  <c r="B249" i="8"/>
  <c r="A249" i="8"/>
  <c r="E248" i="8"/>
  <c r="D248" i="8"/>
  <c r="B248" i="8"/>
  <c r="A248" i="8"/>
  <c r="E247" i="8"/>
  <c r="D247" i="8"/>
  <c r="B247" i="8"/>
  <c r="A247" i="8"/>
  <c r="E246" i="8"/>
  <c r="D246" i="8"/>
  <c r="B246" i="8"/>
  <c r="A246" i="8"/>
  <c r="A226" i="8"/>
  <c r="A227" i="8"/>
  <c r="A228" i="8"/>
  <c r="A229" i="8"/>
  <c r="A233" i="8"/>
  <c r="B226" i="8"/>
  <c r="B227" i="8"/>
  <c r="B228" i="8"/>
  <c r="B229" i="8"/>
  <c r="B233" i="8"/>
  <c r="D226" i="8"/>
  <c r="D227" i="8"/>
  <c r="D228" i="8"/>
  <c r="D229" i="8"/>
  <c r="D233" i="8"/>
  <c r="E226" i="8"/>
  <c r="E227" i="8"/>
  <c r="E228" i="8"/>
  <c r="E229" i="8"/>
  <c r="E233" i="8"/>
  <c r="Y144" i="3" l="1"/>
  <c r="Y151" i="3"/>
  <c r="Y24" i="3"/>
  <c r="Y25" i="3"/>
  <c r="Y150" i="3"/>
  <c r="Y26" i="3"/>
  <c r="Y143" i="3"/>
  <c r="Y84" i="3"/>
  <c r="Y161" i="3"/>
  <c r="Y163" i="3"/>
  <c r="Y78" i="3"/>
  <c r="Y89" i="3"/>
  <c r="Y91" i="3"/>
  <c r="Y103" i="3"/>
  <c r="Y75" i="3"/>
  <c r="Y165" i="3"/>
  <c r="Y76" i="3"/>
  <c r="Y87" i="3"/>
  <c r="Y97" i="3"/>
  <c r="Y93" i="3"/>
  <c r="Y159" i="3"/>
  <c r="Y99" i="3"/>
  <c r="Y188" i="3"/>
  <c r="Y196" i="3"/>
  <c r="Y186" i="3"/>
  <c r="Y190" i="3"/>
  <c r="Y198" i="3"/>
  <c r="Y192" i="3"/>
  <c r="Y200" i="3"/>
  <c r="Y95" i="3"/>
  <c r="Y178" i="3"/>
  <c r="Y180" i="3"/>
  <c r="Y168" i="3"/>
  <c r="Y184" i="3"/>
  <c r="Y170" i="3"/>
  <c r="Y209" i="3"/>
  <c r="Y213" i="3"/>
  <c r="Y211" i="3"/>
  <c r="Y223" i="3"/>
  <c r="Y207" i="3"/>
  <c r="Y221" i="3"/>
  <c r="Y9" i="3"/>
  <c r="Y119" i="3"/>
  <c r="Y172" i="3"/>
  <c r="Y10" i="3"/>
  <c r="Y121" i="3"/>
  <c r="Y182" i="3"/>
  <c r="Y215" i="3"/>
  <c r="Y125" i="3"/>
  <c r="Y217" i="3"/>
  <c r="Y115" i="3"/>
  <c r="Y131" i="3"/>
  <c r="Y136" i="3"/>
  <c r="Y129" i="3"/>
  <c r="Y219" i="3"/>
  <c r="Y133" i="3"/>
  <c r="Y194" i="3"/>
  <c r="Y114" i="3"/>
  <c r="Y127" i="3"/>
  <c r="Y74" i="3"/>
  <c r="Y117" i="3"/>
  <c r="Y123" i="3"/>
  <c r="Y47" i="3"/>
  <c r="Y49" i="3"/>
  <c r="Y51" i="3"/>
  <c r="Y53" i="3"/>
  <c r="Y176" i="3"/>
  <c r="Y39" i="3"/>
  <c r="Y34" i="3"/>
  <c r="Y41" i="3"/>
  <c r="Y43" i="3"/>
  <c r="Y174" i="3"/>
  <c r="Y45" i="3"/>
  <c r="Y105" i="3"/>
  <c r="Y107" i="3"/>
  <c r="Y110" i="3"/>
  <c r="Y108" i="3"/>
  <c r="Y112" i="3"/>
  <c r="Y203" i="3"/>
  <c r="Y202" i="3"/>
  <c r="Y13" i="3"/>
  <c r="Y14" i="3"/>
  <c r="Y205" i="3"/>
  <c r="Y206" i="3"/>
  <c r="Y204" i="3"/>
  <c r="Y142" i="3"/>
  <c r="Y23" i="3"/>
  <c r="Y147" i="3"/>
  <c r="Y145" i="3"/>
  <c r="Y22" i="3"/>
  <c r="Y146" i="3"/>
  <c r="Y21" i="3"/>
  <c r="Y148" i="3"/>
  <c r="Y149" i="3"/>
  <c r="Y153" i="3"/>
  <c r="Y29" i="3"/>
  <c r="Y134" i="3"/>
  <c r="Y141" i="3"/>
  <c r="Y66" i="3"/>
  <c r="Y16" i="3"/>
  <c r="Y15" i="3"/>
  <c r="Y62" i="3"/>
  <c r="Y56" i="3"/>
  <c r="Y17" i="3"/>
  <c r="Y57" i="3"/>
  <c r="Y18" i="3"/>
  <c r="Y63" i="3"/>
  <c r="Y58" i="3"/>
  <c r="Y68" i="3"/>
  <c r="Y59" i="3"/>
  <c r="Y28" i="3"/>
  <c r="Y100" i="3"/>
  <c r="Y69" i="3"/>
  <c r="Y88" i="3"/>
  <c r="Y104" i="3"/>
  <c r="Y27" i="3"/>
  <c r="Y152" i="3"/>
  <c r="Y90" i="3"/>
  <c r="Y98" i="3"/>
  <c r="Y96" i="3"/>
  <c r="Y67" i="3"/>
  <c r="Y92" i="3"/>
  <c r="Y64" i="3"/>
  <c r="Y65" i="3"/>
  <c r="Y154" i="3"/>
  <c r="Y137" i="3"/>
  <c r="Y31" i="3"/>
  <c r="Y155" i="3"/>
  <c r="Y201" i="3"/>
  <c r="Y6" i="3"/>
  <c r="Y158" i="3"/>
  <c r="Y7" i="3"/>
  <c r="Y32" i="3"/>
  <c r="Y138" i="3"/>
  <c r="Y30" i="3"/>
  <c r="Y156" i="3"/>
  <c r="Y171" i="3"/>
  <c r="Y181" i="3"/>
  <c r="Y183" i="3"/>
  <c r="Y185" i="3"/>
  <c r="Y157" i="3"/>
  <c r="Y169" i="3"/>
  <c r="Y173" i="3"/>
  <c r="Y11" i="3"/>
  <c r="Y73" i="3"/>
  <c r="Y139" i="3"/>
  <c r="Y12" i="3"/>
  <c r="Y140" i="3"/>
  <c r="Y8" i="3"/>
  <c r="Y135" i="3"/>
  <c r="Y175" i="3"/>
  <c r="Y71" i="3"/>
  <c r="Y36" i="3"/>
  <c r="Y70" i="3"/>
  <c r="Y177" i="3"/>
  <c r="Y37" i="3"/>
  <c r="Y5" i="3"/>
  <c r="Y4" i="3"/>
  <c r="Y40" i="3"/>
  <c r="Y55" i="3"/>
  <c r="Y79" i="3"/>
  <c r="Y86" i="3"/>
  <c r="Y101" i="3"/>
  <c r="Y111" i="3"/>
  <c r="Y128" i="3"/>
  <c r="Y187" i="3"/>
  <c r="Y222" i="3"/>
  <c r="Y179" i="3"/>
  <c r="Y77" i="3"/>
  <c r="Y42" i="3"/>
  <c r="Y60" i="3"/>
  <c r="Y80" i="3"/>
  <c r="Y102" i="3"/>
  <c r="Y113" i="3"/>
  <c r="Y130" i="3"/>
  <c r="Y189" i="3"/>
  <c r="Y208" i="3"/>
  <c r="Y224" i="3"/>
  <c r="Y44" i="3"/>
  <c r="Y61" i="3"/>
  <c r="Y81" i="3"/>
  <c r="Y116" i="3"/>
  <c r="Y132" i="3"/>
  <c r="Y160" i="3"/>
  <c r="Y191" i="3"/>
  <c r="Y210" i="3"/>
  <c r="Y52" i="3"/>
  <c r="Y54" i="3"/>
  <c r="Y109" i="3"/>
  <c r="Y199" i="3"/>
  <c r="Y33" i="3"/>
  <c r="Y46" i="3"/>
  <c r="Y82" i="3"/>
  <c r="Y118" i="3"/>
  <c r="Y162" i="3"/>
  <c r="Y193" i="3"/>
  <c r="Y212" i="3"/>
  <c r="Y35" i="3"/>
  <c r="Y48" i="3"/>
  <c r="Y72" i="3"/>
  <c r="Y83" i="3"/>
  <c r="Y94" i="3"/>
  <c r="Y120" i="3"/>
  <c r="Y164" i="3"/>
  <c r="Y214" i="3"/>
  <c r="Y124" i="3"/>
  <c r="Y218" i="3"/>
  <c r="Y38" i="3"/>
  <c r="Y3" i="3"/>
  <c r="Y50" i="3"/>
  <c r="Y85" i="3"/>
  <c r="Y122" i="3"/>
  <c r="Y166" i="3"/>
  <c r="Y195" i="3"/>
  <c r="Y216" i="3"/>
  <c r="Y106" i="3"/>
  <c r="Y197" i="3"/>
  <c r="Y126" i="3"/>
  <c r="Y220" i="3"/>
  <c r="E240" i="8"/>
  <c r="D240" i="8"/>
  <c r="B240" i="8"/>
  <c r="A240" i="8"/>
  <c r="E239" i="8"/>
  <c r="D239" i="8"/>
  <c r="B239" i="8"/>
  <c r="A239" i="8"/>
  <c r="E238" i="8"/>
  <c r="D238" i="8"/>
  <c r="B238" i="8"/>
  <c r="A238" i="8"/>
  <c r="E237" i="8"/>
  <c r="D237" i="8"/>
  <c r="B237" i="8"/>
  <c r="A237" i="8"/>
  <c r="E236" i="8"/>
  <c r="D236" i="8"/>
  <c r="B236" i="8"/>
  <c r="A236" i="8"/>
  <c r="E225" i="8"/>
  <c r="D225" i="8"/>
  <c r="B225" i="8"/>
  <c r="A225" i="8"/>
  <c r="E224" i="8"/>
  <c r="D224" i="8"/>
  <c r="B224" i="8"/>
  <c r="A224" i="8"/>
  <c r="E223" i="8"/>
  <c r="D223" i="8"/>
  <c r="B223" i="8"/>
  <c r="A223" i="8"/>
  <c r="E222" i="8"/>
  <c r="D222" i="8"/>
  <c r="B222" i="8"/>
  <c r="A222" i="8"/>
  <c r="E221" i="8"/>
  <c r="D221" i="8"/>
  <c r="B221" i="8"/>
  <c r="W144" i="3" l="1"/>
  <c r="W25" i="3"/>
  <c r="W26" i="3"/>
  <c r="W24" i="3"/>
  <c r="W150" i="3"/>
  <c r="W151" i="3"/>
  <c r="X144" i="3"/>
  <c r="X151" i="3"/>
  <c r="X24" i="3"/>
  <c r="X25" i="3"/>
  <c r="X150" i="3"/>
  <c r="X26" i="3"/>
  <c r="X143" i="3"/>
  <c r="X84" i="3"/>
  <c r="X78" i="3"/>
  <c r="X161" i="3"/>
  <c r="X163" i="3"/>
  <c r="W78" i="3"/>
  <c r="W163" i="3"/>
  <c r="W143" i="3"/>
  <c r="W161" i="3"/>
  <c r="W84" i="3"/>
  <c r="W165" i="3"/>
  <c r="W91" i="3"/>
  <c r="W76" i="3"/>
  <c r="W190" i="3"/>
  <c r="W198" i="3"/>
  <c r="W200" i="3"/>
  <c r="W95" i="3"/>
  <c r="W196" i="3"/>
  <c r="W186" i="3"/>
  <c r="W97" i="3"/>
  <c r="W103" i="3"/>
  <c r="W87" i="3"/>
  <c r="W93" i="3"/>
  <c r="W89" i="3"/>
  <c r="W159" i="3"/>
  <c r="W192" i="3"/>
  <c r="W75" i="3"/>
  <c r="W188" i="3"/>
  <c r="W99" i="3"/>
  <c r="X89" i="3"/>
  <c r="X93" i="3"/>
  <c r="X91" i="3"/>
  <c r="X103" i="3"/>
  <c r="X75" i="3"/>
  <c r="X76" i="3"/>
  <c r="X87" i="3"/>
  <c r="X97" i="3"/>
  <c r="X99" i="3"/>
  <c r="X165" i="3"/>
  <c r="X159" i="3"/>
  <c r="X188" i="3"/>
  <c r="X186" i="3"/>
  <c r="X190" i="3"/>
  <c r="X198" i="3"/>
  <c r="X200" i="3"/>
  <c r="X192" i="3"/>
  <c r="X95" i="3"/>
  <c r="X196" i="3"/>
  <c r="X184" i="3"/>
  <c r="X170" i="3"/>
  <c r="X178" i="3"/>
  <c r="X180" i="3"/>
  <c r="X168" i="3"/>
  <c r="X209" i="3"/>
  <c r="X213" i="3"/>
  <c r="X211" i="3"/>
  <c r="X223" i="3"/>
  <c r="X217" i="3"/>
  <c r="X123" i="3"/>
  <c r="X194" i="3"/>
  <c r="X125" i="3"/>
  <c r="X219" i="3"/>
  <c r="X136" i="3"/>
  <c r="X114" i="3"/>
  <c r="X129" i="3"/>
  <c r="X207" i="3"/>
  <c r="X221" i="3"/>
  <c r="X9" i="3"/>
  <c r="X119" i="3"/>
  <c r="X172" i="3"/>
  <c r="X117" i="3"/>
  <c r="X115" i="3"/>
  <c r="X121" i="3"/>
  <c r="X127" i="3"/>
  <c r="X131" i="3"/>
  <c r="X133" i="3"/>
  <c r="X215" i="3"/>
  <c r="X10" i="3"/>
  <c r="X182" i="3"/>
  <c r="X74" i="3"/>
  <c r="W168" i="3"/>
  <c r="W209" i="3"/>
  <c r="W207" i="3"/>
  <c r="W129" i="3"/>
  <c r="W119" i="3"/>
  <c r="W172" i="3"/>
  <c r="W221" i="3"/>
  <c r="W121" i="3"/>
  <c r="W10" i="3"/>
  <c r="W74" i="3"/>
  <c r="W125" i="3"/>
  <c r="W184" i="3"/>
  <c r="W213" i="3"/>
  <c r="W127" i="3"/>
  <c r="W215" i="3"/>
  <c r="W123" i="3"/>
  <c r="W133" i="3"/>
  <c r="W178" i="3"/>
  <c r="W194" i="3"/>
  <c r="W115" i="3"/>
  <c r="W131" i="3"/>
  <c r="W136" i="3"/>
  <c r="W170" i="3"/>
  <c r="W211" i="3"/>
  <c r="W117" i="3"/>
  <c r="W9" i="3"/>
  <c r="W180" i="3"/>
  <c r="W223" i="3"/>
  <c r="W114" i="3"/>
  <c r="W217" i="3"/>
  <c r="W182" i="3"/>
  <c r="W219" i="3"/>
  <c r="W39" i="3"/>
  <c r="W43" i="3"/>
  <c r="W174" i="3"/>
  <c r="W49" i="3"/>
  <c r="W41" i="3"/>
  <c r="W176" i="3"/>
  <c r="W45" i="3"/>
  <c r="W51" i="3"/>
  <c r="W53" i="3"/>
  <c r="W47" i="3"/>
  <c r="W34" i="3"/>
  <c r="X53" i="3"/>
  <c r="X39" i="3"/>
  <c r="X34" i="3"/>
  <c r="X41" i="3"/>
  <c r="X43" i="3"/>
  <c r="X174" i="3"/>
  <c r="X45" i="3"/>
  <c r="X176" i="3"/>
  <c r="X51" i="3"/>
  <c r="X47" i="3"/>
  <c r="X49" i="3"/>
  <c r="W107" i="3"/>
  <c r="W108" i="3"/>
  <c r="W110" i="3"/>
  <c r="W112" i="3"/>
  <c r="W105" i="3"/>
  <c r="X108" i="3"/>
  <c r="X105" i="3"/>
  <c r="X110" i="3"/>
  <c r="X112" i="3"/>
  <c r="X107" i="3"/>
  <c r="W203" i="3"/>
  <c r="W202" i="3"/>
  <c r="W13" i="3"/>
  <c r="W14" i="3"/>
  <c r="W205" i="3"/>
  <c r="W206" i="3"/>
  <c r="W204" i="3"/>
  <c r="W142" i="3"/>
  <c r="W23" i="3"/>
  <c r="W147" i="3"/>
  <c r="X203" i="3"/>
  <c r="X202" i="3"/>
  <c r="X13" i="3"/>
  <c r="X14" i="3"/>
  <c r="X205" i="3"/>
  <c r="X206" i="3"/>
  <c r="X204" i="3"/>
  <c r="X142" i="3"/>
  <c r="X23" i="3"/>
  <c r="X147" i="3"/>
  <c r="X145" i="3"/>
  <c r="X22" i="3"/>
  <c r="X146" i="3"/>
  <c r="X148" i="3"/>
  <c r="X21" i="3"/>
  <c r="X149" i="3"/>
  <c r="X153" i="3"/>
  <c r="X29" i="3"/>
  <c r="X134" i="3"/>
  <c r="X66" i="3"/>
  <c r="X141" i="3"/>
  <c r="W15" i="3"/>
  <c r="W153" i="3"/>
  <c r="W134" i="3"/>
  <c r="W141" i="3"/>
  <c r="W16" i="3"/>
  <c r="W29" i="3"/>
  <c r="W148" i="3"/>
  <c r="W22" i="3"/>
  <c r="W146" i="3"/>
  <c r="W66" i="3"/>
  <c r="W145" i="3"/>
  <c r="W21" i="3"/>
  <c r="W149" i="3"/>
  <c r="X16" i="3"/>
  <c r="X15" i="3"/>
  <c r="X56" i="3"/>
  <c r="X17" i="3"/>
  <c r="X57" i="3"/>
  <c r="X18" i="3"/>
  <c r="X68" i="3"/>
  <c r="X58" i="3"/>
  <c r="X63" i="3"/>
  <c r="X62" i="3"/>
  <c r="X59" i="3"/>
  <c r="W62" i="3"/>
  <c r="W56" i="3"/>
  <c r="W17" i="3"/>
  <c r="W63" i="3"/>
  <c r="W57" i="3"/>
  <c r="W18" i="3"/>
  <c r="W58" i="3"/>
  <c r="W68" i="3"/>
  <c r="W59" i="3"/>
  <c r="W28" i="3"/>
  <c r="W96" i="3"/>
  <c r="W65" i="3"/>
  <c r="W104" i="3"/>
  <c r="W88" i="3"/>
  <c r="W67" i="3"/>
  <c r="W100" i="3"/>
  <c r="W69" i="3"/>
  <c r="W92" i="3"/>
  <c r="W27" i="3"/>
  <c r="W98" i="3"/>
  <c r="W64" i="3"/>
  <c r="W152" i="3"/>
  <c r="W90" i="3"/>
  <c r="X28" i="3"/>
  <c r="X88" i="3"/>
  <c r="X67" i="3"/>
  <c r="X100" i="3"/>
  <c r="X69" i="3"/>
  <c r="X27" i="3"/>
  <c r="X65" i="3"/>
  <c r="X104" i="3"/>
  <c r="X152" i="3"/>
  <c r="X92" i="3"/>
  <c r="X90" i="3"/>
  <c r="X98" i="3"/>
  <c r="X64" i="3"/>
  <c r="X96" i="3"/>
  <c r="X154" i="3"/>
  <c r="X32" i="3"/>
  <c r="X201" i="3"/>
  <c r="X158" i="3"/>
  <c r="X155" i="3"/>
  <c r="X7" i="3"/>
  <c r="X31" i="3"/>
  <c r="X6" i="3"/>
  <c r="X137" i="3"/>
  <c r="X138" i="3"/>
  <c r="X171" i="3"/>
  <c r="X156" i="3"/>
  <c r="X181" i="3"/>
  <c r="X183" i="3"/>
  <c r="X157" i="3"/>
  <c r="X30" i="3"/>
  <c r="X169" i="3"/>
  <c r="X185" i="3"/>
  <c r="X173" i="3"/>
  <c r="X73" i="3"/>
  <c r="X140" i="3"/>
  <c r="X139" i="3"/>
  <c r="X12" i="3"/>
  <c r="X11" i="3"/>
  <c r="X8" i="3"/>
  <c r="X37" i="3"/>
  <c r="X71" i="3"/>
  <c r="X70" i="3"/>
  <c r="X175" i="3"/>
  <c r="X36" i="3"/>
  <c r="X177" i="3"/>
  <c r="X135" i="3"/>
  <c r="W155" i="3"/>
  <c r="W31" i="3"/>
  <c r="W154" i="3"/>
  <c r="W6" i="3"/>
  <c r="W137" i="3"/>
  <c r="W201" i="3"/>
  <c r="W7" i="3"/>
  <c r="W32" i="3"/>
  <c r="W138" i="3"/>
  <c r="W158" i="3"/>
  <c r="W181" i="3"/>
  <c r="W183" i="3"/>
  <c r="W30" i="3"/>
  <c r="W171" i="3"/>
  <c r="W169" i="3"/>
  <c r="W157" i="3"/>
  <c r="W173" i="3"/>
  <c r="W156" i="3"/>
  <c r="W185" i="3"/>
  <c r="W139" i="3"/>
  <c r="W12" i="3"/>
  <c r="W140" i="3"/>
  <c r="W11" i="3"/>
  <c r="W73" i="3"/>
  <c r="W8" i="3"/>
  <c r="W135" i="3"/>
  <c r="W71" i="3"/>
  <c r="W70" i="3"/>
  <c r="W36" i="3"/>
  <c r="W177" i="3"/>
  <c r="W37" i="3"/>
  <c r="W175" i="3"/>
  <c r="W5" i="3"/>
  <c r="W4" i="3"/>
  <c r="W3" i="3"/>
  <c r="W33" i="3"/>
  <c r="W35" i="3"/>
  <c r="W38" i="3"/>
  <c r="W40" i="3"/>
  <c r="W42" i="3"/>
  <c r="W44" i="3"/>
  <c r="W46" i="3"/>
  <c r="W48" i="3"/>
  <c r="W50" i="3"/>
  <c r="W52" i="3"/>
  <c r="W54" i="3"/>
  <c r="W55" i="3"/>
  <c r="W60" i="3"/>
  <c r="W61" i="3"/>
  <c r="W72" i="3"/>
  <c r="W77" i="3"/>
  <c r="W79" i="3"/>
  <c r="W80" i="3"/>
  <c r="W81" i="3"/>
  <c r="W82" i="3"/>
  <c r="W83" i="3"/>
  <c r="W85" i="3"/>
  <c r="W86" i="3"/>
  <c r="W94" i="3"/>
  <c r="W101" i="3"/>
  <c r="W102" i="3"/>
  <c r="W106" i="3"/>
  <c r="W109" i="3"/>
  <c r="W111" i="3"/>
  <c r="W113" i="3"/>
  <c r="W116" i="3"/>
  <c r="W118" i="3"/>
  <c r="W120" i="3"/>
  <c r="W122" i="3"/>
  <c r="W124" i="3"/>
  <c r="W126" i="3"/>
  <c r="W128" i="3"/>
  <c r="W130" i="3"/>
  <c r="W132" i="3"/>
  <c r="W160" i="3"/>
  <c r="W162" i="3"/>
  <c r="W164" i="3"/>
  <c r="W166" i="3"/>
  <c r="W179" i="3"/>
  <c r="W187" i="3"/>
  <c r="W189" i="3"/>
  <c r="W191" i="3"/>
  <c r="W193" i="3"/>
  <c r="W195" i="3"/>
  <c r="W197" i="3"/>
  <c r="W199" i="3"/>
  <c r="W208" i="3"/>
  <c r="W210" i="3"/>
  <c r="W212" i="3"/>
  <c r="W214" i="3"/>
  <c r="W216" i="3"/>
  <c r="W218" i="3"/>
  <c r="W220" i="3"/>
  <c r="W222" i="3"/>
  <c r="W224" i="3"/>
  <c r="X5" i="3"/>
  <c r="X4" i="3"/>
  <c r="X3" i="3"/>
  <c r="X33" i="3"/>
  <c r="X35" i="3"/>
  <c r="X38" i="3"/>
  <c r="X40" i="3"/>
  <c r="X42" i="3"/>
  <c r="X44" i="3"/>
  <c r="X46" i="3"/>
  <c r="X48" i="3"/>
  <c r="X50" i="3"/>
  <c r="X52" i="3"/>
  <c r="X54" i="3"/>
  <c r="X55" i="3"/>
  <c r="X60" i="3"/>
  <c r="X61" i="3"/>
  <c r="X72" i="3"/>
  <c r="X77" i="3"/>
  <c r="X79" i="3"/>
  <c r="X80" i="3"/>
  <c r="X81" i="3"/>
  <c r="X82" i="3"/>
  <c r="X83" i="3"/>
  <c r="X85" i="3"/>
  <c r="X86" i="3"/>
  <c r="X94" i="3"/>
  <c r="X101" i="3"/>
  <c r="X102" i="3"/>
  <c r="X106" i="3"/>
  <c r="X109" i="3"/>
  <c r="X111" i="3"/>
  <c r="X113" i="3"/>
  <c r="X116" i="3"/>
  <c r="X118" i="3"/>
  <c r="X120" i="3"/>
  <c r="X122" i="3"/>
  <c r="X124" i="3"/>
  <c r="X126" i="3"/>
  <c r="X128" i="3"/>
  <c r="X130" i="3"/>
  <c r="X132" i="3"/>
  <c r="X160" i="3"/>
  <c r="X162" i="3"/>
  <c r="X164" i="3"/>
  <c r="X166" i="3"/>
  <c r="X179" i="3"/>
  <c r="X187" i="3"/>
  <c r="X189" i="3"/>
  <c r="X191" i="3"/>
  <c r="X193" i="3"/>
  <c r="X195" i="3"/>
  <c r="X197" i="3"/>
  <c r="X199" i="3"/>
  <c r="X208" i="3"/>
  <c r="X210" i="3"/>
  <c r="X212" i="3"/>
  <c r="X214" i="3"/>
  <c r="X216" i="3"/>
  <c r="X218" i="3"/>
  <c r="X220" i="3"/>
  <c r="X222" i="3"/>
  <c r="X224" i="3"/>
  <c r="E206" i="8"/>
  <c r="D206" i="8"/>
  <c r="B206" i="8"/>
  <c r="A206" i="8"/>
  <c r="E205" i="8"/>
  <c r="D205" i="8"/>
  <c r="B205" i="8"/>
  <c r="A205" i="8"/>
  <c r="E204" i="8"/>
  <c r="D204" i="8"/>
  <c r="B204" i="8"/>
  <c r="A204" i="8"/>
  <c r="E203" i="8"/>
  <c r="D203" i="8"/>
  <c r="B203" i="8"/>
  <c r="A203" i="8"/>
  <c r="E202" i="8"/>
  <c r="D202" i="8"/>
  <c r="B202" i="8"/>
  <c r="A202" i="8"/>
  <c r="A190" i="8"/>
  <c r="A191" i="8"/>
  <c r="A192" i="8"/>
  <c r="B190" i="8"/>
  <c r="B191" i="8"/>
  <c r="B192" i="8"/>
  <c r="D190" i="8"/>
  <c r="D191" i="8"/>
  <c r="D192" i="8"/>
  <c r="E190" i="8"/>
  <c r="E191" i="8"/>
  <c r="E192" i="8"/>
  <c r="V144" i="3" l="1"/>
  <c r="V24" i="3"/>
  <c r="V25" i="3"/>
  <c r="V150" i="3"/>
  <c r="V26" i="3"/>
  <c r="V151" i="3"/>
  <c r="V163" i="3"/>
  <c r="V78" i="3"/>
  <c r="V143" i="3"/>
  <c r="V84" i="3"/>
  <c r="V161" i="3"/>
  <c r="V93" i="3"/>
  <c r="V159" i="3"/>
  <c r="V99" i="3"/>
  <c r="V165" i="3"/>
  <c r="V89" i="3"/>
  <c r="V76" i="3"/>
  <c r="V91" i="3"/>
  <c r="V103" i="3"/>
  <c r="V75" i="3"/>
  <c r="V87" i="3"/>
  <c r="V97" i="3"/>
  <c r="V188" i="3"/>
  <c r="V186" i="3"/>
  <c r="V190" i="3"/>
  <c r="V198" i="3"/>
  <c r="V192" i="3"/>
  <c r="V200" i="3"/>
  <c r="V196" i="3"/>
  <c r="V95" i="3"/>
  <c r="V184" i="3"/>
  <c r="V170" i="3"/>
  <c r="V178" i="3"/>
  <c r="V180" i="3"/>
  <c r="V168" i="3"/>
  <c r="V209" i="3"/>
  <c r="V213" i="3"/>
  <c r="V211" i="3"/>
  <c r="V223" i="3"/>
  <c r="V217" i="3"/>
  <c r="V115" i="3"/>
  <c r="V131" i="3"/>
  <c r="V117" i="3"/>
  <c r="V133" i="3"/>
  <c r="V219" i="3"/>
  <c r="V10" i="3"/>
  <c r="V121" i="3"/>
  <c r="V182" i="3"/>
  <c r="V207" i="3"/>
  <c r="V221" i="3"/>
  <c r="V74" i="3"/>
  <c r="V127" i="3"/>
  <c r="V125" i="3"/>
  <c r="V136" i="3"/>
  <c r="V129" i="3"/>
  <c r="V123" i="3"/>
  <c r="V9" i="3"/>
  <c r="V172" i="3"/>
  <c r="V215" i="3"/>
  <c r="V194" i="3"/>
  <c r="V114" i="3"/>
  <c r="V119" i="3"/>
  <c r="V49" i="3"/>
  <c r="V51" i="3"/>
  <c r="V53" i="3"/>
  <c r="V39" i="3"/>
  <c r="V47" i="3"/>
  <c r="V34" i="3"/>
  <c r="V41" i="3"/>
  <c r="V43" i="3"/>
  <c r="V174" i="3"/>
  <c r="V45" i="3"/>
  <c r="V176" i="3"/>
  <c r="V112" i="3"/>
  <c r="V107" i="3"/>
  <c r="V105" i="3"/>
  <c r="V110" i="3"/>
  <c r="V108" i="3"/>
  <c r="V203" i="3"/>
  <c r="V202" i="3"/>
  <c r="V13" i="3"/>
  <c r="V14" i="3"/>
  <c r="V205" i="3"/>
  <c r="V206" i="3"/>
  <c r="V204" i="3"/>
  <c r="V142" i="3"/>
  <c r="V23" i="3"/>
  <c r="V147" i="3"/>
  <c r="V146" i="3"/>
  <c r="V22" i="3"/>
  <c r="V145" i="3"/>
  <c r="V148" i="3"/>
  <c r="V149" i="3"/>
  <c r="V21" i="3"/>
  <c r="V153" i="3"/>
  <c r="V29" i="3"/>
  <c r="V134" i="3"/>
  <c r="V141" i="3"/>
  <c r="V66" i="3"/>
  <c r="V15" i="3"/>
  <c r="V16" i="3"/>
  <c r="V57" i="3"/>
  <c r="V18" i="3"/>
  <c r="V62" i="3"/>
  <c r="V59" i="3"/>
  <c r="V68" i="3"/>
  <c r="V63" i="3"/>
  <c r="V58" i="3"/>
  <c r="V56" i="3"/>
  <c r="V17" i="3"/>
  <c r="V28" i="3"/>
  <c r="V96" i="3"/>
  <c r="V65" i="3"/>
  <c r="V88" i="3"/>
  <c r="V67" i="3"/>
  <c r="V90" i="3"/>
  <c r="V100" i="3"/>
  <c r="V69" i="3"/>
  <c r="V104" i="3"/>
  <c r="V27" i="3"/>
  <c r="V98" i="3"/>
  <c r="V152" i="3"/>
  <c r="V92" i="3"/>
  <c r="V64" i="3"/>
  <c r="V155" i="3"/>
  <c r="V32" i="3"/>
  <c r="V158" i="3"/>
  <c r="V6" i="3"/>
  <c r="V137" i="3"/>
  <c r="V31" i="3"/>
  <c r="V201" i="3"/>
  <c r="V7" i="3"/>
  <c r="V138" i="3"/>
  <c r="V154" i="3"/>
  <c r="V183" i="3"/>
  <c r="V169" i="3"/>
  <c r="V30" i="3"/>
  <c r="V173" i="3"/>
  <c r="V156" i="3"/>
  <c r="V185" i="3"/>
  <c r="V157" i="3"/>
  <c r="V171" i="3"/>
  <c r="V181" i="3"/>
  <c r="V11" i="3"/>
  <c r="V73" i="3"/>
  <c r="V139" i="3"/>
  <c r="V12" i="3"/>
  <c r="V140" i="3"/>
  <c r="V8" i="3"/>
  <c r="V135" i="3"/>
  <c r="V37" i="3"/>
  <c r="V71" i="3"/>
  <c r="V70" i="3"/>
  <c r="V175" i="3"/>
  <c r="V36" i="3"/>
  <c r="V177" i="3"/>
  <c r="V5" i="3"/>
  <c r="V4" i="3"/>
  <c r="V3" i="3"/>
  <c r="V33" i="3"/>
  <c r="V35" i="3"/>
  <c r="V38" i="3"/>
  <c r="V40" i="3"/>
  <c r="V42" i="3"/>
  <c r="V44" i="3"/>
  <c r="V46" i="3"/>
  <c r="V48" i="3"/>
  <c r="V50" i="3"/>
  <c r="V52" i="3"/>
  <c r="V54" i="3"/>
  <c r="V55" i="3"/>
  <c r="V60" i="3"/>
  <c r="V61" i="3"/>
  <c r="V72" i="3"/>
  <c r="V77" i="3"/>
  <c r="V79" i="3"/>
  <c r="V80" i="3"/>
  <c r="V81" i="3"/>
  <c r="V82" i="3"/>
  <c r="V83" i="3"/>
  <c r="V85" i="3"/>
  <c r="V86" i="3"/>
  <c r="V94" i="3"/>
  <c r="V101" i="3"/>
  <c r="V102" i="3"/>
  <c r="V106" i="3"/>
  <c r="V109" i="3"/>
  <c r="V111" i="3"/>
  <c r="V113" i="3"/>
  <c r="V116" i="3"/>
  <c r="V118" i="3"/>
  <c r="V120" i="3"/>
  <c r="V122" i="3"/>
  <c r="V124" i="3"/>
  <c r="V126" i="3"/>
  <c r="V128" i="3"/>
  <c r="V130" i="3"/>
  <c r="V132" i="3"/>
  <c r="V160" i="3"/>
  <c r="V162" i="3"/>
  <c r="V164" i="3"/>
  <c r="V166" i="3"/>
  <c r="V179" i="3"/>
  <c r="V187" i="3"/>
  <c r="V189" i="3"/>
  <c r="V191" i="3"/>
  <c r="V193" i="3"/>
  <c r="V195" i="3"/>
  <c r="V197" i="3"/>
  <c r="V199" i="3"/>
  <c r="V208" i="3"/>
  <c r="V210" i="3"/>
  <c r="V212" i="3"/>
  <c r="V214" i="3"/>
  <c r="V216" i="3"/>
  <c r="V218" i="3"/>
  <c r="V220" i="3"/>
  <c r="V222" i="3"/>
  <c r="V224" i="3"/>
  <c r="E198" i="8"/>
  <c r="D198" i="8"/>
  <c r="B198" i="8"/>
  <c r="A198" i="8"/>
  <c r="E197" i="8"/>
  <c r="D197" i="8"/>
  <c r="B197" i="8"/>
  <c r="A197" i="8"/>
  <c r="E196" i="8"/>
  <c r="D196" i="8"/>
  <c r="B196" i="8"/>
  <c r="A196" i="8"/>
  <c r="E195" i="8"/>
  <c r="D195" i="8"/>
  <c r="B195" i="8"/>
  <c r="A195" i="8"/>
  <c r="A182" i="8"/>
  <c r="B182" i="8"/>
  <c r="D182" i="8"/>
  <c r="E182" i="8"/>
  <c r="U144" i="3" l="1"/>
  <c r="U24" i="3"/>
  <c r="U151" i="3"/>
  <c r="U25" i="3"/>
  <c r="U150" i="3"/>
  <c r="U26" i="3"/>
  <c r="U161" i="3"/>
  <c r="U163" i="3"/>
  <c r="U78" i="3"/>
  <c r="U84" i="3"/>
  <c r="U143" i="3"/>
  <c r="U87" i="3"/>
  <c r="U97" i="3"/>
  <c r="U93" i="3"/>
  <c r="U159" i="3"/>
  <c r="U75" i="3"/>
  <c r="U99" i="3"/>
  <c r="U165" i="3"/>
  <c r="U89" i="3"/>
  <c r="U91" i="3"/>
  <c r="U103" i="3"/>
  <c r="U76" i="3"/>
  <c r="U188" i="3"/>
  <c r="U196" i="3"/>
  <c r="U186" i="3"/>
  <c r="U190" i="3"/>
  <c r="U198" i="3"/>
  <c r="U200" i="3"/>
  <c r="U192" i="3"/>
  <c r="U95" i="3"/>
  <c r="U178" i="3"/>
  <c r="U180" i="3"/>
  <c r="U168" i="3"/>
  <c r="U184" i="3"/>
  <c r="U170" i="3"/>
  <c r="U209" i="3"/>
  <c r="U213" i="3"/>
  <c r="U211" i="3"/>
  <c r="U223" i="3"/>
  <c r="U207" i="3"/>
  <c r="U221" i="3"/>
  <c r="U9" i="3"/>
  <c r="U119" i="3"/>
  <c r="U172" i="3"/>
  <c r="U10" i="3"/>
  <c r="U121" i="3"/>
  <c r="U182" i="3"/>
  <c r="U215" i="3"/>
  <c r="U125" i="3"/>
  <c r="U217" i="3"/>
  <c r="U115" i="3"/>
  <c r="U131" i="3"/>
  <c r="U114" i="3"/>
  <c r="U117" i="3"/>
  <c r="U123" i="3"/>
  <c r="U74" i="3"/>
  <c r="U127" i="3"/>
  <c r="U136" i="3"/>
  <c r="U129" i="3"/>
  <c r="U219" i="3"/>
  <c r="U133" i="3"/>
  <c r="U194" i="3"/>
  <c r="U39" i="3"/>
  <c r="U34" i="3"/>
  <c r="U41" i="3"/>
  <c r="U53" i="3"/>
  <c r="U43" i="3"/>
  <c r="U174" i="3"/>
  <c r="U45" i="3"/>
  <c r="U176" i="3"/>
  <c r="U47" i="3"/>
  <c r="U49" i="3"/>
  <c r="U51" i="3"/>
  <c r="U107" i="3"/>
  <c r="U108" i="3"/>
  <c r="U110" i="3"/>
  <c r="U112" i="3"/>
  <c r="U105" i="3"/>
  <c r="U203" i="3"/>
  <c r="U202" i="3"/>
  <c r="U13" i="3"/>
  <c r="U14" i="3"/>
  <c r="U205" i="3"/>
  <c r="U206" i="3"/>
  <c r="U204" i="3"/>
  <c r="U142" i="3"/>
  <c r="U23" i="3"/>
  <c r="U147" i="3"/>
  <c r="U22" i="3"/>
  <c r="U145" i="3"/>
  <c r="U146" i="3"/>
  <c r="U149" i="3"/>
  <c r="U21" i="3"/>
  <c r="U148" i="3"/>
  <c r="U153" i="3"/>
  <c r="U29" i="3"/>
  <c r="U134" i="3"/>
  <c r="U141" i="3"/>
  <c r="U66" i="3"/>
  <c r="U15" i="3"/>
  <c r="U16" i="3"/>
  <c r="U68" i="3"/>
  <c r="U56" i="3"/>
  <c r="U63" i="3"/>
  <c r="U58" i="3"/>
  <c r="U17" i="3"/>
  <c r="U59" i="3"/>
  <c r="U62" i="3"/>
  <c r="U57" i="3"/>
  <c r="U18" i="3"/>
  <c r="U28" i="3"/>
  <c r="U100" i="3"/>
  <c r="U64" i="3"/>
  <c r="U152" i="3"/>
  <c r="U65" i="3"/>
  <c r="U98" i="3"/>
  <c r="U90" i="3"/>
  <c r="U67" i="3"/>
  <c r="U92" i="3"/>
  <c r="U104" i="3"/>
  <c r="U69" i="3"/>
  <c r="U88" i="3"/>
  <c r="U96" i="3"/>
  <c r="U27" i="3"/>
  <c r="U6" i="3"/>
  <c r="U137" i="3"/>
  <c r="U158" i="3"/>
  <c r="U31" i="3"/>
  <c r="U154" i="3"/>
  <c r="U155" i="3"/>
  <c r="U7" i="3"/>
  <c r="U138" i="3"/>
  <c r="U201" i="3"/>
  <c r="U32" i="3"/>
  <c r="U169" i="3"/>
  <c r="U183" i="3"/>
  <c r="U173" i="3"/>
  <c r="U156" i="3"/>
  <c r="U185" i="3"/>
  <c r="U157" i="3"/>
  <c r="U181" i="3"/>
  <c r="U30" i="3"/>
  <c r="U171" i="3"/>
  <c r="U140" i="3"/>
  <c r="U73" i="3"/>
  <c r="U11" i="3"/>
  <c r="U139" i="3"/>
  <c r="U12" i="3"/>
  <c r="U8" i="3"/>
  <c r="U135" i="3"/>
  <c r="U71" i="3"/>
  <c r="U36" i="3"/>
  <c r="U70" i="3"/>
  <c r="U177" i="3"/>
  <c r="U37" i="3"/>
  <c r="U175" i="3"/>
  <c r="U5" i="3"/>
  <c r="U4" i="3"/>
  <c r="U3" i="3"/>
  <c r="U33" i="3"/>
  <c r="U35" i="3"/>
  <c r="U38" i="3"/>
  <c r="U40" i="3"/>
  <c r="U42" i="3"/>
  <c r="U44" i="3"/>
  <c r="U46" i="3"/>
  <c r="U48" i="3"/>
  <c r="U50" i="3"/>
  <c r="U52" i="3"/>
  <c r="U54" i="3"/>
  <c r="U55" i="3"/>
  <c r="U60" i="3"/>
  <c r="U61" i="3"/>
  <c r="U72" i="3"/>
  <c r="U77" i="3"/>
  <c r="U79" i="3"/>
  <c r="U80" i="3"/>
  <c r="U81" i="3"/>
  <c r="U82" i="3"/>
  <c r="U83" i="3"/>
  <c r="U85" i="3"/>
  <c r="U86" i="3"/>
  <c r="U94" i="3"/>
  <c r="U101" i="3"/>
  <c r="U102" i="3"/>
  <c r="U106" i="3"/>
  <c r="U109" i="3"/>
  <c r="U111" i="3"/>
  <c r="U113" i="3"/>
  <c r="U116" i="3"/>
  <c r="U118" i="3"/>
  <c r="U120" i="3"/>
  <c r="U122" i="3"/>
  <c r="U124" i="3"/>
  <c r="U126" i="3"/>
  <c r="U128" i="3"/>
  <c r="U130" i="3"/>
  <c r="U132" i="3"/>
  <c r="U160" i="3"/>
  <c r="U162" i="3"/>
  <c r="U164" i="3"/>
  <c r="U166" i="3"/>
  <c r="U179" i="3"/>
  <c r="U187" i="3"/>
  <c r="U189" i="3"/>
  <c r="U191" i="3"/>
  <c r="U193" i="3"/>
  <c r="U195" i="3"/>
  <c r="U197" i="3"/>
  <c r="U199" i="3"/>
  <c r="U208" i="3"/>
  <c r="U210" i="3"/>
  <c r="U212" i="3"/>
  <c r="U214" i="3"/>
  <c r="U216" i="3"/>
  <c r="U218" i="3"/>
  <c r="U220" i="3"/>
  <c r="U222" i="3"/>
  <c r="U224" i="3"/>
  <c r="A181" i="8"/>
  <c r="B181" i="8"/>
  <c r="D181" i="8"/>
  <c r="E181" i="8"/>
  <c r="A175" i="8"/>
  <c r="A176" i="8"/>
  <c r="A177" i="8"/>
  <c r="A178" i="8"/>
  <c r="A179" i="8"/>
  <c r="A180" i="8"/>
  <c r="B175" i="8"/>
  <c r="B176" i="8"/>
  <c r="B177" i="8"/>
  <c r="B178" i="8"/>
  <c r="B179" i="8"/>
  <c r="B180" i="8"/>
  <c r="D175" i="8"/>
  <c r="D176" i="8"/>
  <c r="D177" i="8"/>
  <c r="D178" i="8"/>
  <c r="D179" i="8"/>
  <c r="D180" i="8"/>
  <c r="E175" i="8"/>
  <c r="E176" i="8"/>
  <c r="E177" i="8"/>
  <c r="E178" i="8"/>
  <c r="E179" i="8"/>
  <c r="E180" i="8"/>
  <c r="E189" i="8" l="1"/>
  <c r="D189" i="8"/>
  <c r="B189" i="8"/>
  <c r="A189" i="8"/>
  <c r="E188" i="8"/>
  <c r="D188" i="8"/>
  <c r="B188" i="8"/>
  <c r="A188" i="8"/>
  <c r="E187" i="8"/>
  <c r="D187" i="8"/>
  <c r="B187" i="8"/>
  <c r="A187" i="8"/>
  <c r="E186" i="8"/>
  <c r="D186" i="8"/>
  <c r="B186" i="8"/>
  <c r="A186" i="8"/>
  <c r="E185" i="8"/>
  <c r="D185" i="8"/>
  <c r="B185" i="8"/>
  <c r="A185" i="8"/>
  <c r="A158" i="8"/>
  <c r="A159" i="8"/>
  <c r="A160" i="8"/>
  <c r="A161" i="8"/>
  <c r="A162" i="8"/>
  <c r="B158" i="8"/>
  <c r="B159" i="8"/>
  <c r="B160" i="8"/>
  <c r="B161" i="8"/>
  <c r="B162" i="8"/>
  <c r="D158" i="8"/>
  <c r="D159" i="8"/>
  <c r="D160" i="8"/>
  <c r="D161" i="8"/>
  <c r="D162" i="8"/>
  <c r="E158" i="8"/>
  <c r="E159" i="8"/>
  <c r="E160" i="8"/>
  <c r="E161" i="8"/>
  <c r="E162" i="8"/>
  <c r="T144" i="3" l="1"/>
  <c r="T24" i="3"/>
  <c r="T25" i="3"/>
  <c r="T150" i="3"/>
  <c r="T26" i="3"/>
  <c r="T151" i="3"/>
  <c r="T84" i="3"/>
  <c r="T161" i="3"/>
  <c r="T163" i="3"/>
  <c r="T78" i="3"/>
  <c r="T143" i="3"/>
  <c r="T76" i="3"/>
  <c r="T87" i="3"/>
  <c r="T97" i="3"/>
  <c r="T91" i="3"/>
  <c r="T93" i="3"/>
  <c r="T159" i="3"/>
  <c r="T99" i="3"/>
  <c r="T165" i="3"/>
  <c r="T103" i="3"/>
  <c r="T89" i="3"/>
  <c r="T75" i="3"/>
  <c r="T188" i="3"/>
  <c r="T186" i="3"/>
  <c r="T190" i="3"/>
  <c r="T198" i="3"/>
  <c r="T192" i="3"/>
  <c r="T196" i="3"/>
  <c r="T200" i="3"/>
  <c r="T95" i="3"/>
  <c r="T184" i="3"/>
  <c r="T170" i="3"/>
  <c r="T178" i="3"/>
  <c r="T180" i="3"/>
  <c r="T168" i="3"/>
  <c r="T209" i="3"/>
  <c r="T213" i="3"/>
  <c r="T211" i="3"/>
  <c r="T223" i="3"/>
  <c r="T217" i="3"/>
  <c r="T123" i="3"/>
  <c r="T194" i="3"/>
  <c r="T125" i="3"/>
  <c r="T219" i="3"/>
  <c r="T136" i="3"/>
  <c r="T114" i="3"/>
  <c r="T129" i="3"/>
  <c r="T207" i="3"/>
  <c r="T221" i="3"/>
  <c r="T9" i="3"/>
  <c r="T119" i="3"/>
  <c r="T172" i="3"/>
  <c r="T133" i="3"/>
  <c r="T215" i="3"/>
  <c r="T10" i="3"/>
  <c r="T182" i="3"/>
  <c r="T74" i="3"/>
  <c r="T115" i="3"/>
  <c r="T117" i="3"/>
  <c r="T121" i="3"/>
  <c r="T131" i="3"/>
  <c r="T127" i="3"/>
  <c r="T45" i="3"/>
  <c r="T176" i="3"/>
  <c r="T174" i="3"/>
  <c r="T47" i="3"/>
  <c r="T49" i="3"/>
  <c r="T43" i="3"/>
  <c r="T51" i="3"/>
  <c r="T53" i="3"/>
  <c r="T39" i="3"/>
  <c r="T34" i="3"/>
  <c r="T41" i="3"/>
  <c r="T112" i="3"/>
  <c r="T105" i="3"/>
  <c r="T107" i="3"/>
  <c r="T110" i="3"/>
  <c r="T108" i="3"/>
  <c r="T203" i="3"/>
  <c r="T202" i="3"/>
  <c r="T13" i="3"/>
  <c r="T14" i="3"/>
  <c r="T205" i="3"/>
  <c r="T206" i="3"/>
  <c r="T204" i="3"/>
  <c r="T142" i="3"/>
  <c r="T23" i="3"/>
  <c r="T147" i="3"/>
  <c r="T146" i="3"/>
  <c r="T145" i="3"/>
  <c r="T22" i="3"/>
  <c r="T21" i="3"/>
  <c r="T148" i="3"/>
  <c r="T149" i="3"/>
  <c r="T153" i="3"/>
  <c r="T134" i="3"/>
  <c r="T29" i="3"/>
  <c r="T66" i="3"/>
  <c r="T141" i="3"/>
  <c r="T15" i="3"/>
  <c r="T16" i="3"/>
  <c r="T68" i="3"/>
  <c r="T56" i="3"/>
  <c r="T63" i="3"/>
  <c r="T58" i="3"/>
  <c r="T57" i="3"/>
  <c r="T59" i="3"/>
  <c r="T17" i="3"/>
  <c r="T62" i="3"/>
  <c r="T18" i="3"/>
  <c r="T28" i="3"/>
  <c r="T100" i="3"/>
  <c r="T64" i="3"/>
  <c r="T27" i="3"/>
  <c r="T88" i="3"/>
  <c r="T65" i="3"/>
  <c r="T152" i="3"/>
  <c r="T90" i="3"/>
  <c r="T67" i="3"/>
  <c r="T69" i="3"/>
  <c r="T96" i="3"/>
  <c r="T98" i="3"/>
  <c r="T92" i="3"/>
  <c r="T104" i="3"/>
  <c r="T6" i="3"/>
  <c r="T137" i="3"/>
  <c r="T32" i="3"/>
  <c r="T158" i="3"/>
  <c r="T31" i="3"/>
  <c r="T7" i="3"/>
  <c r="T138" i="3"/>
  <c r="T155" i="3"/>
  <c r="T201" i="3"/>
  <c r="T154" i="3"/>
  <c r="T173" i="3"/>
  <c r="T183" i="3"/>
  <c r="T156" i="3"/>
  <c r="T185" i="3"/>
  <c r="T157" i="3"/>
  <c r="T30" i="3"/>
  <c r="T181" i="3"/>
  <c r="T169" i="3"/>
  <c r="T171" i="3"/>
  <c r="T11" i="3"/>
  <c r="T139" i="3"/>
  <c r="T12" i="3"/>
  <c r="T140" i="3"/>
  <c r="T73" i="3"/>
  <c r="T8" i="3"/>
  <c r="T135" i="3"/>
  <c r="T37" i="3"/>
  <c r="T175" i="3"/>
  <c r="T71" i="3"/>
  <c r="T70" i="3"/>
  <c r="T36" i="3"/>
  <c r="T177" i="3"/>
  <c r="T5" i="3"/>
  <c r="T4" i="3"/>
  <c r="T3" i="3"/>
  <c r="T33" i="3"/>
  <c r="T35" i="3"/>
  <c r="T38" i="3"/>
  <c r="T40" i="3"/>
  <c r="T42" i="3"/>
  <c r="T44" i="3"/>
  <c r="T46" i="3"/>
  <c r="T48" i="3"/>
  <c r="T50" i="3"/>
  <c r="T52" i="3"/>
  <c r="T54" i="3"/>
  <c r="T55" i="3"/>
  <c r="T60" i="3"/>
  <c r="T61" i="3"/>
  <c r="T72" i="3"/>
  <c r="T77" i="3"/>
  <c r="T79" i="3"/>
  <c r="T80" i="3"/>
  <c r="T81" i="3"/>
  <c r="T82" i="3"/>
  <c r="T83" i="3"/>
  <c r="T85" i="3"/>
  <c r="T86" i="3"/>
  <c r="T94" i="3"/>
  <c r="T101" i="3"/>
  <c r="T102" i="3"/>
  <c r="T106" i="3"/>
  <c r="T109" i="3"/>
  <c r="T111" i="3"/>
  <c r="T113" i="3"/>
  <c r="T116" i="3"/>
  <c r="T118" i="3"/>
  <c r="T120" i="3"/>
  <c r="T122" i="3"/>
  <c r="T124" i="3"/>
  <c r="T126" i="3"/>
  <c r="T128" i="3"/>
  <c r="T130" i="3"/>
  <c r="T132" i="3"/>
  <c r="T160" i="3"/>
  <c r="T162" i="3"/>
  <c r="T164" i="3"/>
  <c r="T166" i="3"/>
  <c r="T179" i="3"/>
  <c r="T187" i="3"/>
  <c r="T189" i="3"/>
  <c r="T191" i="3"/>
  <c r="T193" i="3"/>
  <c r="T195" i="3"/>
  <c r="T197" i="3"/>
  <c r="T199" i="3"/>
  <c r="T208" i="3"/>
  <c r="T210" i="3"/>
  <c r="T212" i="3"/>
  <c r="T214" i="3"/>
  <c r="T216" i="3"/>
  <c r="T218" i="3"/>
  <c r="T220" i="3"/>
  <c r="T222" i="3"/>
  <c r="T224" i="3"/>
  <c r="A157" i="8"/>
  <c r="B157" i="8"/>
  <c r="D157" i="8"/>
  <c r="E157" i="8"/>
  <c r="A150" i="8"/>
  <c r="A151" i="8"/>
  <c r="A152" i="8"/>
  <c r="A153" i="8"/>
  <c r="A154" i="8"/>
  <c r="A155" i="8"/>
  <c r="A156" i="8"/>
  <c r="B150" i="8"/>
  <c r="B151" i="8"/>
  <c r="B152" i="8"/>
  <c r="B153" i="8"/>
  <c r="B154" i="8"/>
  <c r="B155" i="8"/>
  <c r="B156" i="8"/>
  <c r="D150" i="8"/>
  <c r="D151" i="8"/>
  <c r="D152" i="8"/>
  <c r="D153" i="8"/>
  <c r="D154" i="8"/>
  <c r="D155" i="8"/>
  <c r="D156" i="8"/>
  <c r="E150" i="8"/>
  <c r="E151" i="8"/>
  <c r="E152" i="8"/>
  <c r="E153" i="8"/>
  <c r="E154" i="8"/>
  <c r="E155" i="8"/>
  <c r="E156" i="8"/>
  <c r="E174" i="8" l="1"/>
  <c r="D174" i="8"/>
  <c r="B174" i="8"/>
  <c r="A174" i="8"/>
  <c r="E173" i="8"/>
  <c r="D173" i="8"/>
  <c r="B173" i="8"/>
  <c r="A173" i="8"/>
  <c r="E172" i="8"/>
  <c r="D172" i="8"/>
  <c r="B172" i="8"/>
  <c r="A172" i="8"/>
  <c r="E171" i="8"/>
  <c r="D171" i="8"/>
  <c r="B171" i="8"/>
  <c r="A171" i="8"/>
  <c r="E170" i="8"/>
  <c r="D170" i="8"/>
  <c r="B170" i="8"/>
  <c r="A170" i="8"/>
  <c r="E149" i="8"/>
  <c r="D149" i="8"/>
  <c r="B149" i="8"/>
  <c r="A149" i="8"/>
  <c r="E148" i="8"/>
  <c r="D148" i="8"/>
  <c r="B148" i="8"/>
  <c r="A148" i="8"/>
  <c r="E147" i="8"/>
  <c r="D147" i="8"/>
  <c r="B147" i="8"/>
  <c r="A147" i="8"/>
  <c r="E146" i="8"/>
  <c r="D146" i="8"/>
  <c r="B146" i="8"/>
  <c r="A146" i="8"/>
  <c r="E145" i="8"/>
  <c r="D145" i="8"/>
  <c r="B145" i="8"/>
  <c r="A145" i="8"/>
  <c r="R144" i="3" l="1"/>
  <c r="R24" i="3"/>
  <c r="R25" i="3"/>
  <c r="R150" i="3"/>
  <c r="R26" i="3"/>
  <c r="R151" i="3"/>
  <c r="S144" i="3"/>
  <c r="S24" i="3"/>
  <c r="S25" i="3"/>
  <c r="S150" i="3"/>
  <c r="S26" i="3"/>
  <c r="S151" i="3"/>
  <c r="R143" i="3"/>
  <c r="R84" i="3"/>
  <c r="R161" i="3"/>
  <c r="R163" i="3"/>
  <c r="R78" i="3"/>
  <c r="S84" i="3"/>
  <c r="S161" i="3"/>
  <c r="S163" i="3"/>
  <c r="S78" i="3"/>
  <c r="S143" i="3"/>
  <c r="R75" i="3"/>
  <c r="R76" i="3"/>
  <c r="R87" i="3"/>
  <c r="R97" i="3"/>
  <c r="R89" i="3"/>
  <c r="R93" i="3"/>
  <c r="R159" i="3"/>
  <c r="R99" i="3"/>
  <c r="R165" i="3"/>
  <c r="R91" i="3"/>
  <c r="R103" i="3"/>
  <c r="S76" i="3"/>
  <c r="S91" i="3"/>
  <c r="S87" i="3"/>
  <c r="S97" i="3"/>
  <c r="S93" i="3"/>
  <c r="S159" i="3"/>
  <c r="S99" i="3"/>
  <c r="S165" i="3"/>
  <c r="S89" i="3"/>
  <c r="S103" i="3"/>
  <c r="S75" i="3"/>
  <c r="S188" i="3"/>
  <c r="S192" i="3"/>
  <c r="S196" i="3"/>
  <c r="S186" i="3"/>
  <c r="S200" i="3"/>
  <c r="S190" i="3"/>
  <c r="S198" i="3"/>
  <c r="S95" i="3"/>
  <c r="R188" i="3"/>
  <c r="R196" i="3"/>
  <c r="R186" i="3"/>
  <c r="R190" i="3"/>
  <c r="R198" i="3"/>
  <c r="R200" i="3"/>
  <c r="R95" i="3"/>
  <c r="R192" i="3"/>
  <c r="S178" i="3"/>
  <c r="S180" i="3"/>
  <c r="S168" i="3"/>
  <c r="S184" i="3"/>
  <c r="S170" i="3"/>
  <c r="S115" i="3"/>
  <c r="S131" i="3"/>
  <c r="S209" i="3"/>
  <c r="S117" i="3"/>
  <c r="S133" i="3"/>
  <c r="S213" i="3"/>
  <c r="S10" i="3"/>
  <c r="S121" i="3"/>
  <c r="S182" i="3"/>
  <c r="S211" i="3"/>
  <c r="S223" i="3"/>
  <c r="S74" i="3"/>
  <c r="S127" i="3"/>
  <c r="S207" i="3"/>
  <c r="S221" i="3"/>
  <c r="S114" i="3"/>
  <c r="S215" i="3"/>
  <c r="S123" i="3"/>
  <c r="S217" i="3"/>
  <c r="S9" i="3"/>
  <c r="S172" i="3"/>
  <c r="S136" i="3"/>
  <c r="S119" i="3"/>
  <c r="S125" i="3"/>
  <c r="S129" i="3"/>
  <c r="S194" i="3"/>
  <c r="S219" i="3"/>
  <c r="R178" i="3"/>
  <c r="R180" i="3"/>
  <c r="R168" i="3"/>
  <c r="R170" i="3"/>
  <c r="R184" i="3"/>
  <c r="R136" i="3"/>
  <c r="R114" i="3"/>
  <c r="R129" i="3"/>
  <c r="R115" i="3"/>
  <c r="R209" i="3"/>
  <c r="R117" i="3"/>
  <c r="R133" i="3"/>
  <c r="R221" i="3"/>
  <c r="R9" i="3"/>
  <c r="R119" i="3"/>
  <c r="R172" i="3"/>
  <c r="R125" i="3"/>
  <c r="R213" i="3"/>
  <c r="R10" i="3"/>
  <c r="R121" i="3"/>
  <c r="R182" i="3"/>
  <c r="R217" i="3"/>
  <c r="R215" i="3"/>
  <c r="R219" i="3"/>
  <c r="R123" i="3"/>
  <c r="R194" i="3"/>
  <c r="R207" i="3"/>
  <c r="R211" i="3"/>
  <c r="R223" i="3"/>
  <c r="R74" i="3"/>
  <c r="R127" i="3"/>
  <c r="R131" i="3"/>
  <c r="S51" i="3"/>
  <c r="S53" i="3"/>
  <c r="S39" i="3"/>
  <c r="S34" i="3"/>
  <c r="S41" i="3"/>
  <c r="S43" i="3"/>
  <c r="S174" i="3"/>
  <c r="S45" i="3"/>
  <c r="S176" i="3"/>
  <c r="S47" i="3"/>
  <c r="S49" i="3"/>
  <c r="R34" i="3"/>
  <c r="R41" i="3"/>
  <c r="R43" i="3"/>
  <c r="R174" i="3"/>
  <c r="R45" i="3"/>
  <c r="R176" i="3"/>
  <c r="R47" i="3"/>
  <c r="R49" i="3"/>
  <c r="R51" i="3"/>
  <c r="R53" i="3"/>
  <c r="R39" i="3"/>
  <c r="R105" i="3"/>
  <c r="R107" i="3"/>
  <c r="R108" i="3"/>
  <c r="R110" i="3"/>
  <c r="R112" i="3"/>
  <c r="S110" i="3"/>
  <c r="S107" i="3"/>
  <c r="S105" i="3"/>
  <c r="S108" i="3"/>
  <c r="S112" i="3"/>
  <c r="R203" i="3"/>
  <c r="R202" i="3"/>
  <c r="R13" i="3"/>
  <c r="R14" i="3"/>
  <c r="R205" i="3"/>
  <c r="R206" i="3"/>
  <c r="R204" i="3"/>
  <c r="R142" i="3"/>
  <c r="R23" i="3"/>
  <c r="R147" i="3"/>
  <c r="S203" i="3"/>
  <c r="S202" i="3"/>
  <c r="S13" i="3"/>
  <c r="S14" i="3"/>
  <c r="S205" i="3"/>
  <c r="S206" i="3"/>
  <c r="S204" i="3"/>
  <c r="S142" i="3"/>
  <c r="S23" i="3"/>
  <c r="S147" i="3"/>
  <c r="R146" i="3"/>
  <c r="R145" i="3"/>
  <c r="R22" i="3"/>
  <c r="R21" i="3"/>
  <c r="R148" i="3"/>
  <c r="R149" i="3"/>
  <c r="R153" i="3"/>
  <c r="R29" i="3"/>
  <c r="R134" i="3"/>
  <c r="R141" i="3"/>
  <c r="R66" i="3"/>
  <c r="R15" i="3"/>
  <c r="R16" i="3"/>
  <c r="S146" i="3"/>
  <c r="S145" i="3"/>
  <c r="S22" i="3"/>
  <c r="S149" i="3"/>
  <c r="S21" i="3"/>
  <c r="S148" i="3"/>
  <c r="S153" i="3"/>
  <c r="S29" i="3"/>
  <c r="S134" i="3"/>
  <c r="S141" i="3"/>
  <c r="S66" i="3"/>
  <c r="S16" i="3"/>
  <c r="S15" i="3"/>
  <c r="R58" i="3"/>
  <c r="R59" i="3"/>
  <c r="R68" i="3"/>
  <c r="R62" i="3"/>
  <c r="R56" i="3"/>
  <c r="R17" i="3"/>
  <c r="R57" i="3"/>
  <c r="R18" i="3"/>
  <c r="R63" i="3"/>
  <c r="S63" i="3"/>
  <c r="S58" i="3"/>
  <c r="S18" i="3"/>
  <c r="S59" i="3"/>
  <c r="S57" i="3"/>
  <c r="S62" i="3"/>
  <c r="S56" i="3"/>
  <c r="S17" i="3"/>
  <c r="S68" i="3"/>
  <c r="S28" i="3"/>
  <c r="R65" i="3"/>
  <c r="R67" i="3"/>
  <c r="R64" i="3"/>
  <c r="R98" i="3"/>
  <c r="R152" i="3"/>
  <c r="R28" i="3"/>
  <c r="R92" i="3"/>
  <c r="R90" i="3"/>
  <c r="R96" i="3"/>
  <c r="R100" i="3"/>
  <c r="R88" i="3"/>
  <c r="R104" i="3"/>
  <c r="R27" i="3"/>
  <c r="R69" i="3"/>
  <c r="R3" i="3"/>
  <c r="S152" i="3"/>
  <c r="S100" i="3"/>
  <c r="S64" i="3"/>
  <c r="S65" i="3"/>
  <c r="S69" i="3"/>
  <c r="S98" i="3"/>
  <c r="S90" i="3"/>
  <c r="S67" i="3"/>
  <c r="S92" i="3"/>
  <c r="S104" i="3"/>
  <c r="S88" i="3"/>
  <c r="S96" i="3"/>
  <c r="S27" i="3"/>
  <c r="S7" i="3"/>
  <c r="S138" i="3"/>
  <c r="S155" i="3"/>
  <c r="S6" i="3"/>
  <c r="S31" i="3"/>
  <c r="S154" i="3"/>
  <c r="S201" i="3"/>
  <c r="S158" i="3"/>
  <c r="S137" i="3"/>
  <c r="S32" i="3"/>
  <c r="S156" i="3"/>
  <c r="S185" i="3"/>
  <c r="S183" i="3"/>
  <c r="S157" i="3"/>
  <c r="S30" i="3"/>
  <c r="S169" i="3"/>
  <c r="S173" i="3"/>
  <c r="S171" i="3"/>
  <c r="S181" i="3"/>
  <c r="S12" i="3"/>
  <c r="S140" i="3"/>
  <c r="S11" i="3"/>
  <c r="S73" i="3"/>
  <c r="S139" i="3"/>
  <c r="S8" i="3"/>
  <c r="S135" i="3"/>
  <c r="S71" i="3"/>
  <c r="S70" i="3"/>
  <c r="S36" i="3"/>
  <c r="S177" i="3"/>
  <c r="S37" i="3"/>
  <c r="S175" i="3"/>
  <c r="R6" i="3"/>
  <c r="R31" i="3"/>
  <c r="R7" i="3"/>
  <c r="R201" i="3"/>
  <c r="R32" i="3"/>
  <c r="R155" i="3"/>
  <c r="R158" i="3"/>
  <c r="R137" i="3"/>
  <c r="R138" i="3"/>
  <c r="R154" i="3"/>
  <c r="R156" i="3"/>
  <c r="R185" i="3"/>
  <c r="R157" i="3"/>
  <c r="R30" i="3"/>
  <c r="R181" i="3"/>
  <c r="R171" i="3"/>
  <c r="R173" i="3"/>
  <c r="R183" i="3"/>
  <c r="R169" i="3"/>
  <c r="R11" i="3"/>
  <c r="R139" i="3"/>
  <c r="R140" i="3"/>
  <c r="R73" i="3"/>
  <c r="R12" i="3"/>
  <c r="R8" i="3"/>
  <c r="R177" i="3"/>
  <c r="R135" i="3"/>
  <c r="R37" i="3"/>
  <c r="R175" i="3"/>
  <c r="R71" i="3"/>
  <c r="R36" i="3"/>
  <c r="R70" i="3"/>
  <c r="R94" i="3"/>
  <c r="R101" i="3"/>
  <c r="R102" i="3"/>
  <c r="R5" i="3"/>
  <c r="R4" i="3"/>
  <c r="R38" i="3"/>
  <c r="R54" i="3"/>
  <c r="R77" i="3"/>
  <c r="R109" i="3"/>
  <c r="R126" i="3"/>
  <c r="R199" i="3"/>
  <c r="R220" i="3"/>
  <c r="R40" i="3"/>
  <c r="R55" i="3"/>
  <c r="R79" i="3"/>
  <c r="R86" i="3"/>
  <c r="R111" i="3"/>
  <c r="R128" i="3"/>
  <c r="R187" i="3"/>
  <c r="R222" i="3"/>
  <c r="R42" i="3"/>
  <c r="R60" i="3"/>
  <c r="R80" i="3"/>
  <c r="R113" i="3"/>
  <c r="R130" i="3"/>
  <c r="R189" i="3"/>
  <c r="R208" i="3"/>
  <c r="R224" i="3"/>
  <c r="R44" i="3"/>
  <c r="R61" i="3"/>
  <c r="R81" i="3"/>
  <c r="R116" i="3"/>
  <c r="R132" i="3"/>
  <c r="R160" i="3"/>
  <c r="R191" i="3"/>
  <c r="R210" i="3"/>
  <c r="R33" i="3"/>
  <c r="R46" i="3"/>
  <c r="R82" i="3"/>
  <c r="R118" i="3"/>
  <c r="R162" i="3"/>
  <c r="R193" i="3"/>
  <c r="R212" i="3"/>
  <c r="R35" i="3"/>
  <c r="R48" i="3"/>
  <c r="R72" i="3"/>
  <c r="R83" i="3"/>
  <c r="R120" i="3"/>
  <c r="R164" i="3"/>
  <c r="R214" i="3"/>
  <c r="R50" i="3"/>
  <c r="R85" i="3"/>
  <c r="R122" i="3"/>
  <c r="R166" i="3"/>
  <c r="R195" i="3"/>
  <c r="R216" i="3"/>
  <c r="R52" i="3"/>
  <c r="R106" i="3"/>
  <c r="R124" i="3"/>
  <c r="R179" i="3"/>
  <c r="R197" i="3"/>
  <c r="R218" i="3"/>
  <c r="S94" i="3"/>
  <c r="S101" i="3"/>
  <c r="S102" i="3"/>
  <c r="S5" i="3"/>
  <c r="S4" i="3"/>
  <c r="S40" i="3"/>
  <c r="S55" i="3"/>
  <c r="S79" i="3"/>
  <c r="S86" i="3"/>
  <c r="S111" i="3"/>
  <c r="S128" i="3"/>
  <c r="S187" i="3"/>
  <c r="S222" i="3"/>
  <c r="S42" i="3"/>
  <c r="S60" i="3"/>
  <c r="S80" i="3"/>
  <c r="S113" i="3"/>
  <c r="S130" i="3"/>
  <c r="S189" i="3"/>
  <c r="S208" i="3"/>
  <c r="S224" i="3"/>
  <c r="S193" i="3"/>
  <c r="S44" i="3"/>
  <c r="S61" i="3"/>
  <c r="S81" i="3"/>
  <c r="S116" i="3"/>
  <c r="S132" i="3"/>
  <c r="S160" i="3"/>
  <c r="S191" i="3"/>
  <c r="S210" i="3"/>
  <c r="S109" i="3"/>
  <c r="S33" i="3"/>
  <c r="S46" i="3"/>
  <c r="S82" i="3"/>
  <c r="S118" i="3"/>
  <c r="S162" i="3"/>
  <c r="S212" i="3"/>
  <c r="S35" i="3"/>
  <c r="S48" i="3"/>
  <c r="S72" i="3"/>
  <c r="S83" i="3"/>
  <c r="S120" i="3"/>
  <c r="S164" i="3"/>
  <c r="S214" i="3"/>
  <c r="S3" i="3"/>
  <c r="S50" i="3"/>
  <c r="S85" i="3"/>
  <c r="S122" i="3"/>
  <c r="S166" i="3"/>
  <c r="S195" i="3"/>
  <c r="S216" i="3"/>
  <c r="S38" i="3"/>
  <c r="S77" i="3"/>
  <c r="S220" i="3"/>
  <c r="S52" i="3"/>
  <c r="S106" i="3"/>
  <c r="S124" i="3"/>
  <c r="S179" i="3"/>
  <c r="S197" i="3"/>
  <c r="S218" i="3"/>
  <c r="S54" i="3"/>
  <c r="S126" i="3"/>
  <c r="S199" i="3"/>
  <c r="L31" i="5"/>
  <c r="B8" i="5" s="1"/>
  <c r="L6" i="5"/>
  <c r="A11" i="5" s="1"/>
  <c r="E11" i="5" s="1"/>
  <c r="A43" i="5" l="1"/>
  <c r="J43" i="5" s="1"/>
  <c r="A66" i="5"/>
  <c r="A65" i="5"/>
  <c r="K11" i="5"/>
  <c r="H11" i="5"/>
  <c r="I11" i="5"/>
  <c r="J11" i="5"/>
  <c r="G6" i="5"/>
  <c r="G5" i="5"/>
  <c r="I43" i="5" l="1"/>
  <c r="K43" i="5"/>
  <c r="H43" i="5"/>
  <c r="D65" i="5"/>
  <c r="B65" i="5"/>
  <c r="G65" i="5"/>
  <c r="H65" i="5"/>
  <c r="K65" i="5"/>
  <c r="I65" i="5"/>
  <c r="C65" i="5"/>
  <c r="F65" i="5"/>
  <c r="J65" i="5"/>
  <c r="K66" i="5"/>
  <c r="C66" i="5"/>
  <c r="D66" i="5"/>
  <c r="F66" i="5"/>
  <c r="I66" i="5"/>
  <c r="J66" i="5"/>
  <c r="G66" i="5"/>
  <c r="B66" i="5"/>
  <c r="H66" i="5"/>
  <c r="A62" i="5"/>
  <c r="A36" i="5"/>
  <c r="A37" i="5"/>
  <c r="A39" i="5"/>
  <c r="A34" i="5"/>
  <c r="A38" i="5"/>
  <c r="A33" i="5"/>
  <c r="A35" i="5"/>
  <c r="A47" i="5"/>
  <c r="A63" i="5"/>
  <c r="A48" i="5"/>
  <c r="A56" i="5"/>
  <c r="A64" i="5"/>
  <c r="A55" i="5"/>
  <c r="A49" i="5"/>
  <c r="A57" i="5"/>
  <c r="A50" i="5"/>
  <c r="A58" i="5"/>
  <c r="A51" i="5"/>
  <c r="A59" i="5"/>
  <c r="A44" i="5"/>
  <c r="A52" i="5"/>
  <c r="A60" i="5"/>
  <c r="A45" i="5"/>
  <c r="A53" i="5"/>
  <c r="A61" i="5"/>
  <c r="A46" i="5"/>
  <c r="A54" i="5"/>
  <c r="J49" i="5" l="1"/>
  <c r="I49" i="5"/>
  <c r="H49" i="5"/>
  <c r="K49" i="5"/>
  <c r="D38" i="5"/>
  <c r="K38" i="5"/>
  <c r="J38" i="5"/>
  <c r="H38" i="5"/>
  <c r="I38" i="5"/>
  <c r="J51" i="5"/>
  <c r="I51" i="5"/>
  <c r="H51" i="5"/>
  <c r="K51" i="5"/>
  <c r="J53" i="5"/>
  <c r="I53" i="5"/>
  <c r="H53" i="5"/>
  <c r="K53" i="5"/>
  <c r="K58" i="5"/>
  <c r="J58" i="5"/>
  <c r="H58" i="5"/>
  <c r="I58" i="5"/>
  <c r="K48" i="5"/>
  <c r="J48" i="5"/>
  <c r="H48" i="5"/>
  <c r="I48" i="5"/>
  <c r="J37" i="5"/>
  <c r="I37" i="5"/>
  <c r="H37" i="5"/>
  <c r="K37" i="5"/>
  <c r="J33" i="5"/>
  <c r="I33" i="5"/>
  <c r="H33" i="5"/>
  <c r="K33" i="5"/>
  <c r="J55" i="5"/>
  <c r="I55" i="5"/>
  <c r="H55" i="5"/>
  <c r="K55" i="5"/>
  <c r="K34" i="5"/>
  <c r="J34" i="5"/>
  <c r="H34" i="5"/>
  <c r="I34" i="5"/>
  <c r="K56" i="5"/>
  <c r="J56" i="5"/>
  <c r="H56" i="5"/>
  <c r="I56" i="5"/>
  <c r="J45" i="5"/>
  <c r="I45" i="5"/>
  <c r="H45" i="5"/>
  <c r="K45" i="5"/>
  <c r="K50" i="5"/>
  <c r="J50" i="5"/>
  <c r="H50" i="5"/>
  <c r="I50" i="5"/>
  <c r="J63" i="5"/>
  <c r="I63" i="5"/>
  <c r="H63" i="5"/>
  <c r="K63" i="5"/>
  <c r="K44" i="5"/>
  <c r="J44" i="5"/>
  <c r="H44" i="5"/>
  <c r="I44" i="5"/>
  <c r="K54" i="5"/>
  <c r="J54" i="5"/>
  <c r="H54" i="5"/>
  <c r="I54" i="5"/>
  <c r="K46" i="5"/>
  <c r="J46" i="5"/>
  <c r="H46" i="5"/>
  <c r="I46" i="5"/>
  <c r="J61" i="5"/>
  <c r="I61" i="5"/>
  <c r="H61" i="5"/>
  <c r="K61" i="5"/>
  <c r="J39" i="5"/>
  <c r="I39" i="5"/>
  <c r="H39" i="5"/>
  <c r="K39" i="5"/>
  <c r="K60" i="5"/>
  <c r="J60" i="5"/>
  <c r="H60" i="5"/>
  <c r="I60" i="5"/>
  <c r="J47" i="5"/>
  <c r="I47" i="5"/>
  <c r="K47" i="5"/>
  <c r="H47" i="5"/>
  <c r="K36" i="5"/>
  <c r="J36" i="5"/>
  <c r="H36" i="5"/>
  <c r="I36" i="5"/>
  <c r="J59" i="5"/>
  <c r="I59" i="5"/>
  <c r="H59" i="5"/>
  <c r="K59" i="5"/>
  <c r="K64" i="5"/>
  <c r="J64" i="5"/>
  <c r="H64" i="5"/>
  <c r="I64" i="5"/>
  <c r="K52" i="5"/>
  <c r="J52" i="5"/>
  <c r="H52" i="5"/>
  <c r="I52" i="5"/>
  <c r="J57" i="5"/>
  <c r="I57" i="5"/>
  <c r="H57" i="5"/>
  <c r="K57" i="5"/>
  <c r="J35" i="5"/>
  <c r="I35" i="5"/>
  <c r="K35" i="5"/>
  <c r="H35" i="5"/>
  <c r="K62" i="5"/>
  <c r="J62" i="5"/>
  <c r="H62" i="5"/>
  <c r="I62" i="5"/>
  <c r="G62" i="5"/>
  <c r="D62" i="5"/>
  <c r="F62" i="5"/>
  <c r="C62" i="5"/>
  <c r="B62" i="5"/>
  <c r="C36" i="5"/>
  <c r="G36" i="5"/>
  <c r="B36" i="5"/>
  <c r="D36" i="5"/>
  <c r="F36" i="5"/>
  <c r="D37" i="5"/>
  <c r="B37" i="5"/>
  <c r="C37" i="5"/>
  <c r="G37" i="5"/>
  <c r="F37" i="5"/>
  <c r="F35" i="5"/>
  <c r="D35" i="5"/>
  <c r="C35" i="5"/>
  <c r="B35" i="5"/>
  <c r="G35" i="5"/>
  <c r="C38" i="5"/>
  <c r="B38" i="5"/>
  <c r="G38" i="5"/>
  <c r="F38" i="5"/>
  <c r="G34" i="5"/>
  <c r="D34" i="5"/>
  <c r="C34" i="5"/>
  <c r="B34" i="5"/>
  <c r="F34" i="5"/>
  <c r="C39" i="5"/>
  <c r="G39" i="5"/>
  <c r="D39" i="5"/>
  <c r="B39" i="5"/>
  <c r="F39" i="5"/>
  <c r="G33" i="5"/>
  <c r="D33" i="5"/>
  <c r="F33" i="5"/>
  <c r="C33" i="5"/>
  <c r="B33" i="5"/>
  <c r="B53" i="5"/>
  <c r="G53" i="5"/>
  <c r="F53" i="5"/>
  <c r="D53" i="5"/>
  <c r="C53" i="5"/>
  <c r="B51" i="5"/>
  <c r="C51" i="5"/>
  <c r="G51" i="5"/>
  <c r="F51" i="5"/>
  <c r="D51" i="5"/>
  <c r="G55" i="5"/>
  <c r="F55" i="5"/>
  <c r="D55" i="5"/>
  <c r="B55" i="5"/>
  <c r="C55" i="5"/>
  <c r="G61" i="5"/>
  <c r="F61" i="5"/>
  <c r="D61" i="5"/>
  <c r="C61" i="5"/>
  <c r="B61" i="5"/>
  <c r="F64" i="5"/>
  <c r="D64" i="5"/>
  <c r="G64" i="5"/>
  <c r="C64" i="5"/>
  <c r="B64" i="5"/>
  <c r="G45" i="5"/>
  <c r="D45" i="5"/>
  <c r="F45" i="5"/>
  <c r="C45" i="5"/>
  <c r="B45" i="5"/>
  <c r="F56" i="5"/>
  <c r="D56" i="5"/>
  <c r="C56" i="5"/>
  <c r="G56" i="5"/>
  <c r="B56" i="5"/>
  <c r="B59" i="5"/>
  <c r="G59" i="5"/>
  <c r="D59" i="5"/>
  <c r="F59" i="5"/>
  <c r="C59" i="5"/>
  <c r="C58" i="5"/>
  <c r="B58" i="5"/>
  <c r="F58" i="5"/>
  <c r="D58" i="5"/>
  <c r="G58" i="5"/>
  <c r="F48" i="5"/>
  <c r="D48" i="5"/>
  <c r="C48" i="5"/>
  <c r="B48" i="5"/>
  <c r="G48" i="5"/>
  <c r="D49" i="5"/>
  <c r="C49" i="5"/>
  <c r="G49" i="5"/>
  <c r="B49" i="5"/>
  <c r="F49" i="5"/>
  <c r="C60" i="5"/>
  <c r="F60" i="5"/>
  <c r="B60" i="5"/>
  <c r="G60" i="5"/>
  <c r="D60" i="5"/>
  <c r="G54" i="5"/>
  <c r="F54" i="5"/>
  <c r="D54" i="5"/>
  <c r="C54" i="5"/>
  <c r="B54" i="5"/>
  <c r="F52" i="5"/>
  <c r="C52" i="5"/>
  <c r="G52" i="5"/>
  <c r="D52" i="5"/>
  <c r="B52" i="5"/>
  <c r="C50" i="5"/>
  <c r="B50" i="5"/>
  <c r="F50" i="5"/>
  <c r="D50" i="5"/>
  <c r="G50" i="5"/>
  <c r="G63" i="5"/>
  <c r="F63" i="5"/>
  <c r="D63" i="5"/>
  <c r="C63" i="5"/>
  <c r="B63" i="5"/>
  <c r="D57" i="5"/>
  <c r="C57" i="5"/>
  <c r="F57" i="5"/>
  <c r="B57" i="5"/>
  <c r="G57" i="5"/>
  <c r="G46" i="5"/>
  <c r="F46" i="5"/>
  <c r="D46" i="5"/>
  <c r="C46" i="5"/>
  <c r="B46" i="5"/>
  <c r="C44" i="5"/>
  <c r="B44" i="5"/>
  <c r="G44" i="5"/>
  <c r="F44" i="5"/>
  <c r="D44" i="5"/>
  <c r="G47" i="5"/>
  <c r="F47" i="5"/>
  <c r="D47" i="5"/>
  <c r="C47" i="5"/>
  <c r="B47" i="5"/>
  <c r="A137" i="8"/>
  <c r="A138" i="8"/>
  <c r="A139" i="8"/>
  <c r="A141" i="8"/>
  <c r="B137" i="8"/>
  <c r="B138" i="8"/>
  <c r="B139" i="8"/>
  <c r="B141" i="8"/>
  <c r="D137" i="8"/>
  <c r="D138" i="8"/>
  <c r="D139" i="8"/>
  <c r="D141" i="8"/>
  <c r="E137" i="8"/>
  <c r="E138" i="8"/>
  <c r="E139" i="8"/>
  <c r="E141" i="8"/>
  <c r="A136" i="8" l="1"/>
  <c r="B136" i="8"/>
  <c r="D136" i="8"/>
  <c r="E136" i="8"/>
  <c r="A135" i="8"/>
  <c r="B135" i="8"/>
  <c r="D135" i="8"/>
  <c r="E135" i="8"/>
  <c r="A134" i="8" l="1"/>
  <c r="B134" i="8"/>
  <c r="D134" i="8"/>
  <c r="E134" i="8"/>
  <c r="A132" i="8"/>
  <c r="A133" i="8"/>
  <c r="B132" i="8"/>
  <c r="B133" i="8"/>
  <c r="D132" i="8"/>
  <c r="D133" i="8"/>
  <c r="E132" i="8"/>
  <c r="E133" i="8"/>
  <c r="A131" i="8" l="1"/>
  <c r="B131" i="8"/>
  <c r="D131" i="8"/>
  <c r="E131" i="8"/>
  <c r="A130" i="8"/>
  <c r="B130" i="8"/>
  <c r="D130" i="8"/>
  <c r="E130" i="8"/>
  <c r="A129" i="8"/>
  <c r="B129" i="8"/>
  <c r="D129" i="8"/>
  <c r="E129" i="8"/>
  <c r="A128" i="8"/>
  <c r="B128" i="8"/>
  <c r="D128" i="8"/>
  <c r="E128" i="8"/>
  <c r="A105" i="8" l="1"/>
  <c r="A106" i="8"/>
  <c r="A107" i="8"/>
  <c r="A108" i="8"/>
  <c r="A109" i="8"/>
  <c r="A110" i="8"/>
  <c r="A111" i="8"/>
  <c r="A112" i="8"/>
  <c r="A113" i="8"/>
  <c r="A114" i="8"/>
  <c r="B105" i="8"/>
  <c r="B106" i="8"/>
  <c r="B107" i="8"/>
  <c r="B108" i="8"/>
  <c r="B109" i="8"/>
  <c r="B110" i="8"/>
  <c r="B111" i="8"/>
  <c r="B112" i="8"/>
  <c r="B113" i="8"/>
  <c r="B114" i="8"/>
  <c r="D105" i="8"/>
  <c r="D106" i="8"/>
  <c r="D107" i="8"/>
  <c r="D108" i="8"/>
  <c r="D109" i="8"/>
  <c r="D110" i="8"/>
  <c r="D111" i="8"/>
  <c r="D112" i="8"/>
  <c r="D113" i="8"/>
  <c r="D114" i="8"/>
  <c r="E105" i="8"/>
  <c r="E106" i="8"/>
  <c r="E107" i="8"/>
  <c r="E108" i="8"/>
  <c r="E109" i="8"/>
  <c r="E110" i="8"/>
  <c r="E111" i="8"/>
  <c r="E112" i="8"/>
  <c r="E113" i="8"/>
  <c r="E114" i="8"/>
  <c r="A98" i="8" l="1"/>
  <c r="A99" i="8"/>
  <c r="A100" i="8"/>
  <c r="A101" i="8"/>
  <c r="A102" i="8"/>
  <c r="A103" i="8"/>
  <c r="A104" i="8"/>
  <c r="B98" i="8"/>
  <c r="B99" i="8"/>
  <c r="B100" i="8"/>
  <c r="B101" i="8"/>
  <c r="B102" i="8"/>
  <c r="B103" i="8"/>
  <c r="B104" i="8"/>
  <c r="D98" i="8"/>
  <c r="D99" i="8"/>
  <c r="D100" i="8"/>
  <c r="D101" i="8"/>
  <c r="D102" i="8"/>
  <c r="D103" i="8"/>
  <c r="D104" i="8"/>
  <c r="E98" i="8"/>
  <c r="E99" i="8"/>
  <c r="E100" i="8"/>
  <c r="E101" i="8"/>
  <c r="E102" i="8"/>
  <c r="E103" i="8"/>
  <c r="E104" i="8"/>
  <c r="A78" i="8" l="1"/>
  <c r="A79" i="8"/>
  <c r="A80" i="8"/>
  <c r="A81" i="8"/>
  <c r="A82" i="8"/>
  <c r="A83" i="8"/>
  <c r="A84" i="8"/>
  <c r="B78" i="8"/>
  <c r="B79" i="8"/>
  <c r="B80" i="8"/>
  <c r="B81" i="8"/>
  <c r="B82" i="8"/>
  <c r="B83" i="8"/>
  <c r="B84" i="8"/>
  <c r="D78" i="8"/>
  <c r="D79" i="8"/>
  <c r="D80" i="8"/>
  <c r="D81" i="8"/>
  <c r="D82" i="8"/>
  <c r="D83" i="8"/>
  <c r="D84" i="8"/>
  <c r="E78" i="8"/>
  <c r="E79" i="8"/>
  <c r="E80" i="8"/>
  <c r="E81" i="8"/>
  <c r="E82" i="8"/>
  <c r="E83" i="8"/>
  <c r="E84" i="8"/>
  <c r="A76" i="8" l="1"/>
  <c r="A77" i="8"/>
  <c r="B76" i="8"/>
  <c r="B77" i="8"/>
  <c r="D76" i="8"/>
  <c r="D77" i="8"/>
  <c r="E76" i="8"/>
  <c r="E77" i="8"/>
  <c r="A70" i="8" l="1"/>
  <c r="A71" i="8"/>
  <c r="B70" i="8"/>
  <c r="B71" i="8"/>
  <c r="D70" i="8"/>
  <c r="D71" i="8"/>
  <c r="E70" i="8"/>
  <c r="E71" i="8"/>
  <c r="A66" i="8" l="1"/>
  <c r="A67" i="8"/>
  <c r="B66" i="8"/>
  <c r="B67" i="8"/>
  <c r="D66" i="8"/>
  <c r="D67" i="8"/>
  <c r="E66" i="8"/>
  <c r="E67" i="8"/>
  <c r="A23" i="8" l="1"/>
  <c r="A24" i="8"/>
  <c r="A25" i="8"/>
  <c r="A26" i="8"/>
  <c r="A27" i="8"/>
  <c r="A28" i="8"/>
  <c r="A29" i="8"/>
  <c r="A30" i="8"/>
  <c r="B23" i="8"/>
  <c r="B24" i="8"/>
  <c r="B25" i="8"/>
  <c r="B26" i="8"/>
  <c r="B27" i="8"/>
  <c r="B28" i="8"/>
  <c r="B29" i="8"/>
  <c r="B30" i="8"/>
  <c r="D23" i="8"/>
  <c r="D24" i="8"/>
  <c r="D25" i="8"/>
  <c r="D26" i="8"/>
  <c r="D27" i="8"/>
  <c r="D28" i="8"/>
  <c r="D29" i="8"/>
  <c r="D30" i="8"/>
  <c r="E23" i="8"/>
  <c r="E24" i="8"/>
  <c r="E25" i="8"/>
  <c r="E26" i="8"/>
  <c r="E27" i="8"/>
  <c r="E28" i="8"/>
  <c r="E29" i="8"/>
  <c r="E30" i="8"/>
  <c r="E127" i="8" l="1"/>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E120" i="8"/>
  <c r="D120" i="8"/>
  <c r="B120" i="8"/>
  <c r="A120" i="8"/>
  <c r="E119" i="8"/>
  <c r="D119" i="8"/>
  <c r="B119" i="8"/>
  <c r="A119" i="8"/>
  <c r="E118" i="8"/>
  <c r="D118" i="8"/>
  <c r="B118" i="8"/>
  <c r="A118" i="8"/>
  <c r="E117" i="8"/>
  <c r="D117" i="8"/>
  <c r="B117" i="8"/>
  <c r="A117" i="8"/>
  <c r="E97" i="8"/>
  <c r="D97" i="8"/>
  <c r="B97" i="8"/>
  <c r="A97" i="8"/>
  <c r="E96" i="8"/>
  <c r="D96" i="8"/>
  <c r="B96" i="8"/>
  <c r="A96" i="8"/>
  <c r="E95" i="8"/>
  <c r="D95" i="8"/>
  <c r="B95" i="8"/>
  <c r="A95" i="8"/>
  <c r="E94" i="8"/>
  <c r="D94" i="8"/>
  <c r="B94" i="8"/>
  <c r="A94" i="8"/>
  <c r="E93" i="8"/>
  <c r="D93" i="8"/>
  <c r="B93" i="8"/>
  <c r="A93" i="8"/>
  <c r="E92" i="8"/>
  <c r="D92" i="8"/>
  <c r="B92" i="8"/>
  <c r="A92" i="8"/>
  <c r="E91" i="8"/>
  <c r="D91" i="8"/>
  <c r="B91" i="8"/>
  <c r="A91" i="8"/>
  <c r="E90" i="8"/>
  <c r="D90" i="8"/>
  <c r="B90" i="8"/>
  <c r="A90" i="8"/>
  <c r="E89" i="8"/>
  <c r="D89" i="8"/>
  <c r="B89" i="8"/>
  <c r="A89" i="8"/>
  <c r="E88" i="8"/>
  <c r="D88" i="8"/>
  <c r="B88" i="8"/>
  <c r="A88" i="8"/>
  <c r="E87" i="8"/>
  <c r="D87" i="8"/>
  <c r="B87" i="8"/>
  <c r="A6" i="8"/>
  <c r="A7" i="8"/>
  <c r="A8" i="8"/>
  <c r="B6" i="8"/>
  <c r="B7" i="8"/>
  <c r="B8" i="8"/>
  <c r="D6" i="8"/>
  <c r="D7" i="8"/>
  <c r="D8" i="8"/>
  <c r="E6" i="8"/>
  <c r="E7" i="8"/>
  <c r="E8" i="8"/>
  <c r="Q144" i="3" l="1"/>
  <c r="Q151" i="3"/>
  <c r="Q24" i="3"/>
  <c r="Q25" i="3"/>
  <c r="Q150" i="3"/>
  <c r="Q26" i="3"/>
  <c r="P144" i="3"/>
  <c r="P24" i="3"/>
  <c r="P25" i="3"/>
  <c r="P150" i="3"/>
  <c r="P26" i="3"/>
  <c r="P151" i="3"/>
  <c r="P161" i="3"/>
  <c r="P163" i="3"/>
  <c r="P143" i="3"/>
  <c r="P84" i="3"/>
  <c r="P78" i="3"/>
  <c r="Q143" i="3"/>
  <c r="Q84" i="3"/>
  <c r="Q161" i="3"/>
  <c r="Q163" i="3"/>
  <c r="Q78" i="3"/>
  <c r="P165" i="3"/>
  <c r="P186" i="3"/>
  <c r="P75" i="3"/>
  <c r="P93" i="3"/>
  <c r="P190" i="3"/>
  <c r="P91" i="3"/>
  <c r="P200" i="3"/>
  <c r="P99" i="3"/>
  <c r="P198" i="3"/>
  <c r="P159" i="3"/>
  <c r="P103" i="3"/>
  <c r="P76" i="3"/>
  <c r="P192" i="3"/>
  <c r="P87" i="3"/>
  <c r="P95" i="3"/>
  <c r="P97" i="3"/>
  <c r="P188" i="3"/>
  <c r="P89" i="3"/>
  <c r="P196" i="3"/>
  <c r="Q91" i="3"/>
  <c r="Q103" i="3"/>
  <c r="Q75" i="3"/>
  <c r="Q76" i="3"/>
  <c r="Q87" i="3"/>
  <c r="Q97" i="3"/>
  <c r="Q93" i="3"/>
  <c r="Q159" i="3"/>
  <c r="Q99" i="3"/>
  <c r="Q165" i="3"/>
  <c r="Q89" i="3"/>
  <c r="Q188" i="3"/>
  <c r="Q186" i="3"/>
  <c r="Q190" i="3"/>
  <c r="Q198" i="3"/>
  <c r="Q200" i="3"/>
  <c r="Q95" i="3"/>
  <c r="Q192" i="3"/>
  <c r="Q196" i="3"/>
  <c r="P170" i="3"/>
  <c r="P180" i="3"/>
  <c r="P178" i="3"/>
  <c r="P168" i="3"/>
  <c r="P184" i="3"/>
  <c r="Q178" i="3"/>
  <c r="Q180" i="3"/>
  <c r="Q168" i="3"/>
  <c r="Q170" i="3"/>
  <c r="Q184" i="3"/>
  <c r="Q136" i="3"/>
  <c r="Q114" i="3"/>
  <c r="Q129" i="3"/>
  <c r="Q221" i="3"/>
  <c r="Q74" i="3"/>
  <c r="Q115" i="3"/>
  <c r="Q131" i="3"/>
  <c r="Q209" i="3"/>
  <c r="Q117" i="3"/>
  <c r="Q133" i="3"/>
  <c r="Q127" i="3"/>
  <c r="Q9" i="3"/>
  <c r="Q119" i="3"/>
  <c r="Q172" i="3"/>
  <c r="Q211" i="3"/>
  <c r="Q213" i="3"/>
  <c r="Q10" i="3"/>
  <c r="Q121" i="3"/>
  <c r="Q182" i="3"/>
  <c r="Q217" i="3"/>
  <c r="Q125" i="3"/>
  <c r="Q215" i="3"/>
  <c r="Q219" i="3"/>
  <c r="Q123" i="3"/>
  <c r="Q194" i="3"/>
  <c r="Q207" i="3"/>
  <c r="Q223" i="3"/>
  <c r="P119" i="3"/>
  <c r="P223" i="3"/>
  <c r="P211" i="3"/>
  <c r="P121" i="3"/>
  <c r="P209" i="3"/>
  <c r="P172" i="3"/>
  <c r="P74" i="3"/>
  <c r="P127" i="3"/>
  <c r="P123" i="3"/>
  <c r="P207" i="3"/>
  <c r="P156" i="3"/>
  <c r="P125" i="3"/>
  <c r="P136" i="3"/>
  <c r="P213" i="3"/>
  <c r="P215" i="3"/>
  <c r="P217" i="3"/>
  <c r="P114" i="3"/>
  <c r="P115" i="3"/>
  <c r="P219" i="3"/>
  <c r="P221" i="3"/>
  <c r="P129" i="3"/>
  <c r="P131" i="3"/>
  <c r="P10" i="3"/>
  <c r="P133" i="3"/>
  <c r="P117" i="3"/>
  <c r="P9" i="3"/>
  <c r="P182" i="3"/>
  <c r="P194" i="3"/>
  <c r="P43" i="3"/>
  <c r="P49" i="3"/>
  <c r="P53" i="3"/>
  <c r="P174" i="3"/>
  <c r="P39" i="3"/>
  <c r="P51" i="3"/>
  <c r="P41" i="3"/>
  <c r="P45" i="3"/>
  <c r="P34" i="3"/>
  <c r="P176" i="3"/>
  <c r="P47" i="3"/>
  <c r="Q47" i="3"/>
  <c r="Q49" i="3"/>
  <c r="Q51" i="3"/>
  <c r="Q53" i="3"/>
  <c r="Q39" i="3"/>
  <c r="Q34" i="3"/>
  <c r="Q41" i="3"/>
  <c r="Q43" i="3"/>
  <c r="Q174" i="3"/>
  <c r="Q45" i="3"/>
  <c r="Q176" i="3"/>
  <c r="P110" i="3"/>
  <c r="P112" i="3"/>
  <c r="P105" i="3"/>
  <c r="P107" i="3"/>
  <c r="P108" i="3"/>
  <c r="Q108" i="3"/>
  <c r="Q105" i="3"/>
  <c r="Q107" i="3"/>
  <c r="Q110" i="3"/>
  <c r="Q112" i="3"/>
  <c r="P203" i="3"/>
  <c r="P202" i="3"/>
  <c r="P13" i="3"/>
  <c r="P14" i="3"/>
  <c r="P205" i="3"/>
  <c r="P206" i="3"/>
  <c r="P204" i="3"/>
  <c r="P142" i="3"/>
  <c r="P23" i="3"/>
  <c r="P147" i="3"/>
  <c r="Q203" i="3"/>
  <c r="Q202" i="3"/>
  <c r="Q13" i="3"/>
  <c r="Q14" i="3"/>
  <c r="Q205" i="3"/>
  <c r="Q206" i="3"/>
  <c r="Q204" i="3"/>
  <c r="Q142" i="3"/>
  <c r="Q23" i="3"/>
  <c r="Q147" i="3"/>
  <c r="P22" i="3"/>
  <c r="P66" i="3"/>
  <c r="P146" i="3"/>
  <c r="P141" i="3"/>
  <c r="P145" i="3"/>
  <c r="P148" i="3"/>
  <c r="P15" i="3"/>
  <c r="P21" i="3"/>
  <c r="P16" i="3"/>
  <c r="P149" i="3"/>
  <c r="P153" i="3"/>
  <c r="P29" i="3"/>
  <c r="P134" i="3"/>
  <c r="Q146" i="3"/>
  <c r="Q145" i="3"/>
  <c r="Q22" i="3"/>
  <c r="Q21" i="3"/>
  <c r="Q148" i="3"/>
  <c r="Q149" i="3"/>
  <c r="Q153" i="3"/>
  <c r="Q29" i="3"/>
  <c r="Q134" i="3"/>
  <c r="Q141" i="3"/>
  <c r="Q66" i="3"/>
  <c r="Q15" i="3"/>
  <c r="Q16" i="3"/>
  <c r="Q59" i="3"/>
  <c r="Q68" i="3"/>
  <c r="Q62" i="3"/>
  <c r="Q56" i="3"/>
  <c r="Q17" i="3"/>
  <c r="Q63" i="3"/>
  <c r="Q57" i="3"/>
  <c r="Q18" i="3"/>
  <c r="Q58" i="3"/>
  <c r="P62" i="3"/>
  <c r="P63" i="3"/>
  <c r="P58" i="3"/>
  <c r="P56" i="3"/>
  <c r="P68" i="3"/>
  <c r="P17" i="3"/>
  <c r="P18" i="3"/>
  <c r="P59" i="3"/>
  <c r="P57" i="3"/>
  <c r="Q28" i="3"/>
  <c r="Q90" i="3"/>
  <c r="Q98" i="3"/>
  <c r="Q67" i="3"/>
  <c r="Q92" i="3"/>
  <c r="Q64" i="3"/>
  <c r="Q152" i="3"/>
  <c r="Q96" i="3"/>
  <c r="Q65" i="3"/>
  <c r="Q88" i="3"/>
  <c r="Q100" i="3"/>
  <c r="Q69" i="3"/>
  <c r="Q104" i="3"/>
  <c r="Q27" i="3"/>
  <c r="P28" i="3"/>
  <c r="P88" i="3"/>
  <c r="P152" i="3"/>
  <c r="P67" i="3"/>
  <c r="P96" i="3"/>
  <c r="P90" i="3"/>
  <c r="P27" i="3"/>
  <c r="P98" i="3"/>
  <c r="P100" i="3"/>
  <c r="P65" i="3"/>
  <c r="P69" i="3"/>
  <c r="P64" i="3"/>
  <c r="P92" i="3"/>
  <c r="P104" i="3"/>
  <c r="P138" i="3"/>
  <c r="P32" i="3"/>
  <c r="P183" i="3"/>
  <c r="P201" i="3"/>
  <c r="P154" i="3"/>
  <c r="P7" i="3"/>
  <c r="P173" i="3"/>
  <c r="P169" i="3"/>
  <c r="P31" i="3"/>
  <c r="P157" i="3"/>
  <c r="P185" i="3"/>
  <c r="P181" i="3"/>
  <c r="P6" i="3"/>
  <c r="P158" i="3"/>
  <c r="P30" i="3"/>
  <c r="P137" i="3"/>
  <c r="P155" i="3"/>
  <c r="P171" i="3"/>
  <c r="Q7" i="3"/>
  <c r="Q138" i="3"/>
  <c r="Q32" i="3"/>
  <c r="Q31" i="3"/>
  <c r="Q158" i="3"/>
  <c r="Q137" i="3"/>
  <c r="Q154" i="3"/>
  <c r="Q155" i="3"/>
  <c r="Q6" i="3"/>
  <c r="Q201" i="3"/>
  <c r="Q185" i="3"/>
  <c r="Q156" i="3"/>
  <c r="Q171" i="3"/>
  <c r="Q157" i="3"/>
  <c r="Q30" i="3"/>
  <c r="Q181" i="3"/>
  <c r="Q169" i="3"/>
  <c r="Q183" i="3"/>
  <c r="Q173" i="3"/>
  <c r="Q73" i="3"/>
  <c r="Q140" i="3"/>
  <c r="Q11" i="3"/>
  <c r="Q139" i="3"/>
  <c r="Q12" i="3"/>
  <c r="Q36" i="3"/>
  <c r="Q70" i="3"/>
  <c r="Q175" i="3"/>
  <c r="Q8" i="3"/>
  <c r="Q177" i="3"/>
  <c r="Q135" i="3"/>
  <c r="Q37" i="3"/>
  <c r="Q71" i="3"/>
  <c r="P140" i="3"/>
  <c r="P11" i="3"/>
  <c r="P139" i="3"/>
  <c r="P37" i="3"/>
  <c r="P12" i="3"/>
  <c r="P70" i="3"/>
  <c r="P175" i="3"/>
  <c r="P8" i="3"/>
  <c r="P135" i="3"/>
  <c r="P73" i="3"/>
  <c r="P177" i="3"/>
  <c r="P36" i="3"/>
  <c r="P71" i="3"/>
  <c r="P5" i="3"/>
  <c r="P4" i="3"/>
  <c r="Q5" i="3"/>
  <c r="Q4" i="3"/>
  <c r="Q130" i="3"/>
  <c r="Q79" i="3"/>
  <c r="Q80" i="3"/>
  <c r="Q160" i="3"/>
  <c r="Q81" i="3"/>
  <c r="Q166" i="3"/>
  <c r="Q101" i="3"/>
  <c r="Q118" i="3"/>
  <c r="Q82" i="3"/>
  <c r="Q55" i="3"/>
  <c r="Q120" i="3"/>
  <c r="Q83" i="3"/>
  <c r="Q128" i="3"/>
  <c r="Q102" i="3"/>
  <c r="Q33" i="3"/>
  <c r="Q124" i="3"/>
  <c r="Q85" i="3"/>
  <c r="Q94" i="3"/>
  <c r="Q126" i="3"/>
  <c r="Q164" i="3"/>
  <c r="Q162" i="3"/>
  <c r="Q77" i="3"/>
  <c r="P130" i="3"/>
  <c r="P79" i="3"/>
  <c r="P80" i="3"/>
  <c r="P160" i="3"/>
  <c r="P81" i="3"/>
  <c r="P126" i="3"/>
  <c r="P101" i="3"/>
  <c r="P118" i="3"/>
  <c r="P82" i="3"/>
  <c r="P55" i="3"/>
  <c r="P120" i="3"/>
  <c r="P83" i="3"/>
  <c r="P164" i="3"/>
  <c r="P102" i="3"/>
  <c r="P33" i="3"/>
  <c r="P124" i="3"/>
  <c r="P85" i="3"/>
  <c r="P94" i="3"/>
  <c r="P162" i="3"/>
  <c r="P128" i="3"/>
  <c r="P77" i="3"/>
  <c r="P166" i="3"/>
  <c r="P224" i="3"/>
  <c r="P3" i="3"/>
  <c r="Q3" i="3"/>
  <c r="Q224" i="3"/>
  <c r="P197" i="3"/>
  <c r="P132" i="3"/>
  <c r="P50" i="3"/>
  <c r="P187" i="3"/>
  <c r="P195" i="3"/>
  <c r="P179" i="3"/>
  <c r="P210" i="3"/>
  <c r="P52" i="3"/>
  <c r="P38" i="3"/>
  <c r="P191" i="3"/>
  <c r="P193" i="3"/>
  <c r="P214" i="3"/>
  <c r="P106" i="3"/>
  <c r="P48" i="3"/>
  <c r="P199" i="3"/>
  <c r="P60" i="3"/>
  <c r="P122" i="3"/>
  <c r="P216" i="3"/>
  <c r="P109" i="3"/>
  <c r="P40" i="3"/>
  <c r="P61" i="3"/>
  <c r="P218" i="3"/>
  <c r="P72" i="3"/>
  <c r="P111" i="3"/>
  <c r="P42" i="3"/>
  <c r="P222" i="3"/>
  <c r="P116" i="3"/>
  <c r="P208" i="3"/>
  <c r="P86" i="3"/>
  <c r="P113" i="3"/>
  <c r="P44" i="3"/>
  <c r="P212" i="3"/>
  <c r="P220" i="3"/>
  <c r="P35" i="3"/>
  <c r="P46" i="3"/>
  <c r="P189" i="3"/>
  <c r="P54" i="3"/>
  <c r="Q61" i="3"/>
  <c r="Q214" i="3"/>
  <c r="Q50" i="3"/>
  <c r="Q48" i="3"/>
  <c r="Q116" i="3"/>
  <c r="Q216" i="3"/>
  <c r="Q52" i="3"/>
  <c r="Q218" i="3"/>
  <c r="Q106" i="3"/>
  <c r="Q38" i="3"/>
  <c r="Q189" i="3"/>
  <c r="Q208" i="3"/>
  <c r="Q86" i="3"/>
  <c r="Q72" i="3"/>
  <c r="Q109" i="3"/>
  <c r="Q40" i="3"/>
  <c r="Q197" i="3"/>
  <c r="Q132" i="3"/>
  <c r="Q212" i="3"/>
  <c r="Q220" i="3"/>
  <c r="Q111" i="3"/>
  <c r="Q42" i="3"/>
  <c r="Q187" i="3"/>
  <c r="Q195" i="3"/>
  <c r="Q179" i="3"/>
  <c r="Q222" i="3"/>
  <c r="Q113" i="3"/>
  <c r="Q44" i="3"/>
  <c r="Q60" i="3"/>
  <c r="Q210" i="3"/>
  <c r="Q191" i="3"/>
  <c r="Q193" i="3"/>
  <c r="Q54" i="3"/>
  <c r="Q35" i="3"/>
  <c r="Q46" i="3"/>
  <c r="Q199" i="3"/>
  <c r="Q122" i="3"/>
  <c r="A5" i="8"/>
  <c r="B5" i="8"/>
  <c r="D5" i="8"/>
  <c r="E5" i="8"/>
  <c r="E61" i="8" l="1"/>
  <c r="E62" i="8"/>
  <c r="E63" i="8"/>
  <c r="E64" i="8"/>
  <c r="E65" i="8"/>
  <c r="E68" i="8"/>
  <c r="E69" i="8"/>
  <c r="E72" i="8"/>
  <c r="E73" i="8"/>
  <c r="E74" i="8"/>
  <c r="E75" i="8"/>
  <c r="E12" i="8"/>
  <c r="E13" i="8"/>
  <c r="E14" i="8"/>
  <c r="E15" i="8"/>
  <c r="E16" i="8"/>
  <c r="E17" i="8"/>
  <c r="E20" i="8"/>
  <c r="E18" i="8"/>
  <c r="E19" i="8"/>
  <c r="E21" i="8"/>
  <c r="E22" i="8"/>
  <c r="E4" i="8"/>
  <c r="D61" i="8"/>
  <c r="D62" i="8"/>
  <c r="D63" i="8"/>
  <c r="D64" i="8"/>
  <c r="D65" i="8"/>
  <c r="D68" i="8"/>
  <c r="D69" i="8"/>
  <c r="D72" i="8"/>
  <c r="D73" i="8"/>
  <c r="D74" i="8"/>
  <c r="D75" i="8"/>
  <c r="D12" i="8"/>
  <c r="D13" i="8"/>
  <c r="D14" i="8"/>
  <c r="D15" i="8"/>
  <c r="D16" i="8"/>
  <c r="D17" i="8"/>
  <c r="D20" i="8"/>
  <c r="D18" i="8"/>
  <c r="D19" i="8"/>
  <c r="D21" i="8"/>
  <c r="D22" i="8"/>
  <c r="D4" i="8"/>
  <c r="B61" i="8"/>
  <c r="B62" i="8"/>
  <c r="B63" i="8"/>
  <c r="B64" i="8"/>
  <c r="B65" i="8"/>
  <c r="B68" i="8"/>
  <c r="B69" i="8"/>
  <c r="B72" i="8"/>
  <c r="B73" i="8"/>
  <c r="B74" i="8"/>
  <c r="B75" i="8"/>
  <c r="B12" i="8"/>
  <c r="B13" i="8"/>
  <c r="B14" i="8"/>
  <c r="B15" i="8"/>
  <c r="B16" i="8"/>
  <c r="B17" i="8"/>
  <c r="B20" i="8"/>
  <c r="B18" i="8"/>
  <c r="B19" i="8"/>
  <c r="B21" i="8"/>
  <c r="B22" i="8"/>
  <c r="B4" i="8"/>
  <c r="A61" i="8"/>
  <c r="A62" i="8"/>
  <c r="A63" i="8"/>
  <c r="A64" i="8"/>
  <c r="A65" i="8"/>
  <c r="A68" i="8"/>
  <c r="A69" i="8"/>
  <c r="A72" i="8"/>
  <c r="A73" i="8"/>
  <c r="A74" i="8"/>
  <c r="A75" i="8"/>
  <c r="A12" i="8"/>
  <c r="A13" i="8"/>
  <c r="A14" i="8"/>
  <c r="A15" i="8"/>
  <c r="A16" i="8"/>
  <c r="A17" i="8"/>
  <c r="A20" i="8"/>
  <c r="A18" i="8"/>
  <c r="A19" i="8"/>
  <c r="A21" i="8"/>
  <c r="A22" i="8"/>
  <c r="A4" i="8"/>
  <c r="L144" i="3" l="1"/>
  <c r="L151" i="3"/>
  <c r="L24" i="3"/>
  <c r="L25" i="3"/>
  <c r="L150" i="3"/>
  <c r="L26" i="3"/>
  <c r="O144" i="3"/>
  <c r="O24" i="3"/>
  <c r="O25" i="3"/>
  <c r="O150" i="3"/>
  <c r="O151" i="3"/>
  <c r="O26" i="3"/>
  <c r="M144" i="3"/>
  <c r="M151" i="3"/>
  <c r="M24" i="3"/>
  <c r="M25" i="3"/>
  <c r="M150" i="3"/>
  <c r="M26" i="3"/>
  <c r="O78" i="3"/>
  <c r="O163" i="3"/>
  <c r="O143" i="3"/>
  <c r="O84" i="3"/>
  <c r="O161" i="3"/>
  <c r="L84" i="3"/>
  <c r="L161" i="3"/>
  <c r="L163" i="3"/>
  <c r="L78" i="3"/>
  <c r="L143" i="3"/>
  <c r="M161" i="3"/>
  <c r="M163" i="3"/>
  <c r="M78" i="3"/>
  <c r="M143" i="3"/>
  <c r="M84" i="3"/>
  <c r="O89" i="3"/>
  <c r="O93" i="3"/>
  <c r="O91" i="3"/>
  <c r="O103" i="3"/>
  <c r="O159" i="3"/>
  <c r="O75" i="3"/>
  <c r="O76" i="3"/>
  <c r="O87" i="3"/>
  <c r="O97" i="3"/>
  <c r="O99" i="3"/>
  <c r="O165" i="3"/>
  <c r="O188" i="3"/>
  <c r="O196" i="3"/>
  <c r="O186" i="3"/>
  <c r="O190" i="3"/>
  <c r="O198" i="3"/>
  <c r="O200" i="3"/>
  <c r="O95" i="3"/>
  <c r="O192" i="3"/>
  <c r="L87" i="3"/>
  <c r="L97" i="3"/>
  <c r="L93" i="3"/>
  <c r="L159" i="3"/>
  <c r="L99" i="3"/>
  <c r="L165" i="3"/>
  <c r="L75" i="3"/>
  <c r="L89" i="3"/>
  <c r="L91" i="3"/>
  <c r="L103" i="3"/>
  <c r="L76" i="3"/>
  <c r="L188" i="3"/>
  <c r="L196" i="3"/>
  <c r="L186" i="3"/>
  <c r="L190" i="3"/>
  <c r="L198" i="3"/>
  <c r="L200" i="3"/>
  <c r="L95" i="3"/>
  <c r="L192" i="3"/>
  <c r="M93" i="3"/>
  <c r="M159" i="3"/>
  <c r="M99" i="3"/>
  <c r="M165" i="3"/>
  <c r="M76" i="3"/>
  <c r="M89" i="3"/>
  <c r="M91" i="3"/>
  <c r="M103" i="3"/>
  <c r="M75" i="3"/>
  <c r="M87" i="3"/>
  <c r="M97" i="3"/>
  <c r="M188" i="3"/>
  <c r="M196" i="3"/>
  <c r="M186" i="3"/>
  <c r="M190" i="3"/>
  <c r="M198" i="3"/>
  <c r="M200" i="3"/>
  <c r="M95" i="3"/>
  <c r="M192" i="3"/>
  <c r="L184" i="3"/>
  <c r="L170" i="3"/>
  <c r="L168" i="3"/>
  <c r="L178" i="3"/>
  <c r="L180" i="3"/>
  <c r="L115" i="3"/>
  <c r="L131" i="3"/>
  <c r="L209" i="3"/>
  <c r="L117" i="3"/>
  <c r="L133" i="3"/>
  <c r="L213" i="3"/>
  <c r="L10" i="3"/>
  <c r="L121" i="3"/>
  <c r="L182" i="3"/>
  <c r="L211" i="3"/>
  <c r="L223" i="3"/>
  <c r="L74" i="3"/>
  <c r="L127" i="3"/>
  <c r="L207" i="3"/>
  <c r="L125" i="3"/>
  <c r="L215" i="3"/>
  <c r="L136" i="3"/>
  <c r="L129" i="3"/>
  <c r="L217" i="3"/>
  <c r="L9" i="3"/>
  <c r="L219" i="3"/>
  <c r="L194" i="3"/>
  <c r="L221" i="3"/>
  <c r="L119" i="3"/>
  <c r="L114" i="3"/>
  <c r="L123" i="3"/>
  <c r="L172" i="3"/>
  <c r="O178" i="3"/>
  <c r="O180" i="3"/>
  <c r="O168" i="3"/>
  <c r="O184" i="3"/>
  <c r="O170" i="3"/>
  <c r="O9" i="3"/>
  <c r="O119" i="3"/>
  <c r="O172" i="3"/>
  <c r="O209" i="3"/>
  <c r="O10" i="3"/>
  <c r="O121" i="3"/>
  <c r="O182" i="3"/>
  <c r="O213" i="3"/>
  <c r="O125" i="3"/>
  <c r="O211" i="3"/>
  <c r="O223" i="3"/>
  <c r="O115" i="3"/>
  <c r="O131" i="3"/>
  <c r="O136" i="3"/>
  <c r="O129" i="3"/>
  <c r="O133" i="3"/>
  <c r="O207" i="3"/>
  <c r="O215" i="3"/>
  <c r="O74" i="3"/>
  <c r="O217" i="3"/>
  <c r="O221" i="3"/>
  <c r="O123" i="3"/>
  <c r="O114" i="3"/>
  <c r="O219" i="3"/>
  <c r="O117" i="3"/>
  <c r="O127" i="3"/>
  <c r="O194" i="3"/>
  <c r="M178" i="3"/>
  <c r="M180" i="3"/>
  <c r="M168" i="3"/>
  <c r="M170" i="3"/>
  <c r="M184" i="3"/>
  <c r="M74" i="3"/>
  <c r="M127" i="3"/>
  <c r="M209" i="3"/>
  <c r="M136" i="3"/>
  <c r="M114" i="3"/>
  <c r="M129" i="3"/>
  <c r="M213" i="3"/>
  <c r="M117" i="3"/>
  <c r="M133" i="3"/>
  <c r="M211" i="3"/>
  <c r="M223" i="3"/>
  <c r="M123" i="3"/>
  <c r="M194" i="3"/>
  <c r="M217" i="3"/>
  <c r="M10" i="3"/>
  <c r="M182" i="3"/>
  <c r="M219" i="3"/>
  <c r="M221" i="3"/>
  <c r="M119" i="3"/>
  <c r="M207" i="3"/>
  <c r="M131" i="3"/>
  <c r="M125" i="3"/>
  <c r="M215" i="3"/>
  <c r="M172" i="3"/>
  <c r="M121" i="3"/>
  <c r="M9" i="3"/>
  <c r="M115" i="3"/>
  <c r="L49" i="3"/>
  <c r="L51" i="3"/>
  <c r="L53" i="3"/>
  <c r="L39" i="3"/>
  <c r="L34" i="3"/>
  <c r="L41" i="3"/>
  <c r="L43" i="3"/>
  <c r="L174" i="3"/>
  <c r="L45" i="3"/>
  <c r="L176" i="3"/>
  <c r="L47" i="3"/>
  <c r="M43" i="3"/>
  <c r="M174" i="3"/>
  <c r="M45" i="3"/>
  <c r="M176" i="3"/>
  <c r="M47" i="3"/>
  <c r="M49" i="3"/>
  <c r="M51" i="3"/>
  <c r="M53" i="3"/>
  <c r="M39" i="3"/>
  <c r="M34" i="3"/>
  <c r="M41" i="3"/>
  <c r="O53" i="3"/>
  <c r="O51" i="3"/>
  <c r="O39" i="3"/>
  <c r="O34" i="3"/>
  <c r="O41" i="3"/>
  <c r="O43" i="3"/>
  <c r="O174" i="3"/>
  <c r="O45" i="3"/>
  <c r="O176" i="3"/>
  <c r="O47" i="3"/>
  <c r="O49" i="3"/>
  <c r="O105" i="3"/>
  <c r="O107" i="3"/>
  <c r="O108" i="3"/>
  <c r="O112" i="3"/>
  <c r="O110" i="3"/>
  <c r="L112" i="3"/>
  <c r="L108" i="3"/>
  <c r="L105" i="3"/>
  <c r="L107" i="3"/>
  <c r="L110" i="3"/>
  <c r="M112" i="3"/>
  <c r="M108" i="3"/>
  <c r="M105" i="3"/>
  <c r="M107" i="3"/>
  <c r="M110" i="3"/>
  <c r="L203" i="3"/>
  <c r="L202" i="3"/>
  <c r="L13" i="3"/>
  <c r="L14" i="3"/>
  <c r="L205" i="3"/>
  <c r="L206" i="3"/>
  <c r="L204" i="3"/>
  <c r="L142" i="3"/>
  <c r="L23" i="3"/>
  <c r="L147" i="3"/>
  <c r="M203" i="3"/>
  <c r="M202" i="3"/>
  <c r="M13" i="3"/>
  <c r="M14" i="3"/>
  <c r="M205" i="3"/>
  <c r="M206" i="3"/>
  <c r="M204" i="3"/>
  <c r="M142" i="3"/>
  <c r="M23" i="3"/>
  <c r="M147" i="3"/>
  <c r="O203" i="3"/>
  <c r="O202" i="3"/>
  <c r="O13" i="3"/>
  <c r="O14" i="3"/>
  <c r="O205" i="3"/>
  <c r="O206" i="3"/>
  <c r="O204" i="3"/>
  <c r="O142" i="3"/>
  <c r="O23" i="3"/>
  <c r="O147" i="3"/>
  <c r="O22" i="3"/>
  <c r="O146" i="3"/>
  <c r="O145" i="3"/>
  <c r="O21" i="3"/>
  <c r="O148" i="3"/>
  <c r="O149" i="3"/>
  <c r="O153" i="3"/>
  <c r="O29" i="3"/>
  <c r="O134" i="3"/>
  <c r="O141" i="3"/>
  <c r="O66" i="3"/>
  <c r="O15" i="3"/>
  <c r="O16" i="3"/>
  <c r="L146" i="3"/>
  <c r="L145" i="3"/>
  <c r="L22" i="3"/>
  <c r="L21" i="3"/>
  <c r="L148" i="3"/>
  <c r="L149" i="3"/>
  <c r="L153" i="3"/>
  <c r="L29" i="3"/>
  <c r="L134" i="3"/>
  <c r="L141" i="3"/>
  <c r="L66" i="3"/>
  <c r="L15" i="3"/>
  <c r="L16" i="3"/>
  <c r="M146" i="3"/>
  <c r="M145" i="3"/>
  <c r="M22" i="3"/>
  <c r="M148" i="3"/>
  <c r="M149" i="3"/>
  <c r="M21" i="3"/>
  <c r="M153" i="3"/>
  <c r="M29" i="3"/>
  <c r="M134" i="3"/>
  <c r="M141" i="3"/>
  <c r="M66" i="3"/>
  <c r="M15" i="3"/>
  <c r="M16" i="3"/>
  <c r="O56" i="3"/>
  <c r="O17" i="3"/>
  <c r="O57" i="3"/>
  <c r="O18" i="3"/>
  <c r="O68" i="3"/>
  <c r="O63" i="3"/>
  <c r="O58" i="3"/>
  <c r="O62" i="3"/>
  <c r="O59" i="3"/>
  <c r="L56" i="3"/>
  <c r="L68" i="3"/>
  <c r="L63" i="3"/>
  <c r="L62" i="3"/>
  <c r="L58" i="3"/>
  <c r="L17" i="3"/>
  <c r="L59" i="3"/>
  <c r="L57" i="3"/>
  <c r="L18" i="3"/>
  <c r="M57" i="3"/>
  <c r="M18" i="3"/>
  <c r="M68" i="3"/>
  <c r="M63" i="3"/>
  <c r="M59" i="3"/>
  <c r="M58" i="3"/>
  <c r="M62" i="3"/>
  <c r="M56" i="3"/>
  <c r="M17" i="3"/>
  <c r="L28" i="3"/>
  <c r="L100" i="3"/>
  <c r="L69" i="3"/>
  <c r="L152" i="3"/>
  <c r="L104" i="3"/>
  <c r="L67" i="3"/>
  <c r="L27" i="3"/>
  <c r="L90" i="3"/>
  <c r="L98" i="3"/>
  <c r="L96" i="3"/>
  <c r="L65" i="3"/>
  <c r="L88" i="3"/>
  <c r="L92" i="3"/>
  <c r="L64" i="3"/>
  <c r="O28" i="3"/>
  <c r="O27" i="3"/>
  <c r="O64" i="3"/>
  <c r="O152" i="3"/>
  <c r="O92" i="3"/>
  <c r="O104" i="3"/>
  <c r="O90" i="3"/>
  <c r="O98" i="3"/>
  <c r="O96" i="3"/>
  <c r="O65" i="3"/>
  <c r="O69" i="3"/>
  <c r="O88" i="3"/>
  <c r="O67" i="3"/>
  <c r="O100" i="3"/>
  <c r="M28" i="3"/>
  <c r="M104" i="3"/>
  <c r="M98" i="3"/>
  <c r="M100" i="3"/>
  <c r="M27" i="3"/>
  <c r="M152" i="3"/>
  <c r="M90" i="3"/>
  <c r="M92" i="3"/>
  <c r="M64" i="3"/>
  <c r="M67" i="3"/>
  <c r="M69" i="3"/>
  <c r="M96" i="3"/>
  <c r="M65" i="3"/>
  <c r="M88" i="3"/>
  <c r="O154" i="3"/>
  <c r="O32" i="3"/>
  <c r="O201" i="3"/>
  <c r="O158" i="3"/>
  <c r="O155" i="3"/>
  <c r="O7" i="3"/>
  <c r="O138" i="3"/>
  <c r="O6" i="3"/>
  <c r="O137" i="3"/>
  <c r="O31" i="3"/>
  <c r="O30" i="3"/>
  <c r="O156" i="3"/>
  <c r="O171" i="3"/>
  <c r="O173" i="3"/>
  <c r="O157" i="3"/>
  <c r="O181" i="3"/>
  <c r="O183" i="3"/>
  <c r="O185" i="3"/>
  <c r="O169" i="3"/>
  <c r="O12" i="3"/>
  <c r="O140" i="3"/>
  <c r="O11" i="3"/>
  <c r="O139" i="3"/>
  <c r="O73" i="3"/>
  <c r="L155" i="3"/>
  <c r="L32" i="3"/>
  <c r="L158" i="3"/>
  <c r="L154" i="3"/>
  <c r="L201" i="3"/>
  <c r="L6" i="3"/>
  <c r="L137" i="3"/>
  <c r="L31" i="3"/>
  <c r="L7" i="3"/>
  <c r="L138" i="3"/>
  <c r="L181" i="3"/>
  <c r="L157" i="3"/>
  <c r="L183" i="3"/>
  <c r="L169" i="3"/>
  <c r="L30" i="3"/>
  <c r="L171" i="3"/>
  <c r="L173" i="3"/>
  <c r="L156" i="3"/>
  <c r="L185" i="3"/>
  <c r="L73" i="3"/>
  <c r="L140" i="3"/>
  <c r="L139" i="3"/>
  <c r="L12" i="3"/>
  <c r="L11" i="3"/>
  <c r="L8" i="3"/>
  <c r="L175" i="3"/>
  <c r="L135" i="3"/>
  <c r="L71" i="3"/>
  <c r="L70" i="3"/>
  <c r="L36" i="3"/>
  <c r="L177" i="3"/>
  <c r="L37" i="3"/>
  <c r="M155" i="3"/>
  <c r="M138" i="3"/>
  <c r="M31" i="3"/>
  <c r="M6" i="3"/>
  <c r="M137" i="3"/>
  <c r="M201" i="3"/>
  <c r="M154" i="3"/>
  <c r="M32" i="3"/>
  <c r="M7" i="3"/>
  <c r="M158" i="3"/>
  <c r="M171" i="3"/>
  <c r="M181" i="3"/>
  <c r="M157" i="3"/>
  <c r="M183" i="3"/>
  <c r="M169" i="3"/>
  <c r="M156" i="3"/>
  <c r="M30" i="3"/>
  <c r="M173" i="3"/>
  <c r="M185" i="3"/>
  <c r="M11" i="3"/>
  <c r="M73" i="3"/>
  <c r="M139" i="3"/>
  <c r="M12" i="3"/>
  <c r="M140" i="3"/>
  <c r="M8" i="3"/>
  <c r="M37" i="3"/>
  <c r="M135" i="3"/>
  <c r="M71" i="3"/>
  <c r="M70" i="3"/>
  <c r="M175" i="3"/>
  <c r="M36" i="3"/>
  <c r="M177" i="3"/>
  <c r="O36" i="3"/>
  <c r="O177" i="3"/>
  <c r="O70" i="3"/>
  <c r="O175" i="3"/>
  <c r="O8" i="3"/>
  <c r="O71" i="3"/>
  <c r="O135" i="3"/>
  <c r="O37" i="3"/>
  <c r="L5" i="3"/>
  <c r="L4" i="3"/>
  <c r="L101" i="3"/>
  <c r="L102" i="3"/>
  <c r="L94" i="3"/>
  <c r="L55" i="3"/>
  <c r="L33" i="3"/>
  <c r="L118" i="3"/>
  <c r="L120" i="3"/>
  <c r="L124" i="3"/>
  <c r="L126" i="3"/>
  <c r="L128" i="3"/>
  <c r="L130" i="3"/>
  <c r="L160" i="3"/>
  <c r="L164" i="3"/>
  <c r="L77" i="3"/>
  <c r="L79" i="3"/>
  <c r="L80" i="3"/>
  <c r="L81" i="3"/>
  <c r="L82" i="3"/>
  <c r="L83" i="3"/>
  <c r="L85" i="3"/>
  <c r="L162" i="3"/>
  <c r="L166" i="3"/>
  <c r="M5" i="3"/>
  <c r="M4" i="3"/>
  <c r="O5" i="3"/>
  <c r="O4" i="3"/>
  <c r="O130" i="3"/>
  <c r="O79" i="3"/>
  <c r="O160" i="3"/>
  <c r="O81" i="3"/>
  <c r="O164" i="3"/>
  <c r="O101" i="3"/>
  <c r="O118" i="3"/>
  <c r="O82" i="3"/>
  <c r="O126" i="3"/>
  <c r="O55" i="3"/>
  <c r="O120" i="3"/>
  <c r="O83" i="3"/>
  <c r="O102" i="3"/>
  <c r="O33" i="3"/>
  <c r="O124" i="3"/>
  <c r="O85" i="3"/>
  <c r="O94" i="3"/>
  <c r="O162" i="3"/>
  <c r="O128" i="3"/>
  <c r="O77" i="3"/>
  <c r="O166" i="3"/>
  <c r="O80" i="3"/>
  <c r="M130" i="3"/>
  <c r="M79" i="3"/>
  <c r="M164" i="3"/>
  <c r="M80" i="3"/>
  <c r="M160" i="3"/>
  <c r="M81" i="3"/>
  <c r="M94" i="3"/>
  <c r="M101" i="3"/>
  <c r="M118" i="3"/>
  <c r="M82" i="3"/>
  <c r="M55" i="3"/>
  <c r="M120" i="3"/>
  <c r="M83" i="3"/>
  <c r="M126" i="3"/>
  <c r="M102" i="3"/>
  <c r="M33" i="3"/>
  <c r="M124" i="3"/>
  <c r="M85" i="3"/>
  <c r="M128" i="3"/>
  <c r="M77" i="3"/>
  <c r="M166" i="3"/>
  <c r="M162" i="3"/>
  <c r="O224" i="3"/>
  <c r="O3" i="3"/>
  <c r="L224" i="3"/>
  <c r="L3" i="3"/>
  <c r="M35" i="3"/>
  <c r="M224" i="3"/>
  <c r="M3" i="3"/>
  <c r="L197" i="3"/>
  <c r="L132" i="3"/>
  <c r="L218" i="3"/>
  <c r="L38" i="3"/>
  <c r="L48" i="3"/>
  <c r="L216" i="3"/>
  <c r="L46" i="3"/>
  <c r="L187" i="3"/>
  <c r="L195" i="3"/>
  <c r="L179" i="3"/>
  <c r="L208" i="3"/>
  <c r="L86" i="3"/>
  <c r="L54" i="3"/>
  <c r="L50" i="3"/>
  <c r="L191" i="3"/>
  <c r="L193" i="3"/>
  <c r="L212" i="3"/>
  <c r="L220" i="3"/>
  <c r="L52" i="3"/>
  <c r="L199" i="3"/>
  <c r="L60" i="3"/>
  <c r="L122" i="3"/>
  <c r="L222" i="3"/>
  <c r="L106" i="3"/>
  <c r="L61" i="3"/>
  <c r="L109" i="3"/>
  <c r="L40" i="3"/>
  <c r="L35" i="3"/>
  <c r="L116" i="3"/>
  <c r="L210" i="3"/>
  <c r="L111" i="3"/>
  <c r="L42" i="3"/>
  <c r="L214" i="3"/>
  <c r="L72" i="3"/>
  <c r="L113" i="3"/>
  <c r="L44" i="3"/>
  <c r="L189" i="3"/>
  <c r="O61" i="3"/>
  <c r="O212" i="3"/>
  <c r="O220" i="3"/>
  <c r="O54" i="3"/>
  <c r="O50" i="3"/>
  <c r="O48" i="3"/>
  <c r="O116" i="3"/>
  <c r="O222" i="3"/>
  <c r="O52" i="3"/>
  <c r="O106" i="3"/>
  <c r="O189" i="3"/>
  <c r="O210" i="3"/>
  <c r="O109" i="3"/>
  <c r="O40" i="3"/>
  <c r="O60" i="3"/>
  <c r="O197" i="3"/>
  <c r="O132" i="3"/>
  <c r="O214" i="3"/>
  <c r="O111" i="3"/>
  <c r="O42" i="3"/>
  <c r="O208" i="3"/>
  <c r="O86" i="3"/>
  <c r="O187" i="3"/>
  <c r="O195" i="3"/>
  <c r="O179" i="3"/>
  <c r="O216" i="3"/>
  <c r="O72" i="3"/>
  <c r="O113" i="3"/>
  <c r="O44" i="3"/>
  <c r="O199" i="3"/>
  <c r="O122" i="3"/>
  <c r="O191" i="3"/>
  <c r="O193" i="3"/>
  <c r="O218" i="3"/>
  <c r="O35" i="3"/>
  <c r="O46" i="3"/>
  <c r="O38" i="3"/>
  <c r="M199" i="3"/>
  <c r="M208" i="3"/>
  <c r="M86" i="3"/>
  <c r="M111" i="3"/>
  <c r="M113" i="3"/>
  <c r="M40" i="3"/>
  <c r="M116" i="3"/>
  <c r="M212" i="3"/>
  <c r="M220" i="3"/>
  <c r="M187" i="3"/>
  <c r="M216" i="3"/>
  <c r="M50" i="3"/>
  <c r="M109" i="3"/>
  <c r="M179" i="3"/>
  <c r="M222" i="3"/>
  <c r="M42" i="3"/>
  <c r="M214" i="3"/>
  <c r="M195" i="3"/>
  <c r="M44" i="3"/>
  <c r="M106" i="3"/>
  <c r="M189" i="3"/>
  <c r="M60" i="3"/>
  <c r="M122" i="3"/>
  <c r="M210" i="3"/>
  <c r="M72" i="3"/>
  <c r="M38" i="3"/>
  <c r="M46" i="3"/>
  <c r="M132" i="3"/>
  <c r="M61" i="3"/>
  <c r="M48" i="3"/>
  <c r="M52" i="3"/>
  <c r="M197" i="3"/>
  <c r="M191" i="3"/>
  <c r="M193" i="3"/>
  <c r="M218" i="3"/>
  <c r="M54" i="3"/>
  <c r="A23" i="5" l="1"/>
  <c r="A28" i="5"/>
  <c r="A27" i="5"/>
  <c r="A22" i="5"/>
  <c r="A26" i="5"/>
  <c r="A24" i="5"/>
  <c r="A29" i="5"/>
  <c r="A21" i="5"/>
  <c r="A19" i="5"/>
  <c r="A12" i="5"/>
  <c r="E12" i="5" s="1"/>
  <c r="A18" i="5"/>
  <c r="A13" i="5"/>
  <c r="A17" i="5"/>
  <c r="A14" i="5"/>
  <c r="A16" i="5"/>
  <c r="E13" i="5" l="1"/>
  <c r="E14" i="5" s="1"/>
  <c r="E16" i="5"/>
  <c r="E17" i="5" s="1"/>
  <c r="E18" i="5" s="1"/>
  <c r="E19" i="5" s="1"/>
  <c r="J16" i="5"/>
  <c r="I16" i="5"/>
  <c r="H16" i="5"/>
  <c r="K16" i="5"/>
  <c r="K29" i="5"/>
  <c r="J29" i="5"/>
  <c r="H29" i="5"/>
  <c r="I29" i="5"/>
  <c r="K14" i="5"/>
  <c r="J14" i="5"/>
  <c r="H14" i="5"/>
  <c r="I14" i="5"/>
  <c r="K24" i="5"/>
  <c r="J24" i="5"/>
  <c r="H24" i="5"/>
  <c r="I24" i="5"/>
  <c r="E21" i="5"/>
  <c r="E22" i="5" s="1"/>
  <c r="E23" i="5" s="1"/>
  <c r="E24" i="5" s="1"/>
  <c r="J21" i="5"/>
  <c r="I21" i="5"/>
  <c r="H21" i="5"/>
  <c r="K21" i="5"/>
  <c r="K17" i="5"/>
  <c r="J17" i="5"/>
  <c r="H17" i="5"/>
  <c r="I17" i="5"/>
  <c r="K22" i="5"/>
  <c r="J22" i="5"/>
  <c r="H22" i="5"/>
  <c r="I22" i="5"/>
  <c r="J18" i="5"/>
  <c r="I18" i="5"/>
  <c r="K18" i="5"/>
  <c r="H18" i="5"/>
  <c r="K27" i="5"/>
  <c r="J27" i="5"/>
  <c r="H27" i="5"/>
  <c r="I27" i="5"/>
  <c r="E26" i="5"/>
  <c r="E27" i="5" s="1"/>
  <c r="E28" i="5" s="1"/>
  <c r="E29" i="5" s="1"/>
  <c r="J26" i="5"/>
  <c r="I26" i="5"/>
  <c r="K26" i="5"/>
  <c r="H26" i="5"/>
  <c r="J13" i="5"/>
  <c r="I13" i="5"/>
  <c r="K13" i="5"/>
  <c r="H13" i="5"/>
  <c r="K12" i="5"/>
  <c r="J12" i="5"/>
  <c r="H12" i="5"/>
  <c r="I12" i="5"/>
  <c r="J28" i="5"/>
  <c r="I28" i="5"/>
  <c r="K28" i="5"/>
  <c r="H28" i="5"/>
  <c r="K19" i="5"/>
  <c r="J19" i="5"/>
  <c r="H19" i="5"/>
  <c r="I19" i="5"/>
  <c r="J23" i="5"/>
  <c r="I23" i="5"/>
  <c r="H23" i="5"/>
  <c r="K23" i="5"/>
  <c r="F23" i="5"/>
  <c r="C23" i="5"/>
  <c r="G23" i="5"/>
  <c r="D23" i="5"/>
  <c r="B23" i="5"/>
  <c r="G16" i="5"/>
  <c r="F16" i="5"/>
  <c r="D16" i="5"/>
  <c r="C16" i="5"/>
  <c r="B16" i="5"/>
  <c r="G21" i="5"/>
  <c r="F21" i="5"/>
  <c r="D21" i="5"/>
  <c r="C21" i="5"/>
  <c r="B21" i="5"/>
  <c r="G14" i="5"/>
  <c r="F14" i="5"/>
  <c r="D14" i="5"/>
  <c r="C14" i="5"/>
  <c r="B14" i="5"/>
  <c r="G29" i="5"/>
  <c r="F29" i="5"/>
  <c r="D29" i="5"/>
  <c r="C29" i="5"/>
  <c r="B29" i="5"/>
  <c r="G17" i="5"/>
  <c r="F17" i="5"/>
  <c r="D17" i="5"/>
  <c r="C17" i="5"/>
  <c r="B17" i="5"/>
  <c r="G11" i="5"/>
  <c r="F11" i="5"/>
  <c r="D11" i="5"/>
  <c r="C11" i="5"/>
  <c r="B11" i="5"/>
  <c r="F13" i="5"/>
  <c r="B13" i="5"/>
  <c r="C13" i="5"/>
  <c r="G13" i="5"/>
  <c r="D13" i="5"/>
  <c r="G18" i="5"/>
  <c r="F18" i="5"/>
  <c r="D18" i="5"/>
  <c r="C18" i="5"/>
  <c r="B18" i="5"/>
  <c r="F22" i="5"/>
  <c r="C22" i="5"/>
  <c r="G22" i="5"/>
  <c r="D22" i="5"/>
  <c r="B22" i="5"/>
  <c r="F24" i="5"/>
  <c r="G24" i="5"/>
  <c r="D24" i="5"/>
  <c r="C24" i="5"/>
  <c r="B24" i="5"/>
  <c r="G26" i="5"/>
  <c r="F26" i="5"/>
  <c r="D26" i="5"/>
  <c r="C26" i="5"/>
  <c r="B26" i="5"/>
  <c r="B12" i="5"/>
  <c r="C12" i="5"/>
  <c r="G12" i="5"/>
  <c r="D12" i="5"/>
  <c r="F12" i="5"/>
  <c r="G27" i="5"/>
  <c r="F27" i="5"/>
  <c r="D27" i="5"/>
  <c r="C27" i="5"/>
  <c r="B27" i="5"/>
  <c r="G28" i="5"/>
  <c r="F28" i="5"/>
  <c r="D28" i="5"/>
  <c r="C28" i="5"/>
  <c r="B28" i="5"/>
  <c r="G19" i="5"/>
  <c r="F19" i="5"/>
  <c r="D19" i="5"/>
  <c r="C19" i="5"/>
  <c r="B19" i="5"/>
  <c r="F43" i="5"/>
  <c r="B43" i="5"/>
  <c r="G43" i="5"/>
  <c r="C43" i="5"/>
  <c r="D43" i="5"/>
</calcChain>
</file>

<file path=xl/sharedStrings.xml><?xml version="1.0" encoding="utf-8"?>
<sst xmlns="http://schemas.openxmlformats.org/spreadsheetml/2006/main" count="5571" uniqueCount="745">
  <si>
    <t>UDC</t>
  </si>
  <si>
    <t>Ver</t>
  </si>
  <si>
    <t>OUA Cd</t>
  </si>
  <si>
    <t>Unit Title</t>
  </si>
  <si>
    <t>Pre-reqs</t>
  </si>
  <si>
    <t>Credits</t>
  </si>
  <si>
    <t>Availabilities</t>
  </si>
  <si>
    <t>Progress Notes</t>
  </si>
  <si>
    <r>
      <t>Curtin University</t>
    </r>
    <r>
      <rPr>
        <sz val="11"/>
        <color theme="0"/>
        <rFont val="Arial"/>
        <family val="2"/>
      </rPr>
      <t xml:space="preserve">
School of Media, Creative Arts and Social</t>
    </r>
  </si>
  <si>
    <t>2025 Full-Time Enrolment Planner</t>
  </si>
  <si>
    <t>Course:</t>
  </si>
  <si>
    <t>Master of Arts</t>
  </si>
  <si>
    <t xml:space="preserve">Course Version: </t>
  </si>
  <si>
    <t>Major:</t>
  </si>
  <si>
    <t>Digital Communications Major (MArts)</t>
  </si>
  <si>
    <t>Major Version:</t>
  </si>
  <si>
    <t>Commencing:</t>
  </si>
  <si>
    <t>Semester 1 (February - June)</t>
  </si>
  <si>
    <t>Credits to Complete:</t>
  </si>
  <si>
    <t>Course Notes:</t>
  </si>
  <si>
    <t>2025 Availabilities</t>
  </si>
  <si>
    <t>Year 1</t>
  </si>
  <si>
    <t>Study Period</t>
  </si>
  <si>
    <t>Pre Requisites</t>
  </si>
  <si>
    <t>CP</t>
  </si>
  <si>
    <t>Sem1 BEN</t>
  </si>
  <si>
    <t>Sem1 FO</t>
  </si>
  <si>
    <t>Sem2 BEN</t>
  </si>
  <si>
    <t>Sem2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</si>
  <si>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</si>
  <si>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</si>
  <si>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</si>
  <si>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</si>
  <si>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</si>
  <si>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</si>
  <si>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Post Graduate MCASI (not LARIS)</t>
  </si>
  <si>
    <t>TableCourses</t>
  </si>
  <si>
    <t>RangeMARTSUnitsets</t>
  </si>
  <si>
    <t>MJRP-CWRITSem1</t>
  </si>
  <si>
    <t>MJRP-CWRITSem2</t>
  </si>
  <si>
    <t>MJRP-DGCMSSem1</t>
  </si>
  <si>
    <t>MJRP-DGCMSSem2</t>
  </si>
  <si>
    <t>MJRP-FINARSem1</t>
  </si>
  <si>
    <t>MJRP-FINARSem2</t>
  </si>
  <si>
    <t>MJRP-PWRITSem1</t>
  </si>
  <si>
    <t>MJRP-PWRITSem2</t>
  </si>
  <si>
    <t>MJRP-SCRARSem1</t>
  </si>
  <si>
    <t>MJRP-SCRARSem2</t>
  </si>
  <si>
    <t>Choose your Course</t>
  </si>
  <si>
    <t>SM Version</t>
  </si>
  <si>
    <t>SM Effective Date</t>
  </si>
  <si>
    <t>Akari Iteration</t>
  </si>
  <si>
    <t>Akari Effective Date</t>
  </si>
  <si>
    <t>Credit Points</t>
  </si>
  <si>
    <t>SM Availabilities</t>
  </si>
  <si>
    <t>Y1Sem1</t>
  </si>
  <si>
    <t>COMS5003</t>
  </si>
  <si>
    <t>Y1Sem2</t>
  </si>
  <si>
    <t>MC-ARTS</t>
  </si>
  <si>
    <t>v.4</t>
  </si>
  <si>
    <t>400 credit points required</t>
  </si>
  <si>
    <t>INT - Sem1; Sem2</t>
  </si>
  <si>
    <t>Opt-CWRIT</t>
  </si>
  <si>
    <t>Opt-DGCMS</t>
  </si>
  <si>
    <t>AC-DGCMS1</t>
  </si>
  <si>
    <t>AC-FINAR1</t>
  </si>
  <si>
    <t>Opt-PWRITY1</t>
  </si>
  <si>
    <t>SCWR5000</t>
  </si>
  <si>
    <t>SPRO5000</t>
  </si>
  <si>
    <t>Graduate Certificate in Multimedia Journalism</t>
  </si>
  <si>
    <t>GC-MMJRN</t>
  </si>
  <si>
    <t>v.2</t>
  </si>
  <si>
    <t>100 credit points required</t>
  </si>
  <si>
    <t>INT - Sem1</t>
  </si>
  <si>
    <t>Opt-FINARY1</t>
  </si>
  <si>
    <t>SPRO5005</t>
  </si>
  <si>
    <t>Graduate Diploma in Multimedia Journalism</t>
  </si>
  <si>
    <t>GD-MMJRN</t>
  </si>
  <si>
    <t>200 credit points required</t>
  </si>
  <si>
    <t>EXIT AWARD ONLY; No 2025 Availabilities</t>
  </si>
  <si>
    <t>SCST5008</t>
  </si>
  <si>
    <t>Master of Multimedia Journalism</t>
  </si>
  <si>
    <t>MC-MMJRN</t>
  </si>
  <si>
    <t>300 credit points required</t>
  </si>
  <si>
    <t>COMS6005</t>
  </si>
  <si>
    <t>Master of Multimedia Journalism (Global)</t>
  </si>
  <si>
    <t>MC-MMJRG</t>
  </si>
  <si>
    <t>v.1</t>
  </si>
  <si>
    <t>Graduate Certificate in Human Rights</t>
  </si>
  <si>
    <t>GC-HRIGHT</t>
  </si>
  <si>
    <t>INT &amp; FO - Sem1; Sem2</t>
  </si>
  <si>
    <t>SPRO5006</t>
  </si>
  <si>
    <t>Graduate Diploma in Human Rights</t>
  </si>
  <si>
    <t>GD-HRIGHT</t>
  </si>
  <si>
    <t>AC-SCRAR1</t>
  </si>
  <si>
    <t>Master of Human Rights</t>
  </si>
  <si>
    <t>MC-HRIGHT</t>
  </si>
  <si>
    <t>Y2Sem1</t>
  </si>
  <si>
    <t>Y2Sem2</t>
  </si>
  <si>
    <t>Opt-FINARY2</t>
  </si>
  <si>
    <t>Opt-PWRITY2</t>
  </si>
  <si>
    <t>SPRO5008</t>
  </si>
  <si>
    <t>Opt-SCRAR</t>
  </si>
  <si>
    <t>Master of Human Rights and Global Engagement</t>
  </si>
  <si>
    <t>MC-HRIGLO</t>
  </si>
  <si>
    <t>Graduate Certificate in Digital and Social Media</t>
  </si>
  <si>
    <t>GC-NETSCM</t>
  </si>
  <si>
    <t>Deactivating</t>
  </si>
  <si>
    <t>None</t>
  </si>
  <si>
    <t>Graduate Diploma in Digital and Social Media</t>
  </si>
  <si>
    <t>GD-NETSCM</t>
  </si>
  <si>
    <t>Master of Digital and Social Media</t>
  </si>
  <si>
    <t>MC-NETSCM</t>
  </si>
  <si>
    <t>v.3</t>
  </si>
  <si>
    <t>Graduate Certificate in International Relations and National Security</t>
  </si>
  <si>
    <t>GC-INTRNS</t>
  </si>
  <si>
    <t>Graduate Diploma in International Relations and National Security</t>
  </si>
  <si>
    <t>GD-INTRNS</t>
  </si>
  <si>
    <t>AC-CWRIT</t>
  </si>
  <si>
    <t>AC-DGCMS2</t>
  </si>
  <si>
    <t>AC-FINAR2</t>
  </si>
  <si>
    <t>AC-PWRIT</t>
  </si>
  <si>
    <t>AC-SCRAR2</t>
  </si>
  <si>
    <t>Master of International Relations and National Security</t>
  </si>
  <si>
    <t>MC-INTRNS</t>
  </si>
  <si>
    <t>-</t>
  </si>
  <si>
    <t>Graduate Certificate in Indo-Pacific Security</t>
  </si>
  <si>
    <t>GC-IPCSEC</t>
  </si>
  <si>
    <t>50CP Unit</t>
  </si>
  <si>
    <t>Graduate Certificate in Intelligence Analysis</t>
  </si>
  <si>
    <t>GC-INTELL</t>
  </si>
  <si>
    <t>AltCore Check</t>
  </si>
  <si>
    <t>Graduate Certificate in International Security</t>
  </si>
  <si>
    <t>GC-INTSEC</t>
  </si>
  <si>
    <t>S1 - VISA5008</t>
  </si>
  <si>
    <t>S2 - VISA5011</t>
  </si>
  <si>
    <t>S1 - NETS5010</t>
  </si>
  <si>
    <t>S2 - CWRI6000</t>
  </si>
  <si>
    <t>Graduate Diploma in International Security</t>
  </si>
  <si>
    <t>GD-INTSEC</t>
  </si>
  <si>
    <t>Master of International Security</t>
  </si>
  <si>
    <t>MC-INTSEC</t>
  </si>
  <si>
    <t>Master of International Relations</t>
  </si>
  <si>
    <t>MC-INTREL</t>
  </si>
  <si>
    <t>RangeMARTSAltCore</t>
  </si>
  <si>
    <t>MJRP-CWRIT</t>
  </si>
  <si>
    <t>MJRP-DGCMS</t>
  </si>
  <si>
    <t>MJRP-FINAR</t>
  </si>
  <si>
    <t>MJRP-PWRIT</t>
  </si>
  <si>
    <t>MJRP-SCRAR</t>
  </si>
  <si>
    <t>Graduate Certificate in Global Engagement</t>
  </si>
  <si>
    <t>GC-GLOBL</t>
  </si>
  <si>
    <t>INT &amp; FO - Sem1</t>
  </si>
  <si>
    <t>Master of Global Engagement (HRIGT Stream)</t>
  </si>
  <si>
    <t>MC-GLOBL(HR)</t>
  </si>
  <si>
    <t>COMS6004</t>
  </si>
  <si>
    <t>NETS5000</t>
  </si>
  <si>
    <t>VISA5008</t>
  </si>
  <si>
    <t>CWRI6000</t>
  </si>
  <si>
    <t>Master of Global Engagement (INTRN Stream)</t>
  </si>
  <si>
    <t>MC-GLOBL(IR)</t>
  </si>
  <si>
    <t>HUMN6003</t>
  </si>
  <si>
    <t>NETS5001</t>
  </si>
  <si>
    <t>VISA5011</t>
  </si>
  <si>
    <t>NETS5010</t>
  </si>
  <si>
    <t>Master of Global Engagement (Advanced)</t>
  </si>
  <si>
    <t>MC-GLOBL2</t>
  </si>
  <si>
    <t xml:space="preserve"> </t>
  </si>
  <si>
    <t>TableMajors</t>
  </si>
  <si>
    <t>Choose your Major (drop-down list)</t>
  </si>
  <si>
    <t>Creative Writing Major (MArts)</t>
  </si>
  <si>
    <t>RangeMARTSOptions</t>
  </si>
  <si>
    <t>Fine Art Major (MArts)</t>
  </si>
  <si>
    <t>50CP</t>
  </si>
  <si>
    <t>Opt-FINAR1</t>
  </si>
  <si>
    <t>Opt-PWRIT1</t>
  </si>
  <si>
    <t>Professional Writing and Publishing Major (MArts)</t>
  </si>
  <si>
    <t>COMS6002</t>
  </si>
  <si>
    <t>INDS6004</t>
  </si>
  <si>
    <t>Screen Arts Major (MArts)</t>
  </si>
  <si>
    <t>4 iterations of changes</t>
  </si>
  <si>
    <t>HUMN6001</t>
  </si>
  <si>
    <t>NETS5005</t>
  </si>
  <si>
    <t>VISA5009</t>
  </si>
  <si>
    <t>PWRP5003</t>
  </si>
  <si>
    <t>TableStreamsGLOBL</t>
  </si>
  <si>
    <t>25CP</t>
  </si>
  <si>
    <t>PWRP5006</t>
  </si>
  <si>
    <t>Choose your Global Engagement Stream (drop-down list)</t>
  </si>
  <si>
    <t>CWRI5000</t>
  </si>
  <si>
    <t>INFO5007</t>
  </si>
  <si>
    <t>VISA5012</t>
  </si>
  <si>
    <t>PWRP5019</t>
  </si>
  <si>
    <t>Human Rights Stream (M Global Engagement)</t>
  </si>
  <si>
    <t>STRP-HRIGT</t>
  </si>
  <si>
    <t>CWRI5003</t>
  </si>
  <si>
    <t>MKTG6010</t>
  </si>
  <si>
    <t>VISA5013</t>
  </si>
  <si>
    <t>PWRP5021</t>
  </si>
  <si>
    <t>INDS6001</t>
  </si>
  <si>
    <t>International Relations and National Security Stream (M Global Engagement)</t>
  </si>
  <si>
    <t>STRP-INTRN</t>
  </si>
  <si>
    <t>CWRI5014</t>
  </si>
  <si>
    <t>VISA5014</t>
  </si>
  <si>
    <t>PWRP5022</t>
  </si>
  <si>
    <t>ISYS5001</t>
  </si>
  <si>
    <t>Global Engagement Stream (M Global Engagement)</t>
  </si>
  <si>
    <t>STRP-GLOBL</t>
  </si>
  <si>
    <t>CWRI5015</t>
  </si>
  <si>
    <t>PWRP5023</t>
  </si>
  <si>
    <t>JOUR5005</t>
  </si>
  <si>
    <t>CWRI5016</t>
  </si>
  <si>
    <t>NETS5003</t>
  </si>
  <si>
    <t>Opt-FINAR2</t>
  </si>
  <si>
    <t>CWRI5017</t>
  </si>
  <si>
    <t>NETS5004</t>
  </si>
  <si>
    <t>Opt-PWRIT2</t>
  </si>
  <si>
    <t>TableStudyPeriods</t>
  </si>
  <si>
    <t>CWRI5018</t>
  </si>
  <si>
    <t>SPRO5001</t>
  </si>
  <si>
    <t>Choose your commencing study period (drop-down list)</t>
  </si>
  <si>
    <t>START</t>
  </si>
  <si>
    <t>Next</t>
  </si>
  <si>
    <t>NETS5006</t>
  </si>
  <si>
    <t>SPRO5004</t>
  </si>
  <si>
    <t>Sem1</t>
  </si>
  <si>
    <t>Sem2</t>
  </si>
  <si>
    <t>NETS5007</t>
  </si>
  <si>
    <t>Semester 2 (July -  November)</t>
  </si>
  <si>
    <t>NETS5009</t>
  </si>
  <si>
    <t>PWRP5015</t>
  </si>
  <si>
    <t>NETS5011</t>
  </si>
  <si>
    <t>1)      Update high level course / component &amp; study period details (Unitsets Tab)</t>
  </si>
  <si>
    <t>VISA6008</t>
  </si>
  <si>
    <t>2)      Update Planner page(s) to reference year of planner e.g. “2025” (Planner Tab)</t>
  </si>
  <si>
    <t>VISA6011</t>
  </si>
  <si>
    <t>3)      Update structures (Structures Tab)</t>
  </si>
  <si>
    <t>VISA6012</t>
  </si>
  <si>
    <t>4)      Update Handbook unit list from updated structures (Handbook Tab)</t>
  </si>
  <si>
    <t>PWRP5000</t>
  </si>
  <si>
    <t>5)      Update Availabilities using updated Handbook unit list (Availabilities Tab)</t>
  </si>
  <si>
    <t>6)      Update Pre Requisites (Handbook Tab)</t>
  </si>
  <si>
    <t>7)      Update sequences for courses / components (Unitsets Tab)</t>
  </si>
  <si>
    <t>For Review</t>
  </si>
  <si>
    <t>PWRP5024</t>
  </si>
  <si>
    <t>8)      Review Handbook Tab for obvious issues / errors and enter notes (Handbook Tab)</t>
  </si>
  <si>
    <t>9)      Review Planner Tab(s) for obvious issues / errors (Planner Tab)</t>
  </si>
  <si>
    <t>Pre Reqs not available to students</t>
  </si>
  <si>
    <t>GRDE5000</t>
  </si>
  <si>
    <t>GRDE5003</t>
  </si>
  <si>
    <t>3/12/2024 - Dump availabilities again and publish M-ARTS</t>
  </si>
  <si>
    <t>RangeMARTSCourseNotes</t>
  </si>
  <si>
    <t>Students are required to complete a 50 credit project or a 100 credit research project. Students choosing to do the 100 credit research project must first enrol in HUMN6001 Masters Research Project 1 from the Year 2 Option List, and follow with HUMN6003 Masters Research Project 2 in their final semester. HUMN6001 and HUMN6003 cannot be taken in the same semester. The following 3 units, HUMN6001 Masters Research Project 1, COMS6004 Masters Professional or Creative Project, and COMS6002 Masters Professional Experience all require completion of 100 credits as a pre-requisite for enrolment.</t>
  </si>
  <si>
    <t>Alternate Core &amp; Option Units</t>
  </si>
  <si>
    <t>2025 Enrolment Planner</t>
  </si>
  <si>
    <t>Alternate Core / Option Units</t>
  </si>
  <si>
    <t>Progress</t>
  </si>
  <si>
    <t>Choose your Human Rights Course (drop-down list)</t>
  </si>
  <si>
    <t>RangeHRIGHTUnitsets</t>
  </si>
  <si>
    <t>GC-HRIGHTSem1</t>
  </si>
  <si>
    <t>GC-HRIGHTSem2</t>
  </si>
  <si>
    <t>GD-HRIGHTSem1</t>
  </si>
  <si>
    <t>GD-HRIGHTSem2</t>
  </si>
  <si>
    <t>MC-HRIGHTSem1</t>
  </si>
  <si>
    <t>MC-HRIGHTSem2</t>
  </si>
  <si>
    <t>MC-HRIGLOSem1</t>
  </si>
  <si>
    <t>MC-HRIGLOSem2</t>
  </si>
  <si>
    <t>-PT-</t>
  </si>
  <si>
    <t>Exit Award Only</t>
  </si>
  <si>
    <t>---</t>
  </si>
  <si>
    <t>HRIG5014</t>
  </si>
  <si>
    <t>HRIG5013</t>
  </si>
  <si>
    <t>HRIG5000</t>
  </si>
  <si>
    <t>HRIG5001</t>
  </si>
  <si>
    <t>HRIG5003</t>
  </si>
  <si>
    <t>GLBL5000</t>
  </si>
  <si>
    <t>Elective</t>
  </si>
  <si>
    <t>GLBL5001</t>
  </si>
  <si>
    <t>Seems OK</t>
  </si>
  <si>
    <t>3/12/2024 - Hold, don't publish yet, Meg will let us know.</t>
  </si>
  <si>
    <t>AC-HRIGHT1</t>
  </si>
  <si>
    <t>HRIG5002</t>
  </si>
  <si>
    <t>GLBL5002</t>
  </si>
  <si>
    <t>GLBL5003</t>
  </si>
  <si>
    <t>AC-HRIGHT2</t>
  </si>
  <si>
    <t>AC-HRIGLO1</t>
  </si>
  <si>
    <t>AC-HRIGLO2</t>
  </si>
  <si>
    <t>Only P-T Available</t>
  </si>
  <si>
    <t>Not available FT in Sem1</t>
  </si>
  <si>
    <t>RangeHRIGHTOptions</t>
  </si>
  <si>
    <t>HRIG5004</t>
  </si>
  <si>
    <t>Choose your Multimedia Journalism Course (drop-down list)</t>
  </si>
  <si>
    <t>RangeMMJRNUnitsets</t>
  </si>
  <si>
    <t>GC-MMJRNSem1</t>
  </si>
  <si>
    <t>GC-MMJRNSem2</t>
  </si>
  <si>
    <t>GD-MMJRNSem1</t>
  </si>
  <si>
    <t>GD-MMJRNSem2</t>
  </si>
  <si>
    <t>MC-MMJRNSem1</t>
  </si>
  <si>
    <t>MC-MMJRNSem2</t>
  </si>
  <si>
    <t>MC-MMJRGSem1</t>
  </si>
  <si>
    <t>MC-MMJRGSem2</t>
  </si>
  <si>
    <t>JOUR5003</t>
  </si>
  <si>
    <t>JOUR5002</t>
  </si>
  <si>
    <t>Opt-MMJRG</t>
  </si>
  <si>
    <t>JOUR5012</t>
  </si>
  <si>
    <t>JOUR5000</t>
  </si>
  <si>
    <t>JOUR5016</t>
  </si>
  <si>
    <t>JOUR5004</t>
  </si>
  <si>
    <t>GC-MMJRN - change to availability for JOUR5005 means can no longer complete in Sem1</t>
  </si>
  <si>
    <t>JOUR5010</t>
  </si>
  <si>
    <t>MC-MMJRN - switched JOUR5005 &amp; JOUR5000 due to availability changes.</t>
  </si>
  <si>
    <t>MC-MMJRG - switched JOUR5005 &amp; JOUR5000 due to availability changes.</t>
  </si>
  <si>
    <t>JOUR6004</t>
  </si>
  <si>
    <t>AC-MMJRN</t>
  </si>
  <si>
    <t>AC-MMJRG</t>
  </si>
  <si>
    <t>Availability Change to Sem2</t>
  </si>
  <si>
    <t>RangeMMJRNOptions</t>
  </si>
  <si>
    <t>--</t>
  </si>
  <si>
    <t>JOUR5006</t>
  </si>
  <si>
    <t>HRIG5005</t>
  </si>
  <si>
    <t>INTR5002</t>
  </si>
  <si>
    <t>INTR5006</t>
  </si>
  <si>
    <t>POLS5000</t>
  </si>
  <si>
    <t>POLS5004</t>
  </si>
  <si>
    <t>Choose your Digital and Social Media Course (drop-down list)</t>
  </si>
  <si>
    <t>RangeNETSCMUnitsets</t>
  </si>
  <si>
    <t>GC-NETSCMSem1</t>
  </si>
  <si>
    <t>GC-NETSCMSem2</t>
  </si>
  <si>
    <t>GD-NETSCMSem1</t>
  </si>
  <si>
    <t>GD-NETSCMSem2</t>
  </si>
  <si>
    <t>MC-NETSCMSem1</t>
  </si>
  <si>
    <t>MC-NETSCMSem2</t>
  </si>
  <si>
    <t>AC-NETSCM</t>
  </si>
  <si>
    <t>Opt-NETSCM</t>
  </si>
  <si>
    <t>22/03/2024 - MC-NETSCM only 4 of 8 Options available EACH Semester</t>
  </si>
  <si>
    <t>RangeNETSCMOptions</t>
  </si>
  <si>
    <t>Choose your Course (drop-down list)</t>
  </si>
  <si>
    <t>RangeINTRNSUnitsets</t>
  </si>
  <si>
    <t>GC-IPCSECSem1</t>
  </si>
  <si>
    <t>GC-IPCSECSem2</t>
  </si>
  <si>
    <t>GC-INTELLSem1</t>
  </si>
  <si>
    <t>GC-INTELLSem2</t>
  </si>
  <si>
    <t>GC-INTSECSem1</t>
  </si>
  <si>
    <t>GC-INTSECSem2</t>
  </si>
  <si>
    <t>GD-INTSECSem1</t>
  </si>
  <si>
    <t>GD-INTSECSem2</t>
  </si>
  <si>
    <t>MC-INTSECSem1</t>
  </si>
  <si>
    <t>MC-INTSECSem2</t>
  </si>
  <si>
    <t>MC-INTRELSem1</t>
  </si>
  <si>
    <t>MC-INTRELSem2</t>
  </si>
  <si>
    <t>POLS5003</t>
  </si>
  <si>
    <t>POLS5002</t>
  </si>
  <si>
    <t>INTR5004</t>
  </si>
  <si>
    <t>INTR5009</t>
  </si>
  <si>
    <t>Opt-INTSEC</t>
  </si>
  <si>
    <t>Opt-INTREL</t>
  </si>
  <si>
    <t>AC-INTSEC1</t>
  </si>
  <si>
    <t>AC-INTSEC2</t>
  </si>
  <si>
    <t>AC-INTREL1</t>
  </si>
  <si>
    <t>AC-INTREL2</t>
  </si>
  <si>
    <t>RangeINTRNSOptions</t>
  </si>
  <si>
    <t>RangeStructureNotes</t>
  </si>
  <si>
    <t>This course is one year part-time study. Due to unit availability, this course is not available for full-time study. This course has a February and July intake.</t>
  </si>
  <si>
    <t>AC-INTSEC3</t>
  </si>
  <si>
    <t>This course is 6 months full-time or equivalent part-time study. This course has a February and July intake.</t>
  </si>
  <si>
    <t>Units COMS6002 Masters Professional Experience, and COMS6004 Masters Professional or Creative Project, require completion of 100 credits as a pre-requisite for enrolment. Students transitioning to the Master of International Security and wishing to take HUMN6001 Masters Research Project 1 and HUMN6003 Masters Research Project 2 must contact the Course Coordinator to discuss taking HUMN6001 in the final semester of the Graduate Diploma in International Security, instead of COMS6004 Masters Professional or Creative Project.</t>
  </si>
  <si>
    <t>After completing the first 100 credits in the course, you choose to do a small project COMS6004 AND professional experience (Internship) COMS6002 OR the 100 credit project (HUMN6001 + HUMN6003), along with the listed option units. N.B. HUMN6001 must be studied in an earlier study period to HUMN6003, as it is the pre-requisite. HUMN6001 and HUMN6003 cannot be taken in the same semester. The following 3 units, HUMN6001 Masters Research Project 1, COMS6004 Masters Professional or Creative Project, and COMS6002 Masters Professional Experience all require completion of 100 credits as a pre-requisite for enrolment.</t>
  </si>
  <si>
    <t>Opt-INTSEC.</t>
  </si>
  <si>
    <t>In the second year of the course students must choose either a research pathway or a project pathway. Students choosing the research pathway do HUMN6001 Masters Research Project 1 (50 credit points) followed by HUMN6003 Masters Research Project 2 (50 credit points) - in consecutive study periods. Students choosing the project pathway do COMS6004 Masters Professional or Creative Project (50 credit points) and COMS6002 Masters Professional Experience (50 credit points).</t>
  </si>
  <si>
    <t>INTR5001</t>
  </si>
  <si>
    <t>This fee paying course is only available for part-time study and the minimum completion time is 1 year.</t>
  </si>
  <si>
    <t>This fee-paying course is 18 months full-time or equivalent part-time study. Students can commence study in either February or July, but full-time study is only available for students commencing in July. Students should enrol in either HRIG5013 or HRIG5014 in their first semester of study. Students wanting to enrol into HUMN6003 must have passed HUMN6001 in a prior study period. Alternatively, students may choose to complete the Alternate Cores COMS6004 and COMS6002.</t>
  </si>
  <si>
    <t>INTR5003</t>
  </si>
  <si>
    <t>Students should enrol in either HRIG5013 or HRIG5014 in their first semester of study. Students wanting to enrol into HUMN6003 must have passed HUMN6001 in a prior study period. Alternatively, students may choose to complete the Alternate Cores COMS6004 and COMS6002. Students are recommended to complete COMS6004 prior to enrolling in COMS6002.</t>
  </si>
  <si>
    <t>Opt-INTREL.</t>
  </si>
  <si>
    <t>This course is for Semester 1 intake only.</t>
  </si>
  <si>
    <t>INTR5005</t>
  </si>
  <si>
    <t>1.) This course is recommended for Semester 1 intake only for full time study. 2.) All students admitted to MC-GLOBL must select Core Stream STRP-GLOBL Global Engagement and either STRP-INTRN International Relations and National Security Stream OR STRP-HRIGT Human Rights Stream from the Option List. 3.) Students must choose between the Research units OR the Professional Experience/Project. Students must complete 100cp before enrolling in the Research units or the Professional Experience/Project units. 4.) Students wanting to enrol in the Research units must enrol in HUMN6001 on completion of 100cp and HUMN6003 in the final semester of study. Alternatively, students may choose to complete the Alternate Cores COMS6004 on completion of 100cp and COMS6002 in the final semester of study.</t>
  </si>
  <si>
    <t>INTR5008</t>
  </si>
  <si>
    <t>1.) All students admitted to MC-GLOBL2 must select Stream 1, Stream 2 and Stream 3 2.) In the second year, students must choose between the two 50cp Research units (HUMN6001 and HUMN6003) OR the two 50cp Professional Experience/Project units (COMS6002 and COMS6004) 3.) Students wanting to enrol in HUMN6003 must have passed HUMN6001 in a prior study period as it is a pre-requisite for that unit. Alternatively, students may choose to complete the Alternate Cores COMS6004 and COMS6002. Students are recommended to complete COMS6004 prior to enrolling in COMS6002. 4.) Students must complete 100cp before enrolling in the Research units or the Professional Experience/Project units</t>
  </si>
  <si>
    <t>This course is 1.5 years full-time or equivalent part-time study. This course is only offered for a start in Semester 1 of each calendar year.</t>
  </si>
  <si>
    <t>This course is two years full-time or equivalent part-time study. Mid-year intake is available, however, this may increase the course duration. Students who enrol mid-year are advised to enrol in the Option units and then move into the Journalism units in Semester 1 of the following year.</t>
  </si>
  <si>
    <t>RangeGLOBLUnitsets</t>
  </si>
  <si>
    <t>GC-GLOBLSem1</t>
  </si>
  <si>
    <t>GC-GLOBLSem2</t>
  </si>
  <si>
    <t>MC-GLOBL(HR)Sem1</t>
  </si>
  <si>
    <t>MC-GLOBL(HR)Sem2</t>
  </si>
  <si>
    <t>MC-GLOBL(IR)Sem1</t>
  </si>
  <si>
    <t>MC-GLOBL(IR)Sem2</t>
  </si>
  <si>
    <t>MC-GLOBL2Sem1</t>
  </si>
  <si>
    <t>MC-GLOBL2Sem2</t>
  </si>
  <si>
    <t>AC-INTRNSt</t>
  </si>
  <si>
    <t>Opt-INTRNSt</t>
  </si>
  <si>
    <t>Choose your Global Engagement Course (drop-down list)</t>
  </si>
  <si>
    <t>MC-GLOBL</t>
  </si>
  <si>
    <t>Opt-HRIGTSt</t>
  </si>
  <si>
    <t>AC-GLOBL1</t>
  </si>
  <si>
    <t>MC-GLOBL2 - can only study 1 of 3 AC units due to availabilities</t>
  </si>
  <si>
    <t>AC-GLOBL2</t>
  </si>
  <si>
    <t>Can only study 1 of 3</t>
  </si>
  <si>
    <t>RangeGLOBLOptions</t>
  </si>
  <si>
    <t xml:space="preserve">Credits to Complete: </t>
  </si>
  <si>
    <t>Title</t>
  </si>
  <si>
    <t>Pre-reqs (22/10/2024)</t>
  </si>
  <si>
    <t>S1INT</t>
  </si>
  <si>
    <t>S1FO</t>
  </si>
  <si>
    <t>S2INT</t>
  </si>
  <si>
    <t>S2FO</t>
  </si>
  <si>
    <t>Notes</t>
  </si>
  <si>
    <t>Please note this is a 50CP Unit</t>
  </si>
  <si>
    <t>Not applicable to this Course</t>
  </si>
  <si>
    <t>Not available for full-time study with commencement this Study Period</t>
  </si>
  <si>
    <t>Contact Course Coordinator</t>
  </si>
  <si>
    <t>25 Credit Point Units</t>
  </si>
  <si>
    <t>50 Credit Point Units</t>
  </si>
  <si>
    <t>Study either COMS6004 or HUMN6003 (see below)</t>
  </si>
  <si>
    <t>See below</t>
  </si>
  <si>
    <t>Study either NETS5000 or NETS5001 (see below)</t>
  </si>
  <si>
    <t>Study either VISA5008 or VISA5011 (see below)</t>
  </si>
  <si>
    <t>Study either COMS6004 or HUMN6001 (see below)</t>
  </si>
  <si>
    <t>Study either COMS6002 or HUMN6003 (see below)</t>
  </si>
  <si>
    <t>AC-INTRNS</t>
  </si>
  <si>
    <t>Study either INTR5001 or POLS5003 (see below)</t>
  </si>
  <si>
    <t>AC-INTRNSGC</t>
  </si>
  <si>
    <t>Study one of INTR5001 or POLS5000 or POLS5003 (see below)</t>
  </si>
  <si>
    <t>Study either POLS5000 or POLS5003 (see below)</t>
  </si>
  <si>
    <t>Study either JOUR5006 or NETS5004 (see below)</t>
  </si>
  <si>
    <t>Study either COMS6004 or HUMN6003</t>
  </si>
  <si>
    <t>Study either CWRI6000 or NETS5010</t>
  </si>
  <si>
    <t>COMS5002</t>
  </si>
  <si>
    <t>Study Tour (with Approval)</t>
  </si>
  <si>
    <t>See Handbook</t>
  </si>
  <si>
    <t>Approaches to Arts Research</t>
  </si>
  <si>
    <t>New Version 2025</t>
  </si>
  <si>
    <t>COMS5003.PO</t>
  </si>
  <si>
    <t>Approaches to Arts Research Projects</t>
  </si>
  <si>
    <t>Phasing Out</t>
  </si>
  <si>
    <t>Masters Professional Experience</t>
  </si>
  <si>
    <t>Course specific - See Handbook</t>
  </si>
  <si>
    <t>Masters Professional or Creative Project</t>
  </si>
  <si>
    <t>Planning an Arts Research Project</t>
  </si>
  <si>
    <t>Graduate Writing Long Fiction</t>
  </si>
  <si>
    <t>CWRI5000.PO</t>
  </si>
  <si>
    <t>Writing Long Fiction</t>
  </si>
  <si>
    <t>Graduate Writing for Children</t>
  </si>
  <si>
    <t>CWRI5003.PO</t>
  </si>
  <si>
    <t>Writing for Children</t>
  </si>
  <si>
    <t>Graduate Writing Genre Fiction</t>
  </si>
  <si>
    <t>CWRI5014.PO</t>
  </si>
  <si>
    <t>Writing Genre Fiction</t>
  </si>
  <si>
    <t>Graduate Travel Writing</t>
  </si>
  <si>
    <t>CWRI5015.PO</t>
  </si>
  <si>
    <t>Travel Writing</t>
  </si>
  <si>
    <t>Graduate Writing Poetry</t>
  </si>
  <si>
    <t>CWRI5016.PO</t>
  </si>
  <si>
    <t>Writing Poetry</t>
  </si>
  <si>
    <t>Graduate Experimental Writing</t>
  </si>
  <si>
    <t>CWRI5017.PO</t>
  </si>
  <si>
    <t>Experimental Writing</t>
  </si>
  <si>
    <t>Graduate Writing Short Fiction</t>
  </si>
  <si>
    <t>CWRI5018.PO</t>
  </si>
  <si>
    <t>Writing Short Fiction</t>
  </si>
  <si>
    <t>Graduate Engaging Narrative</t>
  </si>
  <si>
    <t>CWRI6000.PO</t>
  </si>
  <si>
    <t>Engaging Narrative</t>
  </si>
  <si>
    <t>Study a postgraduate level Elective unit</t>
  </si>
  <si>
    <t>Engaging Cultural Diversity</t>
  </si>
  <si>
    <t>Global Futures and Just Transformations</t>
  </si>
  <si>
    <t>Engaging Africa</t>
  </si>
  <si>
    <t>Engaging Asia</t>
  </si>
  <si>
    <t>Design Computing</t>
  </si>
  <si>
    <t>No availabilities since 2021</t>
  </si>
  <si>
    <t>Typography</t>
  </si>
  <si>
    <t>Human Rights Education in Practice</t>
  </si>
  <si>
    <t>Social Justice and Development</t>
  </si>
  <si>
    <t>International Human Rights Law and Practice</t>
  </si>
  <si>
    <t>Activism, Advocacy and Change</t>
  </si>
  <si>
    <t>Forced Migration and Refugee Rights</t>
  </si>
  <si>
    <t>Indigenous Rights</t>
  </si>
  <si>
    <t>Introduction to Human Rights and Social Justice</t>
  </si>
  <si>
    <t>Dialogue across Cultures and Religions</t>
  </si>
  <si>
    <t>Masters Research Project 1 (* pre requisite to HUMN6003)</t>
  </si>
  <si>
    <t>Masters Research Project 2 (* must study HUMN6001 first)</t>
  </si>
  <si>
    <t>Australian Indigenous Literature Creative Perspectives</t>
  </si>
  <si>
    <t>Indigenous Australian Art and Design: Ancient and Contemporary</t>
  </si>
  <si>
    <t>Telling Stories with Data (see Handbook for availabilities)</t>
  </si>
  <si>
    <t>Women, Peace and Security</t>
  </si>
  <si>
    <t>The Geopolitics of East Asia</t>
  </si>
  <si>
    <t>INTR5002.PO</t>
  </si>
  <si>
    <t>Asia Pacific Studies</t>
  </si>
  <si>
    <t>Strategic Geography, Planning and Decision-making</t>
  </si>
  <si>
    <t>INTR5003.PO</t>
  </si>
  <si>
    <t>Strategic Geography</t>
  </si>
  <si>
    <t>Russian and Eurasian Studies</t>
  </si>
  <si>
    <t>Globalised Terrorism</t>
  </si>
  <si>
    <t>Intelligence and Analysis</t>
  </si>
  <si>
    <t>Cultures of Violence and Conflict</t>
  </si>
  <si>
    <t>Cyber Conflict, Information Operations and Espionage</t>
  </si>
  <si>
    <t>INTR5009.PO</t>
  </si>
  <si>
    <t>Information Operations and Cyber Power</t>
  </si>
  <si>
    <t>Business Project Management</t>
  </si>
  <si>
    <t>Graduate Media Law and Ethics</t>
  </si>
  <si>
    <t>JOUR5000.PO</t>
  </si>
  <si>
    <t>Ethical Frameworks and Media Law</t>
  </si>
  <si>
    <t>Graduate Radio News</t>
  </si>
  <si>
    <t>JOUR5002.PO</t>
  </si>
  <si>
    <t>Audio &amp; Deadline Journalism</t>
  </si>
  <si>
    <t>Graduate News Writing and Reporting</t>
  </si>
  <si>
    <t>JOUR5003.PO</t>
  </si>
  <si>
    <t>Online &amp; Text-based Journalism</t>
  </si>
  <si>
    <t>Graduate Feature Journalism</t>
  </si>
  <si>
    <t>JOUR5004.PO</t>
  </si>
  <si>
    <t>Long Form Journalism</t>
  </si>
  <si>
    <t>Graduate Video News</t>
  </si>
  <si>
    <t>JOUR5005.PO</t>
  </si>
  <si>
    <t>Video Journalism &amp; Storytelling</t>
  </si>
  <si>
    <t>Graduate Journalism Industry Placement</t>
  </si>
  <si>
    <t>JOUR5000 + JOUR5002 + JOUR5003</t>
  </si>
  <si>
    <t>JOUR5006.PO</t>
  </si>
  <si>
    <t>News Internship</t>
  </si>
  <si>
    <t>Graduate Presentation for Broadcast</t>
  </si>
  <si>
    <t>JOUR5010.PO</t>
  </si>
  <si>
    <t>Audio &amp; Visual News Presentation</t>
  </si>
  <si>
    <t>Understanding Journalism</t>
  </si>
  <si>
    <t>Entrepreneurial Journalism</t>
  </si>
  <si>
    <t>Graduate Multimedia News Production</t>
  </si>
  <si>
    <t>JOUR5002 + JOUR5003 + JOUR5005</t>
  </si>
  <si>
    <t>JOUR6004.PO</t>
  </si>
  <si>
    <t>News Day</t>
  </si>
  <si>
    <t>MJRP-CWRIT.PO</t>
  </si>
  <si>
    <t>MJRP-FINAR.PO</t>
  </si>
  <si>
    <t>MJRP-PWRIT.PO</t>
  </si>
  <si>
    <t>MJRP-SCRAR.PO</t>
  </si>
  <si>
    <t>Social Media Marketing</t>
  </si>
  <si>
    <t>Graduate Web Communications</t>
  </si>
  <si>
    <t>NETS5000.PO</t>
  </si>
  <si>
    <t>Web Communications</t>
  </si>
  <si>
    <t>Graduate Digital Culture and Everyday Life</t>
  </si>
  <si>
    <t>NETS5001.PO</t>
  </si>
  <si>
    <t>Digital Culture and Everyday Life</t>
  </si>
  <si>
    <t>Graduate Online Power and Resistance</t>
  </si>
  <si>
    <t>NETS5003.PO</t>
  </si>
  <si>
    <t>Online Power and Resistance</t>
  </si>
  <si>
    <t>Graduate Social Media, Communities and Networks</t>
  </si>
  <si>
    <t>NETS5004.PO</t>
  </si>
  <si>
    <t>Social Media, Communities and Networks</t>
  </si>
  <si>
    <t>Graduate Writing on the Web</t>
  </si>
  <si>
    <t>NETS5005.PO</t>
  </si>
  <si>
    <t>Writing on the Web</t>
  </si>
  <si>
    <t>Graduate The Digital Economy</t>
  </si>
  <si>
    <t>(Recommend NETS5000 / NETS5001)</t>
  </si>
  <si>
    <t>NETS5006.PO</t>
  </si>
  <si>
    <t>The Digital Economy</t>
  </si>
  <si>
    <t>Graduate Technology, Innovation and Societies</t>
  </si>
  <si>
    <t>NETS5007.PO</t>
  </si>
  <si>
    <t>Internet Collaboration and Innovation</t>
  </si>
  <si>
    <t>Graduate Digital Creation Capstone</t>
  </si>
  <si>
    <t>NETS5009.PO</t>
  </si>
  <si>
    <t>Digital and Social Media Development Futures</t>
  </si>
  <si>
    <t>Graduate Web Media</t>
  </si>
  <si>
    <t>NETS5010.PO</t>
  </si>
  <si>
    <t>Web Media</t>
  </si>
  <si>
    <t>Graduate Online Games and Play</t>
  </si>
  <si>
    <t>NETS5011.PO</t>
  </si>
  <si>
    <t>Online Games and Play</t>
  </si>
  <si>
    <t>Study a Creative Writing Option unit (see below)</t>
  </si>
  <si>
    <t>Study a Digital Communications Option unit (see below)</t>
  </si>
  <si>
    <t>Year 1 Fine Arts Option units</t>
  </si>
  <si>
    <t>Heading for Option List - Keep</t>
  </si>
  <si>
    <t>Year 2 Fine Arts Option units</t>
  </si>
  <si>
    <t>Study a Year 1 Fine Arts Option unit (see below)</t>
  </si>
  <si>
    <t>Study a Year 2 Fine Arts Option unit (see below)</t>
  </si>
  <si>
    <t>Opt-HRIGHT</t>
  </si>
  <si>
    <t>Study an Option unit from the list below</t>
  </si>
  <si>
    <t>Study an Option unit from HRIGT list below</t>
  </si>
  <si>
    <t>Study Options from this list</t>
  </si>
  <si>
    <t>Opt-INTRNS</t>
  </si>
  <si>
    <t>Study an Option unit from the lists below</t>
  </si>
  <si>
    <t>Opt-INTRNSB</t>
  </si>
  <si>
    <t>Study/selct Option units in either Year 1 or Year 2</t>
  </si>
  <si>
    <t>Study an Option unit from INTRN list below</t>
  </si>
  <si>
    <t>Opt-INTRNSY1</t>
  </si>
  <si>
    <t>Study/select Option unit in Year 1 only</t>
  </si>
  <si>
    <t>Opt-INTRNSY2</t>
  </si>
  <si>
    <t>Study/select Option units in Year 2 only</t>
  </si>
  <si>
    <t>Year 1 Professional Writing Option units</t>
  </si>
  <si>
    <t>Year 2 Professional Writing Option units</t>
  </si>
  <si>
    <t>Study a Year 1 Professional Writing Option unit (see below)</t>
  </si>
  <si>
    <t>Study a Year 2 Professional Writing Option unit (see below)</t>
  </si>
  <si>
    <t>Study a Screen Arts Option unit (see below)</t>
  </si>
  <si>
    <t>International Security in Theory and Practice</t>
  </si>
  <si>
    <t>POLS5000.PO</t>
  </si>
  <si>
    <t>Foundations of International Security in the 21st Century</t>
  </si>
  <si>
    <t>Security and Conflict in the Indian Ocean and the Middle East</t>
  </si>
  <si>
    <t>POLS5002.PO</t>
  </si>
  <si>
    <t>Security and Conflict in the Indian Ocean and Persian Gulf</t>
  </si>
  <si>
    <t>National Strategy and Security</t>
  </si>
  <si>
    <t>POLS5003.PO</t>
  </si>
  <si>
    <t>National Security and Strategy</t>
  </si>
  <si>
    <t>Environmental and Energy Security</t>
  </si>
  <si>
    <t>POLS5004.PO</t>
  </si>
  <si>
    <t>Geo-Strategy and Energy Security</t>
  </si>
  <si>
    <t>Only available PART-TIME, study 100CPs from Option list below</t>
  </si>
  <si>
    <t>Graduate Advanced Workplace Writing</t>
  </si>
  <si>
    <t>PWRP5023 (or PWRP5001)</t>
  </si>
  <si>
    <t>PWRP5000.PO</t>
  </si>
  <si>
    <t>Advanced Workplace Writing</t>
  </si>
  <si>
    <t>Graduate Editing</t>
  </si>
  <si>
    <t>PWRP5003.PO</t>
  </si>
  <si>
    <t>Editing</t>
  </si>
  <si>
    <t>Graduate Publishing</t>
  </si>
  <si>
    <t>PWRP5003*</t>
  </si>
  <si>
    <t>PWRP5006.PO</t>
  </si>
  <si>
    <t>Publishing</t>
  </si>
  <si>
    <t>Graduate Advanced Narrative Nonfiction</t>
  </si>
  <si>
    <t>PWRP5015.PO</t>
  </si>
  <si>
    <t>Advanced Narrative Nonfiction</t>
  </si>
  <si>
    <t>Graduate Narrative Nonfiction</t>
  </si>
  <si>
    <t>PWRP5019.PO</t>
  </si>
  <si>
    <t>Narrative Nonfiction</t>
  </si>
  <si>
    <t>Graduate Introduction to Creative and Professional Writing</t>
  </si>
  <si>
    <t>PWRP5021.PO</t>
  </si>
  <si>
    <t>Introduction to Creative and Professional Writing</t>
  </si>
  <si>
    <t>Graduate Skills in Professional Writing</t>
  </si>
  <si>
    <t>PWRP5022.PO</t>
  </si>
  <si>
    <t>Skills in Professional Writing</t>
  </si>
  <si>
    <t>Graduate Workplace Writing</t>
  </si>
  <si>
    <t>PWRP5023.PO</t>
  </si>
  <si>
    <t>Workplace Writing</t>
  </si>
  <si>
    <t>Graduate Publishing Studio</t>
  </si>
  <si>
    <t>PWRP5024.PO</t>
  </si>
  <si>
    <t>Publishing Studio</t>
  </si>
  <si>
    <t>Graduate Introduction to Screen Creativity</t>
  </si>
  <si>
    <t>SCST5008.PO</t>
  </si>
  <si>
    <t>Introduction to Screen Creativity</t>
  </si>
  <si>
    <t>Graduate Introduction to Screenwriting</t>
  </si>
  <si>
    <t>SCWR5000.PO</t>
  </si>
  <si>
    <t>Introduction to Screenwriting for Graduates</t>
  </si>
  <si>
    <t>Graduate Creative Documentary and Actualities</t>
  </si>
  <si>
    <t>SPRO5000.PO</t>
  </si>
  <si>
    <t>Creative Documentary and Actualities</t>
  </si>
  <si>
    <t>Graduate Drama Narratives</t>
  </si>
  <si>
    <t>SPRO5001.PO</t>
  </si>
  <si>
    <t>Drama Narratives</t>
  </si>
  <si>
    <t>Graduate Community Media Production</t>
  </si>
  <si>
    <t>SPRO5004.PO</t>
  </si>
  <si>
    <t>Community Media Production</t>
  </si>
  <si>
    <t>Graduate Introduction to Screen Practice</t>
  </si>
  <si>
    <t>SPRO5005.PO</t>
  </si>
  <si>
    <t>Introduction to Screen Industries</t>
  </si>
  <si>
    <t>Graduate Studio Production</t>
  </si>
  <si>
    <t>SPRO5006.PO</t>
  </si>
  <si>
    <t>Studio Production</t>
  </si>
  <si>
    <t>Graduate Advanced Studio Production</t>
  </si>
  <si>
    <t>SPRO5000 or SPRO5001 or SPRO5006</t>
  </si>
  <si>
    <t>SPRO5008.PO</t>
  </si>
  <si>
    <t>Advanced Studio Production</t>
  </si>
  <si>
    <t>Stream-GEStream</t>
  </si>
  <si>
    <t>Choose your Global Engagement Stream</t>
  </si>
  <si>
    <t>Stream-GLOBL</t>
  </si>
  <si>
    <t>Choose a Stream</t>
  </si>
  <si>
    <t>Graduate Fine Art Studio Materials</t>
  </si>
  <si>
    <t>VISA5008.PO</t>
  </si>
  <si>
    <t>Fine Art Studio Materials</t>
  </si>
  <si>
    <t>Graduate Drawing</t>
  </si>
  <si>
    <t>VISA5009.PO</t>
  </si>
  <si>
    <t>Drawing</t>
  </si>
  <si>
    <t>Graduate Fine Art Studio Methods</t>
  </si>
  <si>
    <t>VISA5011.PO</t>
  </si>
  <si>
    <t>Fine Art Studio Methods</t>
  </si>
  <si>
    <t>Graduate Fine Art Project</t>
  </si>
  <si>
    <t>VISA5012.PO</t>
  </si>
  <si>
    <t>Fine Art Project</t>
  </si>
  <si>
    <t>Graduate Fine Art Studio Extension</t>
  </si>
  <si>
    <t>VISA5013.PO</t>
  </si>
  <si>
    <t>Fine Art Studio Extension</t>
  </si>
  <si>
    <t>Graduate Fine Art Studio Strategies</t>
  </si>
  <si>
    <t>VISA5014.PO</t>
  </si>
  <si>
    <t>Fine Art Studio Strategies</t>
  </si>
  <si>
    <t>Graduate Fine Art Concepts and Contexts</t>
  </si>
  <si>
    <t>VISA6008.PO</t>
  </si>
  <si>
    <t>Fine Art Concepts and Contexts</t>
  </si>
  <si>
    <t>Graduate Fine Art Studio Practice</t>
  </si>
  <si>
    <t>VISA6011.PO</t>
  </si>
  <si>
    <t>Fine Art Studio Practice</t>
  </si>
  <si>
    <t>Graduate Fine Art Project Development</t>
  </si>
  <si>
    <t>VISA6012.PO</t>
  </si>
  <si>
    <t>Fine Art Project Development</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</si>
  <si>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</si>
  <si>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</si>
  <si>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</si>
  <si>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</si>
  <si>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</si>
  <si>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</si>
  <si>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</si>
  <si>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</si>
  <si>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</si>
  <si>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</si>
  <si>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</si>
  <si>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</si>
  <si>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</si>
  <si>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SPK</t>
  </si>
  <si>
    <t>AltCore</t>
  </si>
  <si>
    <t>NA</t>
  </si>
  <si>
    <t/>
  </si>
  <si>
    <t>Choose a Major</t>
  </si>
  <si>
    <t>Core</t>
  </si>
  <si>
    <t>Choose COMS6004 or HUMN6003</t>
  </si>
  <si>
    <t>Option</t>
  </si>
  <si>
    <t>Choose Options</t>
  </si>
  <si>
    <t>Masters Research Project 2</t>
  </si>
  <si>
    <t>Masters Research Project 1</t>
  </si>
  <si>
    <t>Choose NETS5000 or NETS5001</t>
  </si>
  <si>
    <t>Telling Stories with Data</t>
  </si>
  <si>
    <t>Choose VISA5008 or VISA5011</t>
  </si>
  <si>
    <t>Choose Options for Year 1</t>
  </si>
  <si>
    <t>Choose HUMN6003 or COMS6004</t>
  </si>
  <si>
    <t>Choose Options for Year 2</t>
  </si>
  <si>
    <t>Choose CWRI6000 or NETS5010</t>
  </si>
  <si>
    <t>Semester 1</t>
  </si>
  <si>
    <t>Semester 2</t>
  </si>
  <si>
    <t>Choose JOUR5006 or NETS5004</t>
  </si>
  <si>
    <t>Choose Options for Semester 2, Year 2</t>
  </si>
  <si>
    <t>Exit Award</t>
  </si>
  <si>
    <t>Choose HUMN6001 or COMS6004</t>
  </si>
  <si>
    <t>Choose HUMN6003 or COMS6002</t>
  </si>
  <si>
    <t>Choose Electives</t>
  </si>
  <si>
    <t>Choose HUMN6001 or COMS6004. Choose HUMN6001 to enrol if want to complete HUMN6003, as it is the pre-requisite to HUMN6003. Alternatively, students may choose to complete the Alternate Cores COMS6004 and COMS6002.</t>
  </si>
  <si>
    <t>Choose HUMN6003 or COMS6002. HUMN6001 must be completed prior to enrolling into HUMN6003. Alternatively, students may choose to complete the Alternate Cores COMS6004 and COMS6002.</t>
  </si>
  <si>
    <t>Select postgraduate units to the total value of:</t>
  </si>
  <si>
    <t>Choose COMS6002 or HUMN6003</t>
  </si>
  <si>
    <t>Choose COMS6004 or HUMN6001</t>
  </si>
  <si>
    <t>Choose POLS5000 or POLS5003</t>
  </si>
  <si>
    <t>Master of Global Engagement</t>
  </si>
  <si>
    <t>GE Stream</t>
  </si>
  <si>
    <t>Choose INTR5001 or POLS5000 or POLS5003</t>
  </si>
  <si>
    <t>Choose Stream 1 - STRP-GLOBL Global Engagement Stream</t>
  </si>
  <si>
    <t>Choose Stream 2 - STRP-INTRN International Relations and National Security Stream</t>
  </si>
  <si>
    <t>Choose Stream 3 - STRP-HRIGT Human Rights Stream</t>
  </si>
  <si>
    <t>Row Labels</t>
  </si>
  <si>
    <t>Sem1 Internal</t>
  </si>
  <si>
    <t>Sem1 Online</t>
  </si>
  <si>
    <t>Sem2 Internal</t>
  </si>
  <si>
    <t>Sem2 Online</t>
  </si>
  <si>
    <t>Alternate Core &amp; Option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</si>
</sst>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sz val="6"/>
      <color theme="1"/>
      <name val="Arial"/>
      <family val="2"/>
    </font>
    <font>
      <sz val="9"/>
      <name val="Segoe UI"/>
      <family val="2"/>
    </font>
    <font>
      <b/>
      <sz val="9"/>
      <color theme="0"/>
      <name val="Segoe UI"/>
      <family val="2"/>
    </font>
    <font>
      <b/>
      <sz val="12"/>
      <color rgb="FF000000"/>
      <name val="Calibri"/>
      <family val="2"/>
      <scheme val="minor"/>
    </font>
    <font>
      <b/>
      <sz val="11"/>
      <color theme="0"/>
      <name val="Arial"/>
      <family val="2"/>
    </font>
    <font>
      <sz val="11"/>
      <color theme="0"/>
      <name val="Arial"/>
      <family val="2"/>
    </font>
    <font>
      <b/>
      <sz val="11"/>
      <color theme="0"/>
      <name val="Segoe UI"/>
      <family val="2"/>
    </font>
    <font>
      <i/>
      <sz val="8"/>
      <name val="Arial"/>
      <family val="2"/>
    </font>
    <font>
      <b/>
      <sz val="11"/>
      <color rgb="FFFF0000"/>
      <name val="Segoe UI"/>
      <family val="2"/>
    </font>
    <font>
      <b/>
      <sz val="9"/>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i/>
      <sz val="12"/>
      <color theme="0" tint="-0.499984740745262"/>
      <name val="Calibri"/>
      <family val="2"/>
      <scheme val="minor"/>
    </font>
    <font>
      <b/>
      <sz val="9"/>
      <color rgb="FFFF0000"/>
      <name val="Segoe UI"/>
      <family val="2"/>
    </font>
    <font>
      <b/>
      <sz val="16"/>
      <color theme="1"/>
      <name val="Segoe UI"/>
      <family val="2"/>
    </font>
    <font>
      <b/>
      <sz val="12"/>
      <color theme="0"/>
      <name val="Segoe UI"/>
      <family val="2"/>
    </font>
    <font>
      <b/>
      <i/>
      <sz val="10"/>
      <color theme="0" tint="-0.499984740745262"/>
      <name val="Arial"/>
      <family val="2"/>
    </font>
    <font>
      <b/>
      <sz val="14"/>
      <color theme="0"/>
      <name val="Segoe UI"/>
      <family val="2"/>
    </font>
    <font>
      <b/>
      <sz val="11"/>
      <name val="Segoe UI"/>
      <family val="2"/>
    </font>
    <font>
      <b/>
      <sz val="8"/>
      <name val="Segoe UI"/>
      <family val="2"/>
    </font>
    <font>
      <sz val="12"/>
      <name val="Calibri"/>
      <family val="2"/>
      <scheme val="minor"/>
    </font>
    <font>
      <b/>
      <sz val="10"/>
      <color theme="0"/>
      <name val="Segoe UI"/>
      <family val="2"/>
    </font>
    <font>
      <sz val="12"/>
      <color rgb="FFC00000"/>
      <name val="Calibri"/>
      <family val="2"/>
      <scheme val="minor"/>
    </font>
    <font>
      <sz val="8"/>
      <color rgb="FFFF0000"/>
      <name val="Calibri"/>
      <family val="2"/>
      <scheme val="minor"/>
    </font>
    <font>
      <b/>
      <sz val="10"/>
      <name val="Segoe UI"/>
      <family val="2"/>
    </font>
    <font>
      <sz val="11"/>
      <color rgb="FF006100"/>
      <name val="Calibri"/>
      <family val="2"/>
      <scheme val="minor"/>
    </font>
    <font>
      <sz val="10"/>
      <color theme="0" tint="-0.499984740745262"/>
      <name val="Arial"/>
      <family val="2"/>
    </font>
    <font>
      <sz val="10"/>
      <color rgb="FF00B050"/>
      <name val="Arial"/>
      <family val="2"/>
    </font>
    <font>
      <sz val="10"/>
      <color theme="1"/>
      <name val="Calibri"/>
      <family val="2"/>
      <scheme val="minor"/>
    </font>
    <font>
      <b/>
      <i/>
      <sz val="12"/>
      <color rgb="FF00B050"/>
      <name val="Calibri"/>
      <family val="2"/>
      <scheme val="minor"/>
    </font>
    <font>
      <i/>
      <sz val="9"/>
      <name val="Segoe UI"/>
      <family val="2"/>
    </font>
    <font>
      <sz val="12"/>
      <color rgb="FF00B050"/>
      <name val="Calibri"/>
      <family val="2"/>
      <scheme val="minor"/>
    </font>
    <font>
      <b/>
      <i/>
      <sz val="12"/>
      <color rgb="FFFF0000"/>
      <name val="Calibri"/>
      <family val="2"/>
      <scheme val="minor"/>
    </font>
    <font>
      <b/>
      <sz val="12"/>
      <color rgb="FFFF0000"/>
      <name val="Calibri"/>
      <family val="2"/>
      <scheme val="minor"/>
    </font>
    <font>
      <b/>
      <sz val="8"/>
      <color rgb="FFFF0000"/>
      <name val="Arial"/>
      <family val="2"/>
    </font>
    <font>
      <i/>
      <sz val="8"/>
      <color rgb="FFFF0000"/>
      <name val="Arial"/>
      <family val="2"/>
    </font>
    <font>
      <b/>
      <sz val="11"/>
      <color theme="9" tint="0.79998168889431442"/>
      <name val="Segoe UI"/>
      <family val="2"/>
    </font>
    <font>
      <b/>
      <sz val="9"/>
      <color theme="5"/>
      <name val="Segoe UI"/>
      <family val="2"/>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00B050"/>
        <bgColor indexed="64"/>
      </patternFill>
    </fill>
    <fill>
      <patternFill patternType="solid">
        <fgColor rgb="FF92D050"/>
        <bgColor indexed="64"/>
      </patternFill>
    </fill>
    <fill>
      <patternFill patternType="solid">
        <fgColor theme="0" tint="-4.9989318521683403E-2"/>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29" fillId="0" borderId="0" applyNumberFormat="0" applyFill="0" applyBorder="0" applyAlignment="0" applyProtection="0"/>
    <xf numFmtId="0" fontId="1" fillId="0" borderId="0"/>
    <xf numFmtId="0" fontId="61" fillId="13" borderId="0" applyNumberFormat="0" applyBorder="0" applyAlignment="0" applyProtection="0"/>
  </cellStyleXfs>
  <cellXfs count="413">
    <xf numFmtId="0" fontId="0" fillId="0" borderId="0" xfId="0"/>
    <xf numFmtId="0" fontId="0" fillId="0" borderId="0" xfId="0" applyAlignment="1">
      <alignment horizontal="center"/>
    </xf>
    <xf numFmtId="0" fontId="11" fillId="0" borderId="0" xfId="0" applyFont="1"/>
    <xf numFmtId="0" fontId="11" fillId="0" borderId="0" xfId="0" applyFont="1" applyAlignment="1">
      <alignment horizontal="center"/>
    </xf>
    <xf numFmtId="0" fontId="19" fillId="0" borderId="9" xfId="1" applyFont="1" applyBorder="1" applyAlignment="1">
      <alignment horizontal="center"/>
    </xf>
    <xf numFmtId="0" fontId="19" fillId="0" borderId="10" xfId="1" applyFont="1" applyBorder="1" applyAlignment="1">
      <alignment horizontal="center"/>
    </xf>
    <xf numFmtId="0" fontId="19" fillId="0" borderId="10" xfId="1" applyFont="1" applyBorder="1"/>
    <xf numFmtId="0" fontId="19" fillId="0" borderId="11" xfId="1" applyFont="1" applyBorder="1"/>
    <xf numFmtId="0" fontId="2" fillId="0" borderId="0" xfId="1"/>
    <xf numFmtId="0" fontId="2" fillId="0" borderId="0" xfId="1" applyAlignment="1">
      <alignment horizontal="center"/>
    </xf>
    <xf numFmtId="0" fontId="21" fillId="2" borderId="0" xfId="1" applyFont="1" applyFill="1" applyAlignment="1">
      <alignment horizontal="right" vertical="center" indent="1"/>
    </xf>
    <xf numFmtId="0" fontId="21" fillId="2" borderId="0" xfId="1" applyFont="1" applyFill="1" applyAlignment="1">
      <alignment vertical="center"/>
    </xf>
    <xf numFmtId="0" fontId="21" fillId="2" borderId="0" xfId="1" applyFont="1" applyFill="1" applyAlignment="1">
      <alignment horizontal="left" vertical="center"/>
    </xf>
    <xf numFmtId="0" fontId="21" fillId="2" borderId="0" xfId="1" applyFont="1" applyFill="1" applyAlignment="1">
      <alignment horizontal="left" vertical="center" indent="1"/>
    </xf>
    <xf numFmtId="0" fontId="23" fillId="2" borderId="0" xfId="1" applyFont="1" applyFill="1" applyAlignment="1">
      <alignment horizontal="left" vertical="center" wrapText="1"/>
    </xf>
    <xf numFmtId="0" fontId="2" fillId="0" borderId="0" xfId="1" applyProtection="1">
      <protection locked="0"/>
    </xf>
    <xf numFmtId="0" fontId="25" fillId="2" borderId="0" xfId="1" applyFont="1" applyFill="1" applyAlignment="1" applyProtection="1">
      <alignment vertical="center"/>
      <protection locked="0"/>
    </xf>
    <xf numFmtId="0" fontId="26" fillId="2" borderId="0" xfId="1" applyFont="1" applyFill="1" applyAlignment="1" applyProtection="1">
      <alignment vertical="center"/>
      <protection locked="0"/>
    </xf>
    <xf numFmtId="0" fontId="26" fillId="2" borderId="0" xfId="1" applyFont="1" applyFill="1" applyAlignment="1">
      <alignment vertical="center"/>
    </xf>
    <xf numFmtId="0" fontId="25" fillId="2" borderId="0" xfId="1" applyFont="1" applyFill="1" applyAlignment="1" applyProtection="1">
      <alignment wrapText="1"/>
      <protection locked="0"/>
    </xf>
    <xf numFmtId="0" fontId="26" fillId="2" borderId="0" xfId="1" applyFont="1" applyFill="1" applyAlignment="1" applyProtection="1">
      <alignment wrapText="1"/>
      <protection locked="0"/>
    </xf>
    <xf numFmtId="0" fontId="26" fillId="2" borderId="0" xfId="1" applyFont="1" applyFill="1" applyAlignment="1">
      <alignment wrapText="1"/>
    </xf>
    <xf numFmtId="0" fontId="23" fillId="4" borderId="11" xfId="1" applyFont="1" applyFill="1" applyBorder="1" applyAlignment="1">
      <alignment horizontal="center" vertical="center" wrapText="1"/>
    </xf>
    <xf numFmtId="0" fontId="23" fillId="4" borderId="0" xfId="1" applyFont="1" applyFill="1" applyAlignment="1">
      <alignment horizontal="center" vertical="center" wrapText="1"/>
    </xf>
    <xf numFmtId="0" fontId="23" fillId="4" borderId="0" xfId="1" applyFont="1" applyFill="1" applyAlignment="1">
      <alignment vertical="center" wrapText="1"/>
    </xf>
    <xf numFmtId="0" fontId="26" fillId="4" borderId="0" xfId="1" applyFont="1" applyFill="1" applyAlignment="1">
      <alignment horizontal="left" vertical="center" wrapText="1"/>
    </xf>
    <xf numFmtId="0" fontId="23" fillId="4" borderId="15" xfId="1" applyFont="1" applyFill="1" applyBorder="1" applyAlignment="1" applyProtection="1">
      <alignment horizontal="center" vertical="center" wrapText="1"/>
      <protection locked="0"/>
    </xf>
    <xf numFmtId="0" fontId="25" fillId="2" borderId="0" xfId="1" applyFont="1" applyFill="1" applyProtection="1">
      <protection locked="0"/>
    </xf>
    <xf numFmtId="0" fontId="26" fillId="2" borderId="0" xfId="1" applyFont="1" applyFill="1" applyProtection="1">
      <protection locked="0"/>
    </xf>
    <xf numFmtId="0" fontId="26" fillId="2" borderId="0" xfId="1" applyFont="1" applyFill="1"/>
    <xf numFmtId="0" fontId="30" fillId="4" borderId="0" xfId="2" applyFont="1" applyFill="1" applyAlignment="1" applyProtection="1">
      <alignment vertical="center"/>
    </xf>
    <xf numFmtId="0" fontId="29" fillId="4" borderId="0" xfId="2" applyFill="1" applyAlignment="1" applyProtection="1">
      <alignment vertical="center"/>
    </xf>
    <xf numFmtId="0" fontId="32" fillId="2" borderId="0" xfId="1" applyFont="1" applyFill="1" applyProtection="1">
      <protection locked="0"/>
    </xf>
    <xf numFmtId="0" fontId="33" fillId="2" borderId="0" xfId="1" applyFont="1" applyFill="1" applyProtection="1">
      <protection locked="0"/>
    </xf>
    <xf numFmtId="0" fontId="33" fillId="2" borderId="0" xfId="1" applyFont="1" applyFill="1"/>
    <xf numFmtId="0" fontId="34" fillId="2" borderId="0" xfId="1" applyFont="1" applyFill="1" applyAlignment="1">
      <alignment vertical="center"/>
    </xf>
    <xf numFmtId="0" fontId="35" fillId="2" borderId="0" xfId="1" applyFont="1" applyFill="1" applyAlignment="1">
      <alignment vertical="center"/>
    </xf>
    <xf numFmtId="0" fontId="2" fillId="0" borderId="0" xfId="1" applyAlignment="1" applyProtection="1">
      <alignment horizontal="center" vertical="top"/>
      <protection locked="0"/>
    </xf>
    <xf numFmtId="0" fontId="2" fillId="0" borderId="0" xfId="1" applyAlignment="1">
      <alignment horizontal="center" vertical="top"/>
    </xf>
    <xf numFmtId="0" fontId="36" fillId="0" borderId="17" xfId="1" applyFont="1" applyBorder="1" applyAlignment="1">
      <alignment vertical="center"/>
    </xf>
    <xf numFmtId="0" fontId="36" fillId="0" borderId="17" xfId="1" applyFont="1" applyBorder="1" applyAlignment="1">
      <alignment vertical="center" wrapText="1"/>
    </xf>
    <xf numFmtId="0" fontId="36" fillId="0" borderId="17" xfId="1" applyFont="1" applyBorder="1" applyAlignment="1">
      <alignment horizontal="center" vertical="center" wrapText="1"/>
    </xf>
    <xf numFmtId="0" fontId="13" fillId="2" borderId="0" xfId="1" applyFont="1" applyFill="1" applyAlignment="1">
      <alignment vertical="center"/>
    </xf>
    <xf numFmtId="0" fontId="35" fillId="2" borderId="0" xfId="1" applyFont="1" applyFill="1" applyAlignment="1">
      <alignment horizontal="right" vertical="center"/>
    </xf>
    <xf numFmtId="0" fontId="26" fillId="2" borderId="17" xfId="1" applyFont="1" applyFill="1" applyBorder="1" applyAlignment="1">
      <alignment horizontal="center" vertical="center" wrapText="1"/>
    </xf>
    <xf numFmtId="0" fontId="23" fillId="2" borderId="17" xfId="1" applyFont="1" applyFill="1" applyBorder="1" applyAlignment="1">
      <alignment horizontal="center" vertical="center" wrapText="1"/>
    </xf>
    <xf numFmtId="0" fontId="23" fillId="0" borderId="18"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17" xfId="1" applyFont="1" applyBorder="1" applyAlignment="1">
      <alignment vertical="center" wrapText="1"/>
    </xf>
    <xf numFmtId="0" fontId="23" fillId="2" borderId="18" xfId="1" applyFont="1" applyFill="1" applyBorder="1" applyAlignment="1" applyProtection="1">
      <alignment horizontal="left" vertical="center" wrapText="1"/>
      <protection locked="0"/>
    </xf>
    <xf numFmtId="0" fontId="23" fillId="0" borderId="17" xfId="1" applyFont="1" applyBorder="1" applyAlignment="1">
      <alignment horizontal="left" vertical="center"/>
    </xf>
    <xf numFmtId="0" fontId="23" fillId="2" borderId="16" xfId="1" applyFont="1" applyFill="1" applyBorder="1" applyAlignment="1">
      <alignment horizontal="center" vertical="center" wrapText="1"/>
    </xf>
    <xf numFmtId="0" fontId="23" fillId="2" borderId="17" xfId="1" applyFont="1" applyFill="1" applyBorder="1" applyAlignment="1">
      <alignment vertical="center" wrapText="1"/>
    </xf>
    <xf numFmtId="0" fontId="23" fillId="2" borderId="18" xfId="1" applyFont="1" applyFill="1" applyBorder="1" applyAlignment="1" applyProtection="1">
      <alignment horizontal="center" vertical="center" wrapText="1"/>
      <protection locked="0"/>
    </xf>
    <xf numFmtId="0" fontId="23" fillId="0" borderId="18" xfId="1" applyFont="1" applyBorder="1" applyAlignment="1" applyProtection="1">
      <alignment horizontal="center" vertical="center" wrapText="1"/>
      <protection locked="0"/>
    </xf>
    <xf numFmtId="0" fontId="23" fillId="2" borderId="20" xfId="1" applyFont="1" applyFill="1" applyBorder="1" applyAlignment="1">
      <alignment horizontal="center" vertical="center" wrapText="1"/>
    </xf>
    <xf numFmtId="0" fontId="23" fillId="2" borderId="21" xfId="1" applyFont="1" applyFill="1" applyBorder="1" applyAlignment="1">
      <alignment horizontal="center" vertical="center" wrapText="1"/>
    </xf>
    <xf numFmtId="0" fontId="23" fillId="4" borderId="19" xfId="1" applyFont="1" applyFill="1" applyBorder="1" applyAlignment="1">
      <alignment horizontal="center" vertical="center" wrapText="1"/>
    </xf>
    <xf numFmtId="0" fontId="23" fillId="4" borderId="15" xfId="1" applyFont="1" applyFill="1" applyBorder="1" applyAlignment="1">
      <alignment horizontal="center" vertical="center" wrapText="1"/>
    </xf>
    <xf numFmtId="0" fontId="23" fillId="0" borderId="20"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0" xfId="1" applyFont="1" applyAlignment="1" applyProtection="1">
      <alignment vertical="top" wrapText="1"/>
      <protection locked="0"/>
    </xf>
    <xf numFmtId="0" fontId="15" fillId="0" borderId="0" xfId="0" applyFont="1" applyAlignment="1" applyProtection="1">
      <alignment horizontal="left"/>
      <protection locked="0"/>
    </xf>
    <xf numFmtId="0" fontId="13" fillId="0" borderId="0" xfId="0" applyFont="1" applyProtection="1">
      <protection locked="0"/>
    </xf>
    <xf numFmtId="0" fontId="11" fillId="0" borderId="0" xfId="0" applyFont="1" applyProtection="1">
      <protection locked="0"/>
    </xf>
    <xf numFmtId="0" fontId="0" fillId="0" borderId="0" xfId="0" applyProtection="1">
      <protection locked="0"/>
    </xf>
    <xf numFmtId="0" fontId="46" fillId="0" borderId="0" xfId="0"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6" fillId="0" borderId="0" xfId="0" applyFont="1" applyAlignment="1" applyProtection="1">
      <alignment horizontal="right"/>
      <protection locked="0"/>
    </xf>
    <xf numFmtId="0" fontId="7" fillId="0" borderId="0" xfId="0" applyFont="1" applyAlignment="1" applyProtection="1">
      <alignment horizontal="right"/>
      <protection locked="0"/>
    </xf>
    <xf numFmtId="0" fontId="11" fillId="0" borderId="0" xfId="0" applyFont="1" applyAlignment="1" applyProtection="1">
      <alignment horizontal="right"/>
      <protection locked="0"/>
    </xf>
    <xf numFmtId="0" fontId="38" fillId="0" borderId="0" xfId="0" applyFont="1" applyAlignment="1" applyProtection="1">
      <alignment horizontal="left"/>
      <protection locked="0"/>
    </xf>
    <xf numFmtId="0" fontId="17" fillId="0" borderId="0" xfId="0" applyFont="1" applyProtection="1">
      <protection locked="0"/>
    </xf>
    <xf numFmtId="0" fontId="4" fillId="0" borderId="0" xfId="0" applyFont="1" applyAlignment="1" applyProtection="1">
      <alignment horizontal="center" vertical="center"/>
      <protection locked="0"/>
    </xf>
    <xf numFmtId="0" fontId="3" fillId="3" borderId="2"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0" applyFont="1" applyProtection="1">
      <protection locked="0"/>
    </xf>
    <xf numFmtId="0" fontId="12"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8"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4" fillId="0" borderId="0" xfId="0" applyFont="1" applyAlignment="1" applyProtection="1">
      <alignment horizontal="left"/>
      <protection locked="0"/>
    </xf>
    <xf numFmtId="0" fontId="16" fillId="0" borderId="0" xfId="0" applyFont="1" applyProtection="1">
      <protection locked="0"/>
    </xf>
    <xf numFmtId="0" fontId="14" fillId="0" borderId="0" xfId="0" applyFont="1" applyProtection="1">
      <protection locked="0"/>
    </xf>
    <xf numFmtId="0" fontId="8" fillId="0" borderId="0" xfId="0" applyFont="1" applyProtection="1">
      <protection locked="0"/>
    </xf>
    <xf numFmtId="0" fontId="9" fillId="0" borderId="0" xfId="0" applyFont="1" applyProtection="1">
      <protection locked="0"/>
    </xf>
    <xf numFmtId="0" fontId="4" fillId="5" borderId="0" xfId="0" applyFont="1" applyFill="1" applyAlignment="1" applyProtection="1">
      <alignment horizontal="center" vertical="center"/>
      <protection locked="0"/>
    </xf>
    <xf numFmtId="0" fontId="4" fillId="0" borderId="0" xfId="0" applyFont="1" applyProtection="1">
      <protection locked="0"/>
    </xf>
    <xf numFmtId="0" fontId="47" fillId="0" borderId="0" xfId="0" applyFont="1"/>
    <xf numFmtId="0" fontId="47" fillId="0" borderId="0" xfId="0" applyFont="1" applyAlignment="1">
      <alignment horizontal="right"/>
    </xf>
    <xf numFmtId="0" fontId="0" fillId="0" borderId="22" xfId="0" applyBorder="1" applyAlignment="1">
      <alignment horizontal="center"/>
    </xf>
    <xf numFmtId="0" fontId="11" fillId="6" borderId="0" xfId="0" applyFont="1" applyFill="1" applyAlignment="1">
      <alignment horizontal="center"/>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6" fillId="0" borderId="17" xfId="1" applyFont="1" applyBorder="1" applyAlignment="1">
      <alignment horizontal="center" vertical="center"/>
    </xf>
    <xf numFmtId="0" fontId="48" fillId="0" borderId="0" xfId="0" applyFont="1" applyAlignment="1">
      <alignment horizontal="right"/>
    </xf>
    <xf numFmtId="0" fontId="10" fillId="8" borderId="6" xfId="0" applyFont="1" applyFill="1" applyBorder="1" applyAlignment="1" applyProtection="1">
      <alignment horizontal="center" vertical="center"/>
      <protection locked="0"/>
    </xf>
    <xf numFmtId="0" fontId="10" fillId="8" borderId="0" xfId="0" applyFont="1" applyFill="1" applyAlignment="1" applyProtection="1">
      <alignment horizontal="center" vertical="center"/>
      <protection locked="0"/>
    </xf>
    <xf numFmtId="0" fontId="23" fillId="2" borderId="0" xfId="1" applyFont="1" applyFill="1" applyAlignment="1">
      <alignment horizontal="right" vertical="center" indent="1"/>
    </xf>
    <xf numFmtId="0" fontId="19" fillId="0" borderId="0" xfId="1" applyFont="1" applyAlignment="1">
      <alignment horizontal="center"/>
    </xf>
    <xf numFmtId="0" fontId="19" fillId="0" borderId="0" xfId="1" applyFont="1"/>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0" xfId="0" applyFont="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0" fontId="25" fillId="2" borderId="0" xfId="1" applyFont="1" applyFill="1" applyAlignment="1" applyProtection="1">
      <alignment horizontal="center" vertical="center"/>
      <protection locked="0"/>
    </xf>
    <xf numFmtId="0" fontId="27" fillId="0" borderId="0" xfId="1" applyFont="1" applyAlignment="1" applyProtection="1">
      <alignment horizontal="center" vertical="center" wrapText="1"/>
      <protection locked="0"/>
    </xf>
    <xf numFmtId="0" fontId="2" fillId="0" borderId="0" xfId="1" applyAlignment="1">
      <alignment horizontal="center" vertical="center"/>
    </xf>
    <xf numFmtId="0" fontId="2" fillId="0" borderId="0" xfId="1" applyAlignment="1" applyProtection="1">
      <alignment horizontal="center" vertical="center"/>
      <protection locked="0"/>
    </xf>
    <xf numFmtId="0" fontId="32" fillId="2" borderId="0" xfId="1" applyFont="1" applyFill="1" applyAlignment="1" applyProtection="1">
      <alignment horizontal="center" vertical="center"/>
      <protection locked="0"/>
    </xf>
    <xf numFmtId="0" fontId="39" fillId="9" borderId="0" xfId="1" applyFont="1" applyFill="1" applyAlignment="1">
      <alignment vertical="center" wrapText="1"/>
    </xf>
    <xf numFmtId="14" fontId="49" fillId="2" borderId="0" xfId="1" applyNumberFormat="1" applyFont="1" applyFill="1" applyAlignment="1">
      <alignment horizontal="right" vertical="center"/>
    </xf>
    <xf numFmtId="0" fontId="23" fillId="2" borderId="0" xfId="1" applyFont="1" applyFill="1" applyAlignment="1">
      <alignment horizontal="center" vertical="center" wrapText="1"/>
    </xf>
    <xf numFmtId="0" fontId="23" fillId="0" borderId="0" xfId="1" applyFont="1" applyAlignment="1">
      <alignment horizontal="center" vertical="center" wrapText="1"/>
    </xf>
    <xf numFmtId="0" fontId="37" fillId="9" borderId="0" xfId="1" applyFont="1" applyFill="1" applyAlignment="1">
      <alignment horizontal="left" vertical="center" readingOrder="1"/>
    </xf>
    <xf numFmtId="0" fontId="22" fillId="9" borderId="0" xfId="1" applyFont="1" applyFill="1" applyAlignment="1">
      <alignment horizontal="left" vertical="center" readingOrder="1"/>
    </xf>
    <xf numFmtId="0" fontId="41" fillId="9" borderId="0" xfId="1" applyFont="1" applyFill="1" applyAlignment="1">
      <alignment horizontal="center" vertical="center" readingOrder="1"/>
    </xf>
    <xf numFmtId="0" fontId="24" fillId="9" borderId="0" xfId="1" applyFont="1" applyFill="1" applyAlignment="1">
      <alignment vertical="center" readingOrder="1"/>
    </xf>
    <xf numFmtId="0" fontId="41" fillId="9" borderId="0" xfId="1" applyFont="1" applyFill="1" applyAlignment="1">
      <alignment vertical="center" readingOrder="1"/>
    </xf>
    <xf numFmtId="0" fontId="41" fillId="9" borderId="15" xfId="1" applyFont="1" applyFill="1" applyBorder="1" applyAlignment="1">
      <alignment vertical="center" readingOrder="1"/>
    </xf>
    <xf numFmtId="0" fontId="24" fillId="10" borderId="0" xfId="1" applyFont="1" applyFill="1" applyAlignment="1">
      <alignment horizontal="center" vertical="top"/>
    </xf>
    <xf numFmtId="0" fontId="24" fillId="10" borderId="0" xfId="1" applyFont="1" applyFill="1" applyAlignment="1">
      <alignment horizontal="center" vertical="center"/>
    </xf>
    <xf numFmtId="0" fontId="24" fillId="10" borderId="0" xfId="1" applyFont="1" applyFill="1" applyAlignment="1">
      <alignment horizontal="left" vertical="center" indent="1"/>
    </xf>
    <xf numFmtId="0" fontId="24" fillId="10" borderId="0" xfId="1" applyFont="1" applyFill="1" applyAlignment="1">
      <alignment vertical="center"/>
    </xf>
    <xf numFmtId="0" fontId="24" fillId="10" borderId="0" xfId="1" applyFont="1" applyFill="1" applyAlignment="1">
      <alignment horizontal="left" vertical="center"/>
    </xf>
    <xf numFmtId="0" fontId="24" fillId="10" borderId="15" xfId="1" applyFont="1" applyFill="1" applyBorder="1" applyAlignment="1">
      <alignment horizontal="left" vertical="center"/>
    </xf>
    <xf numFmtId="0" fontId="24" fillId="10" borderId="0" xfId="1" applyFont="1" applyFill="1" applyAlignment="1" applyProtection="1">
      <alignment vertical="center"/>
      <protection locked="0"/>
    </xf>
    <xf numFmtId="0" fontId="24" fillId="10" borderId="0" xfId="1" applyFont="1" applyFill="1" applyAlignment="1">
      <alignment horizontal="center" vertical="center" wrapText="1"/>
    </xf>
    <xf numFmtId="0" fontId="24" fillId="10" borderId="19" xfId="1" applyFont="1" applyFill="1" applyBorder="1" applyAlignment="1">
      <alignment horizontal="center" vertical="center" wrapText="1"/>
    </xf>
    <xf numFmtId="0" fontId="24" fillId="10" borderId="15" xfId="1" applyFont="1" applyFill="1" applyBorder="1" applyAlignment="1">
      <alignment horizontal="center" vertical="center" wrapText="1"/>
    </xf>
    <xf numFmtId="0" fontId="24" fillId="10" borderId="0" xfId="1" applyFont="1" applyFill="1" applyAlignment="1" applyProtection="1">
      <alignment horizontal="center" vertical="center"/>
      <protection locked="0"/>
    </xf>
    <xf numFmtId="0" fontId="10" fillId="0" borderId="0" xfId="1" applyFont="1" applyAlignment="1">
      <alignment horizontal="center"/>
    </xf>
    <xf numFmtId="0" fontId="23" fillId="0" borderId="0" xfId="1" applyFont="1" applyAlignment="1">
      <alignment horizontal="left" vertical="center"/>
    </xf>
    <xf numFmtId="0" fontId="26" fillId="2" borderId="0" xfId="1" applyFont="1" applyFill="1" applyAlignment="1">
      <alignment horizontal="center" vertical="center" wrapText="1"/>
    </xf>
    <xf numFmtId="0" fontId="23" fillId="2" borderId="0" xfId="1" applyFont="1" applyFill="1" applyAlignment="1" applyProtection="1">
      <alignment horizontal="left" vertical="center" wrapText="1"/>
      <protection locked="0"/>
    </xf>
    <xf numFmtId="0" fontId="47" fillId="0" borderId="0" xfId="0" applyFont="1" applyAlignment="1">
      <alignment horizontal="left"/>
    </xf>
    <xf numFmtId="14" fontId="0" fillId="0" borderId="0" xfId="0" applyNumberFormat="1"/>
    <xf numFmtId="0" fontId="52" fillId="0" borderId="0" xfId="0" applyFont="1" applyAlignment="1" applyProtection="1">
      <alignment horizontal="left"/>
      <protection locked="0"/>
    </xf>
    <xf numFmtId="0" fontId="11" fillId="7" borderId="0" xfId="0" applyFont="1" applyFill="1" applyAlignment="1">
      <alignment wrapText="1"/>
    </xf>
    <xf numFmtId="0" fontId="0" fillId="8" borderId="0" xfId="0" applyFill="1" applyAlignment="1">
      <alignment horizontal="right"/>
    </xf>
    <xf numFmtId="14" fontId="0" fillId="8" borderId="0" xfId="0" applyNumberFormat="1" applyFill="1"/>
    <xf numFmtId="0" fontId="0" fillId="0" borderId="32" xfId="0" applyBorder="1"/>
    <xf numFmtId="0" fontId="0" fillId="0" borderId="33" xfId="0" applyBorder="1"/>
    <xf numFmtId="0" fontId="18" fillId="0" borderId="31" xfId="0" applyFont="1" applyBorder="1"/>
    <xf numFmtId="0" fontId="42" fillId="0" borderId="6" xfId="0" applyFont="1" applyBorder="1" applyAlignment="1" applyProtection="1">
      <alignment horizontal="center" vertical="center"/>
      <protection locked="0"/>
    </xf>
    <xf numFmtId="0" fontId="4" fillId="0" borderId="24" xfId="0" applyFont="1" applyBorder="1" applyAlignment="1">
      <alignment horizontal="center"/>
    </xf>
    <xf numFmtId="0" fontId="12" fillId="0" borderId="0" xfId="0" quotePrefix="1" applyFont="1" applyAlignment="1">
      <alignment horizontal="center"/>
    </xf>
    <xf numFmtId="0" fontId="36" fillId="0" borderId="16" xfId="1" applyFont="1" applyBorder="1" applyAlignment="1">
      <alignment horizontal="center" vertical="center"/>
    </xf>
    <xf numFmtId="0" fontId="24" fillId="10" borderId="19" xfId="1" applyFont="1" applyFill="1" applyBorder="1" applyAlignment="1">
      <alignment horizontal="left" vertical="center"/>
    </xf>
    <xf numFmtId="0" fontId="24" fillId="9" borderId="19" xfId="1" applyFont="1" applyFill="1" applyBorder="1" applyAlignment="1">
      <alignment vertical="center" readingOrder="1"/>
    </xf>
    <xf numFmtId="0" fontId="53" fillId="9" borderId="0" xfId="1" applyFont="1" applyFill="1" applyAlignment="1">
      <alignment horizontal="left" vertical="center" readingOrder="1"/>
    </xf>
    <xf numFmtId="0" fontId="49" fillId="9" borderId="0" xfId="1" applyFont="1" applyFill="1" applyAlignment="1">
      <alignment horizontal="right" vertical="center" wrapText="1" readingOrder="1"/>
    </xf>
    <xf numFmtId="0" fontId="4" fillId="0" borderId="6" xfId="0" quotePrefix="1" applyFont="1" applyBorder="1" applyAlignment="1" applyProtection="1">
      <alignment horizontal="center" vertical="center"/>
      <protection locked="0"/>
    </xf>
    <xf numFmtId="0" fontId="54" fillId="2" borderId="0" xfId="1" applyFont="1" applyFill="1" applyAlignment="1">
      <alignment vertical="center"/>
    </xf>
    <xf numFmtId="0" fontId="4" fillId="0" borderId="4" xfId="0" quotePrefix="1" applyFont="1" applyBorder="1" applyAlignment="1" applyProtection="1">
      <alignment horizontal="center" vertical="center"/>
      <protection locked="0"/>
    </xf>
    <xf numFmtId="0" fontId="4" fillId="0" borderId="26" xfId="0" applyFont="1" applyBorder="1" applyAlignment="1">
      <alignment horizontal="center"/>
    </xf>
    <xf numFmtId="0" fontId="4" fillId="0" borderId="0" xfId="0" quotePrefix="1" applyFont="1" applyAlignment="1">
      <alignment horizontal="center"/>
    </xf>
    <xf numFmtId="0" fontId="4" fillId="0" borderId="27" xfId="0" applyFont="1" applyBorder="1" applyAlignment="1">
      <alignment horizontal="center"/>
    </xf>
    <xf numFmtId="0" fontId="4" fillId="0" borderId="0" xfId="0" applyFont="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5" borderId="6" xfId="0" applyFont="1" applyFill="1" applyBorder="1" applyAlignment="1" applyProtection="1">
      <alignment horizontal="center" vertical="center"/>
      <protection locked="0"/>
    </xf>
    <xf numFmtId="0" fontId="4" fillId="0" borderId="26" xfId="0" quotePrefix="1" applyFont="1" applyBorder="1" applyAlignment="1">
      <alignment horizontal="center"/>
    </xf>
    <xf numFmtId="0" fontId="4" fillId="5" borderId="7" xfId="0" applyFont="1" applyFill="1" applyBorder="1" applyAlignment="1" applyProtection="1">
      <alignment horizontal="center" vertical="center"/>
      <protection locked="0"/>
    </xf>
    <xf numFmtId="0" fontId="12" fillId="0" borderId="27" xfId="0" quotePrefix="1" applyFont="1" applyBorder="1" applyAlignment="1">
      <alignment horizontal="center"/>
    </xf>
    <xf numFmtId="0" fontId="23" fillId="12" borderId="15" xfId="1" applyFont="1" applyFill="1" applyBorder="1" applyAlignment="1" applyProtection="1">
      <alignment horizontal="center" vertical="center" wrapText="1"/>
      <protection locked="0"/>
    </xf>
    <xf numFmtId="0" fontId="56" fillId="0" borderId="0" xfId="0" applyFont="1"/>
    <xf numFmtId="0" fontId="9" fillId="0" borderId="0" xfId="0" applyFont="1" applyAlignment="1" applyProtection="1">
      <alignment horizontal="left"/>
      <protection locked="0"/>
    </xf>
    <xf numFmtId="0" fontId="56" fillId="0" borderId="0" xfId="0" applyFont="1" applyAlignment="1">
      <alignment horizontal="right"/>
    </xf>
    <xf numFmtId="0" fontId="12" fillId="8" borderId="0" xfId="0" applyFont="1" applyFill="1" applyAlignment="1">
      <alignment horizontal="center"/>
    </xf>
    <xf numFmtId="0" fontId="20" fillId="12" borderId="13" xfId="1" applyFont="1" applyFill="1" applyBorder="1" applyAlignment="1">
      <alignment vertical="center"/>
    </xf>
    <xf numFmtId="0" fontId="20" fillId="12" borderId="14" xfId="1" applyFont="1" applyFill="1" applyBorder="1" applyAlignment="1">
      <alignment vertical="center"/>
    </xf>
    <xf numFmtId="0" fontId="20" fillId="12" borderId="14" xfId="1" applyFont="1" applyFill="1" applyBorder="1" applyAlignment="1">
      <alignment horizontal="right" vertical="center"/>
    </xf>
    <xf numFmtId="0" fontId="50" fillId="12" borderId="14" xfId="1" applyFont="1" applyFill="1" applyBorder="1" applyAlignment="1">
      <alignment horizontal="center" vertical="center"/>
    </xf>
    <xf numFmtId="0" fontId="43" fillId="12" borderId="14" xfId="1" applyFont="1" applyFill="1" applyBorder="1" applyAlignment="1">
      <alignment vertical="center"/>
    </xf>
    <xf numFmtId="0" fontId="50" fillId="12" borderId="14" xfId="1" applyFont="1" applyFill="1" applyBorder="1" applyAlignment="1">
      <alignment horizontal="right" vertical="center"/>
    </xf>
    <xf numFmtId="0" fontId="9" fillId="0" borderId="0" xfId="0" applyFont="1" applyAlignment="1" applyProtection="1">
      <alignment horizontal="center"/>
      <protection locked="0"/>
    </xf>
    <xf numFmtId="0" fontId="58" fillId="0" borderId="0" xfId="0" applyFont="1"/>
    <xf numFmtId="0" fontId="10" fillId="8" borderId="4" xfId="0" applyFont="1" applyFill="1" applyBorder="1" applyAlignment="1" applyProtection="1">
      <alignment horizontal="center" vertical="center"/>
      <protection locked="0"/>
    </xf>
    <xf numFmtId="0" fontId="59" fillId="8" borderId="0" xfId="0" applyFont="1" applyFill="1" applyAlignment="1">
      <alignment horizontal="center" vertical="center"/>
    </xf>
    <xf numFmtId="0" fontId="24" fillId="10" borderId="0" xfId="1" applyFont="1" applyFill="1" applyAlignment="1">
      <alignment horizontal="center" vertical="center" shrinkToFit="1"/>
    </xf>
    <xf numFmtId="0" fontId="36" fillId="0" borderId="17" xfId="1" applyFont="1" applyBorder="1" applyAlignment="1">
      <alignment horizontal="center" vertical="center" shrinkToFit="1"/>
    </xf>
    <xf numFmtId="0" fontId="23" fillId="2" borderId="16" xfId="1" applyFont="1" applyFill="1" applyBorder="1" applyAlignment="1">
      <alignment horizontal="center" vertical="center"/>
    </xf>
    <xf numFmtId="0" fontId="23" fillId="4" borderId="11" xfId="1" applyFont="1" applyFill="1" applyBorder="1" applyAlignment="1">
      <alignment horizontal="center" vertical="center"/>
    </xf>
    <xf numFmtId="0" fontId="45" fillId="8" borderId="0" xfId="0" applyFont="1" applyFill="1"/>
    <xf numFmtId="0" fontId="26" fillId="2" borderId="17" xfId="1" applyFont="1" applyFill="1" applyBorder="1" applyAlignment="1">
      <alignment horizontal="center" vertical="center" shrinkToFit="1"/>
    </xf>
    <xf numFmtId="0" fontId="26" fillId="2" borderId="0" xfId="1" applyFont="1" applyFill="1" applyAlignment="1">
      <alignment horizontal="center" vertical="center" shrinkToFit="1"/>
    </xf>
    <xf numFmtId="0" fontId="41" fillId="9" borderId="0" xfId="1" applyFont="1" applyFill="1" applyAlignment="1">
      <alignment horizontal="center" vertical="center" shrinkToFit="1"/>
    </xf>
    <xf numFmtId="0" fontId="26" fillId="4" borderId="0" xfId="1" applyFont="1" applyFill="1" applyAlignment="1">
      <alignment horizontal="left" vertical="center" shrinkToFit="1"/>
    </xf>
    <xf numFmtId="0" fontId="60" fillId="2" borderId="0" xfId="1" applyFont="1" applyFill="1" applyAlignment="1">
      <alignment vertical="center"/>
    </xf>
    <xf numFmtId="0" fontId="4" fillId="0" borderId="23" xfId="0" applyFont="1" applyBorder="1" applyAlignment="1">
      <alignment horizontal="center"/>
    </xf>
    <xf numFmtId="0" fontId="4" fillId="0" borderId="25" xfId="0" applyFont="1" applyBorder="1" applyAlignment="1">
      <alignment horizontal="center"/>
    </xf>
    <xf numFmtId="0" fontId="4" fillId="0" borderId="27" xfId="0" quotePrefix="1" applyFont="1" applyBorder="1" applyAlignment="1">
      <alignment horizontal="center"/>
    </xf>
    <xf numFmtId="0" fontId="0" fillId="0" borderId="0" xfId="0" applyAlignment="1">
      <alignment horizontal="left" textRotation="90"/>
    </xf>
    <xf numFmtId="14" fontId="61" fillId="13" borderId="0" xfId="4" applyNumberFormat="1" applyAlignment="1">
      <alignment horizontal="center"/>
    </xf>
    <xf numFmtId="0" fontId="62" fillId="0" borderId="0" xfId="0" applyFont="1" applyAlignment="1">
      <alignment horizontal="center"/>
    </xf>
    <xf numFmtId="0" fontId="11" fillId="0" borderId="0" xfId="0" applyFont="1" applyAlignment="1">
      <alignment horizontal="left"/>
    </xf>
    <xf numFmtId="0" fontId="11" fillId="0" borderId="0" xfId="0" applyFont="1" applyAlignment="1">
      <alignment wrapText="1"/>
    </xf>
    <xf numFmtId="0" fontId="11" fillId="0" borderId="0" xfId="0" applyFont="1" applyAlignment="1">
      <alignment horizontal="left" textRotation="90"/>
    </xf>
    <xf numFmtId="0" fontId="11" fillId="11" borderId="0" xfId="0" applyFont="1" applyFill="1" applyAlignment="1">
      <alignment horizontal="center"/>
    </xf>
    <xf numFmtId="0" fontId="11" fillId="0" borderId="5" xfId="0" applyFont="1" applyBorder="1" applyAlignment="1">
      <alignment horizontal="left" textRotation="90"/>
    </xf>
    <xf numFmtId="0" fontId="11" fillId="11" borderId="5" xfId="0" applyFont="1" applyFill="1" applyBorder="1" applyAlignment="1">
      <alignment horizontal="center"/>
    </xf>
    <xf numFmtId="0" fontId="24" fillId="10" borderId="34" xfId="1" applyFont="1" applyFill="1" applyBorder="1" applyAlignment="1">
      <alignment horizontal="center" vertical="center" wrapText="1"/>
    </xf>
    <xf numFmtId="0" fontId="23" fillId="2" borderId="35" xfId="1" applyFont="1" applyFill="1" applyBorder="1" applyAlignment="1">
      <alignment horizontal="center" vertical="center" wrapText="1"/>
    </xf>
    <xf numFmtId="0" fontId="23" fillId="0" borderId="35" xfId="1" applyFont="1" applyBorder="1" applyAlignment="1">
      <alignment horizontal="center" vertical="center" wrapText="1"/>
    </xf>
    <xf numFmtId="0" fontId="45" fillId="0" borderId="0" xfId="0" applyFont="1"/>
    <xf numFmtId="0" fontId="23" fillId="4" borderId="34" xfId="1" applyFont="1" applyFill="1" applyBorder="1" applyAlignment="1">
      <alignment horizontal="center" vertical="center" wrapText="1"/>
    </xf>
    <xf numFmtId="14" fontId="8" fillId="0" borderId="0" xfId="0" applyNumberFormat="1" applyFont="1" applyAlignment="1" applyProtection="1">
      <alignment horizontal="center"/>
      <protection locked="0"/>
    </xf>
    <xf numFmtId="0" fontId="63" fillId="0" borderId="0" xfId="0" applyFont="1" applyAlignment="1" applyProtection="1">
      <alignment horizontal="center"/>
      <protection locked="0"/>
    </xf>
    <xf numFmtId="14" fontId="63" fillId="0" borderId="0" xfId="0" applyNumberFormat="1" applyFont="1" applyAlignment="1" applyProtection="1">
      <alignment horizontal="center"/>
      <protection locked="0"/>
    </xf>
    <xf numFmtId="0" fontId="9" fillId="15" borderId="0" xfId="0" applyFont="1" applyFill="1" applyAlignment="1" applyProtection="1">
      <alignment horizontal="center"/>
      <protection locked="0"/>
    </xf>
    <xf numFmtId="14" fontId="9" fillId="15" borderId="0" xfId="0" applyNumberFormat="1" applyFont="1" applyFill="1" applyAlignment="1" applyProtection="1">
      <alignment horizontal="center"/>
      <protection locked="0"/>
    </xf>
    <xf numFmtId="0" fontId="9" fillId="15" borderId="0" xfId="0" applyFont="1" applyFill="1" applyAlignment="1" applyProtection="1">
      <alignment horizontal="left"/>
      <protection locked="0"/>
    </xf>
    <xf numFmtId="0" fontId="9" fillId="15" borderId="0" xfId="0" applyFont="1" applyFill="1" applyProtection="1">
      <protection locked="0"/>
    </xf>
    <xf numFmtId="0" fontId="9" fillId="14" borderId="0" xfId="0" applyFont="1" applyFill="1" applyAlignment="1" applyProtection="1">
      <alignment horizontal="center"/>
      <protection locked="0"/>
    </xf>
    <xf numFmtId="0" fontId="64" fillId="0" borderId="0" xfId="0" applyFont="1"/>
    <xf numFmtId="14" fontId="47" fillId="15" borderId="0" xfId="0" applyNumberFormat="1" applyFont="1" applyFill="1"/>
    <xf numFmtId="0" fontId="47" fillId="15" borderId="0" xfId="0" applyFont="1" applyFill="1" applyAlignment="1">
      <alignment horizontal="center"/>
    </xf>
    <xf numFmtId="0" fontId="65" fillId="0" borderId="0" xfId="0" applyFont="1" applyAlignment="1">
      <alignment horizontal="left"/>
    </xf>
    <xf numFmtId="0" fontId="11" fillId="8" borderId="0" xfId="0" applyFont="1" applyFill="1"/>
    <xf numFmtId="0" fontId="47" fillId="15" borderId="0" xfId="0" applyFont="1" applyFill="1" applyAlignment="1">
      <alignment horizontal="left"/>
    </xf>
    <xf numFmtId="14" fontId="65" fillId="0" borderId="0" xfId="0" applyNumberFormat="1" applyFont="1"/>
    <xf numFmtId="0" fontId="65" fillId="0" borderId="0" xfId="0" applyFont="1" applyAlignment="1">
      <alignment horizontal="center"/>
    </xf>
    <xf numFmtId="0" fontId="4" fillId="0" borderId="0" xfId="0" applyFont="1" applyAlignment="1">
      <alignment horizontal="left"/>
    </xf>
    <xf numFmtId="0" fontId="0" fillId="0" borderId="23" xfId="0" applyBorder="1"/>
    <xf numFmtId="0" fontId="0" fillId="0" borderId="25" xfId="0" applyBorder="1"/>
    <xf numFmtId="0" fontId="0" fillId="0" borderId="26" xfId="0" applyBorder="1"/>
    <xf numFmtId="0" fontId="0" fillId="0" borderId="30" xfId="0" applyBorder="1" applyProtection="1">
      <protection locked="0"/>
    </xf>
    <xf numFmtId="0" fontId="0" fillId="0" borderId="27" xfId="0" applyBorder="1"/>
    <xf numFmtId="0" fontId="21" fillId="16" borderId="36" xfId="1" applyFont="1" applyFill="1" applyBorder="1" applyAlignment="1">
      <alignment horizontal="left" vertical="center"/>
    </xf>
    <xf numFmtId="0" fontId="12" fillId="0" borderId="26" xfId="0" quotePrefix="1" applyFont="1" applyBorder="1" applyAlignment="1">
      <alignment horizontal="center"/>
    </xf>
    <xf numFmtId="0" fontId="67" fillId="0" borderId="0" xfId="0" applyFont="1"/>
    <xf numFmtId="0" fontId="67" fillId="0" borderId="0" xfId="0" applyFont="1" applyAlignment="1">
      <alignment horizontal="center"/>
    </xf>
    <xf numFmtId="0" fontId="63" fillId="7" borderId="0" xfId="0" applyFont="1" applyFill="1" applyAlignment="1">
      <alignment wrapText="1"/>
    </xf>
    <xf numFmtId="0" fontId="11" fillId="0" borderId="0" xfId="0" quotePrefix="1" applyFont="1"/>
    <xf numFmtId="0" fontId="31" fillId="2" borderId="0" xfId="1" applyFont="1" applyFill="1" applyAlignment="1">
      <alignment vertical="center"/>
    </xf>
    <xf numFmtId="0" fontId="0" fillId="0" borderId="23"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28" xfId="0" applyBorder="1" applyProtection="1">
      <protection locked="0"/>
    </xf>
    <xf numFmtId="14" fontId="64" fillId="0" borderId="0" xfId="0" applyNumberFormat="1" applyFont="1"/>
    <xf numFmtId="0" fontId="67" fillId="8" borderId="0" xfId="0" applyFont="1" applyFill="1"/>
    <xf numFmtId="0" fontId="10" fillId="8" borderId="6" xfId="0" quotePrefix="1" applyFont="1" applyFill="1" applyBorder="1" applyAlignment="1" applyProtection="1">
      <alignment horizontal="center" vertical="center"/>
      <protection locked="0"/>
    </xf>
    <xf numFmtId="0" fontId="45" fillId="8" borderId="0" xfId="0" applyFont="1" applyFill="1" applyAlignment="1" applyProtection="1">
      <alignment horizontal="center"/>
      <protection locked="0"/>
    </xf>
    <xf numFmtId="0" fontId="69" fillId="0" borderId="31" xfId="0" applyFont="1" applyBorder="1"/>
    <xf numFmtId="0" fontId="68" fillId="0" borderId="0" xfId="0" applyFont="1" applyAlignment="1">
      <alignment horizontal="right"/>
    </xf>
    <xf numFmtId="0" fontId="10" fillId="0" borderId="0" xfId="0" applyFont="1" applyAlignment="1" applyProtection="1">
      <alignment horizontal="center" vertical="center"/>
      <protection locked="0"/>
    </xf>
    <xf numFmtId="0" fontId="70" fillId="3" borderId="1" xfId="0" applyFont="1" applyFill="1" applyBorder="1" applyAlignment="1" applyProtection="1">
      <alignment horizontal="right" vertical="center"/>
      <protection locked="0"/>
    </xf>
    <xf numFmtId="0" fontId="70" fillId="3" borderId="2" xfId="0" applyFont="1" applyFill="1" applyBorder="1" applyAlignment="1" applyProtection="1">
      <alignment horizontal="right" vertical="center"/>
      <protection locked="0"/>
    </xf>
    <xf numFmtId="0" fontId="45" fillId="0" borderId="32" xfId="0" applyFont="1" applyBorder="1"/>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45" fillId="0" borderId="33" xfId="0" applyFont="1" applyBorder="1"/>
    <xf numFmtId="0" fontId="10" fillId="5" borderId="6" xfId="0" applyFont="1" applyFill="1" applyBorder="1" applyAlignment="1" applyProtection="1">
      <alignment horizontal="center" vertical="center"/>
      <protection locked="0"/>
    </xf>
    <xf numFmtId="0" fontId="10" fillId="0" borderId="6" xfId="0" quotePrefix="1"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1"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45" fillId="0" borderId="0" xfId="0" applyFont="1" applyProtection="1">
      <protection locked="0"/>
    </xf>
    <xf numFmtId="0" fontId="10" fillId="5" borderId="0" xfId="0" applyFont="1" applyFill="1" applyAlignment="1" applyProtection="1">
      <alignment horizontal="center" vertical="center"/>
      <protection locked="0"/>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0" xfId="0" quotePrefix="1" applyFont="1" applyAlignment="1">
      <alignment horizontal="center"/>
    </xf>
    <xf numFmtId="0" fontId="10" fillId="0" borderId="27" xfId="0" applyFont="1" applyBorder="1" applyAlignment="1">
      <alignment horizontal="center"/>
    </xf>
    <xf numFmtId="0" fontId="10" fillId="0" borderId="0" xfId="0" applyFont="1" applyAlignment="1">
      <alignment horizontal="center"/>
    </xf>
    <xf numFmtId="0" fontId="8" fillId="0" borderId="0" xfId="0" applyFont="1" applyAlignment="1" applyProtection="1">
      <alignment horizontal="left"/>
      <protection locked="0"/>
    </xf>
    <xf numFmtId="0" fontId="10" fillId="0" borderId="28"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0" fillId="0" borderId="29" xfId="0" applyBorder="1"/>
    <xf numFmtId="0" fontId="11" fillId="0" borderId="29" xfId="0" applyFont="1" applyBorder="1" applyProtection="1">
      <protection locked="0"/>
    </xf>
    <xf numFmtId="0" fontId="12" fillId="0" borderId="29" xfId="0" applyFont="1" applyBorder="1" applyAlignment="1" applyProtection="1">
      <alignment horizontal="center" vertical="center"/>
      <protection locked="0"/>
    </xf>
    <xf numFmtId="0" fontId="0" fillId="0" borderId="29" xfId="0" applyBorder="1" applyProtection="1">
      <protection locked="0"/>
    </xf>
    <xf numFmtId="0" fontId="11" fillId="0" borderId="29" xfId="0" applyFont="1" applyBorder="1" applyAlignment="1" applyProtection="1">
      <alignment horizontal="left"/>
      <protection locked="0"/>
    </xf>
    <xf numFmtId="14" fontId="37" fillId="2" borderId="0" xfId="1" applyNumberFormat="1" applyFont="1" applyFill="1" applyAlignment="1">
      <alignment horizontal="right" vertical="center"/>
    </xf>
    <xf numFmtId="0" fontId="59" fillId="8" borderId="0" xfId="0" applyFont="1" applyFill="1" applyAlignment="1">
      <alignment horizontal="center"/>
    </xf>
    <xf numFmtId="0" fontId="56" fillId="8" borderId="0" xfId="0" applyFont="1" applyFill="1"/>
    <xf numFmtId="0" fontId="73" fillId="9" borderId="0" xfId="1" applyFont="1" applyFill="1" applyAlignment="1">
      <alignment horizontal="right" vertical="center" wrapText="1" readingOrder="1"/>
    </xf>
    <xf numFmtId="0" fontId="39" fillId="9" borderId="12" xfId="1" applyFont="1" applyFill="1" applyBorder="1" applyAlignment="1">
      <alignment horizontal="left" vertical="center" wrapText="1"/>
    </xf>
    <xf numFmtId="0" fontId="28" fillId="2" borderId="0" xfId="1" applyFont="1" applyFill="1" applyAlignment="1">
      <alignment horizontal="center" vertical="center" wrapText="1"/>
    </xf>
    <xf numFmtId="0" fontId="66" fillId="16" borderId="37" xfId="1" applyFont="1" applyFill="1" applyBorder="1" applyAlignment="1">
      <alignment horizontal="center" vertical="center" wrapText="1"/>
    </xf>
    <xf numFmtId="0" fontId="66" fillId="16" borderId="38" xfId="1" applyFont="1" applyFill="1" applyBorder="1" applyAlignment="1">
      <alignment horizontal="center" vertical="center" wrapText="1"/>
    </xf>
    <xf numFmtId="0" fontId="28" fillId="2" borderId="0" xfId="1" applyFont="1" applyFill="1" applyAlignment="1">
      <alignment horizontal="left" vertical="center" wrapText="1"/>
    </xf>
    <xf numFmtId="0" fontId="19" fillId="0" borderId="9" xfId="1" applyFont="1" applyBorder="1" applyAlignment="1" applyProtection="1">
      <alignment horizontal="center"/>
    </xf>
    <xf numFmtId="0" fontId="19" fillId="0" borderId="10" xfId="1" applyFont="1" applyBorder="1" applyAlignment="1" applyProtection="1">
      <alignment horizontal="center"/>
    </xf>
    <xf numFmtId="0" fontId="19" fillId="0" borderId="10" xfId="1" applyFont="1" applyBorder="1" applyProtection="1"/>
    <xf numFmtId="0" fontId="19" fillId="0" borderId="11" xfId="1" applyFont="1" applyBorder="1" applyProtection="1"/>
    <xf numFmtId="0" fontId="2" fillId="0" borderId="0" xfId="1" applyAlignment="1" applyProtection="1">
      <alignment horizontal="center" vertical="center"/>
    </xf>
    <xf numFmtId="0" fontId="2" fillId="0" borderId="0" xfId="1" applyProtection="1"/>
    <xf numFmtId="0" fontId="19" fillId="0" borderId="0" xfId="1" applyFont="1" applyAlignment="1" applyProtection="1">
      <alignment horizontal="center"/>
    </xf>
    <xf numFmtId="0" fontId="10" fillId="0" borderId="0" xfId="1" applyFont="1" applyAlignment="1" applyProtection="1">
      <alignment horizontal="center"/>
    </xf>
    <xf numFmtId="0" fontId="19" fillId="0" borderId="0" xfId="1" applyFont="1" applyProtection="1"/>
    <xf numFmtId="0" fontId="39" fillId="9" borderId="12" xfId="1" applyFont="1" applyFill="1" applyBorder="1" applyAlignment="1" applyProtection="1">
      <alignment horizontal="left" vertical="center" wrapText="1"/>
    </xf>
    <xf numFmtId="0" fontId="39" fillId="9" borderId="0" xfId="1" applyFont="1" applyFill="1" applyAlignment="1" applyProtection="1">
      <alignment vertical="center" wrapText="1"/>
    </xf>
    <xf numFmtId="0" fontId="20" fillId="12" borderId="13" xfId="1" applyFont="1" applyFill="1" applyBorder="1" applyAlignment="1" applyProtection="1">
      <alignment vertical="center"/>
    </xf>
    <xf numFmtId="0" fontId="20" fillId="12" borderId="14" xfId="1" applyFont="1" applyFill="1" applyBorder="1" applyAlignment="1" applyProtection="1">
      <alignment vertical="center"/>
    </xf>
    <xf numFmtId="0" fontId="20" fillId="12" borderId="14" xfId="1" applyFont="1" applyFill="1" applyBorder="1" applyAlignment="1" applyProtection="1">
      <alignment horizontal="right" vertical="center"/>
    </xf>
    <xf numFmtId="0" fontId="50" fillId="12" borderId="14" xfId="1" applyFont="1" applyFill="1" applyBorder="1" applyAlignment="1" applyProtection="1">
      <alignment horizontal="center" vertical="center"/>
    </xf>
    <xf numFmtId="0" fontId="43" fillId="12" borderId="14" xfId="1" applyFont="1" applyFill="1" applyBorder="1" applyAlignment="1" applyProtection="1">
      <alignment vertical="center"/>
    </xf>
    <xf numFmtId="0" fontId="2" fillId="0" borderId="0" xfId="1" applyAlignment="1" applyProtection="1">
      <alignment horizontal="center"/>
    </xf>
    <xf numFmtId="0" fontId="21" fillId="2" borderId="0" xfId="1" applyFont="1" applyFill="1" applyAlignment="1" applyProtection="1">
      <alignment horizontal="right" vertical="center" indent="1"/>
    </xf>
    <xf numFmtId="0" fontId="23" fillId="2" borderId="0" xfId="1" applyFont="1" applyFill="1" applyAlignment="1" applyProtection="1">
      <alignment horizontal="right" vertical="center" indent="1"/>
    </xf>
    <xf numFmtId="0" fontId="54" fillId="2" borderId="0" xfId="1" applyFont="1" applyFill="1" applyAlignment="1" applyProtection="1">
      <alignment vertical="center"/>
    </xf>
    <xf numFmtId="0" fontId="21" fillId="2" borderId="0" xfId="1" applyFont="1" applyFill="1" applyAlignment="1" applyProtection="1">
      <alignment vertical="center"/>
    </xf>
    <xf numFmtId="14" fontId="23" fillId="2" borderId="0" xfId="1" applyNumberFormat="1" applyFont="1" applyFill="1" applyAlignment="1" applyProtection="1">
      <alignment vertical="center"/>
    </xf>
    <xf numFmtId="14" fontId="37" fillId="2" borderId="0" xfId="1" applyNumberFormat="1" applyFont="1" applyFill="1" applyAlignment="1" applyProtection="1">
      <alignment horizontal="right" vertical="center"/>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3" fillId="2" borderId="0" xfId="1" applyFont="1" applyFill="1" applyAlignment="1" applyProtection="1">
      <alignment horizontal="left" vertical="center" wrapText="1"/>
    </xf>
    <xf numFmtId="0" fontId="23" fillId="0" borderId="0" xfId="1" applyFont="1" applyAlignment="1" applyProtection="1">
      <alignment vertical="top" wrapText="1"/>
    </xf>
    <xf numFmtId="0" fontId="21" fillId="16" borderId="36" xfId="1" applyFont="1" applyFill="1" applyBorder="1" applyAlignment="1" applyProtection="1">
      <alignment horizontal="left" vertical="center"/>
    </xf>
    <xf numFmtId="0" fontId="66" fillId="16" borderId="37" xfId="1" applyFont="1" applyFill="1" applyBorder="1" applyAlignment="1" applyProtection="1">
      <alignment horizontal="center" vertical="center" wrapText="1"/>
    </xf>
    <xf numFmtId="0" fontId="66" fillId="16" borderId="38" xfId="1" applyFont="1" applyFill="1" applyBorder="1" applyAlignment="1" applyProtection="1">
      <alignment horizontal="center" vertical="center" wrapText="1"/>
    </xf>
    <xf numFmtId="0" fontId="24" fillId="10" borderId="0" xfId="1" applyFont="1" applyFill="1" applyAlignment="1" applyProtection="1">
      <alignment horizontal="center" vertical="center"/>
    </xf>
    <xf numFmtId="0" fontId="24" fillId="10" borderId="0" xfId="1" applyFont="1" applyFill="1" applyAlignment="1" applyProtection="1">
      <alignment horizontal="left" vertical="center" indent="1"/>
    </xf>
    <xf numFmtId="0" fontId="24" fillId="10" borderId="0" xfId="1" applyFont="1" applyFill="1" applyAlignment="1" applyProtection="1">
      <alignment vertical="center"/>
    </xf>
    <xf numFmtId="0" fontId="24" fillId="10" borderId="19" xfId="1" applyFont="1" applyFill="1" applyBorder="1" applyAlignment="1" applyProtection="1">
      <alignment horizontal="left" vertical="center"/>
    </xf>
    <xf numFmtId="0" fontId="24" fillId="10" borderId="0" xfId="1" applyFont="1" applyFill="1" applyAlignment="1" applyProtection="1">
      <alignment horizontal="left" vertical="center"/>
    </xf>
    <xf numFmtId="0" fontId="24" fillId="10" borderId="15" xfId="1" applyFont="1" applyFill="1" applyBorder="1" applyAlignment="1" applyProtection="1">
      <alignment horizontal="left" vertical="center"/>
    </xf>
    <xf numFmtId="0" fontId="25" fillId="2" borderId="0" xfId="1" applyFont="1" applyFill="1" applyAlignment="1" applyProtection="1">
      <alignment horizontal="center" vertical="center"/>
    </xf>
    <xf numFmtId="0" fontId="25" fillId="2" borderId="0" xfId="1" applyFont="1" applyFill="1" applyAlignment="1" applyProtection="1">
      <alignment vertical="center"/>
    </xf>
    <xf numFmtId="0" fontId="26" fillId="2" borderId="0" xfId="1" applyFont="1" applyFill="1" applyAlignment="1" applyProtection="1">
      <alignment vertical="center"/>
    </xf>
    <xf numFmtId="0" fontId="24" fillId="10" borderId="0" xfId="1" applyFont="1" applyFill="1" applyAlignment="1" applyProtection="1">
      <alignment horizontal="center" vertical="center" wrapText="1"/>
    </xf>
    <xf numFmtId="0" fontId="24" fillId="10" borderId="0" xfId="1" applyFont="1" applyFill="1" applyAlignment="1" applyProtection="1">
      <alignment horizontal="center" vertical="center" shrinkToFit="1"/>
    </xf>
    <xf numFmtId="0" fontId="24" fillId="10" borderId="19" xfId="1" applyFont="1" applyFill="1" applyBorder="1" applyAlignment="1" applyProtection="1">
      <alignment horizontal="center" vertical="center" wrapText="1"/>
    </xf>
    <xf numFmtId="0" fontId="24" fillId="10" borderId="34" xfId="1" applyFont="1" applyFill="1" applyBorder="1" applyAlignment="1" applyProtection="1">
      <alignment horizontal="center" vertical="center" wrapText="1"/>
    </xf>
    <xf numFmtId="0" fontId="24" fillId="10" borderId="15" xfId="1" applyFont="1" applyFill="1" applyBorder="1" applyAlignment="1" applyProtection="1">
      <alignment horizontal="center" vertical="center" wrapText="1"/>
    </xf>
    <xf numFmtId="0" fontId="23" fillId="2" borderId="16" xfId="1" applyFont="1" applyFill="1" applyBorder="1" applyAlignment="1" applyProtection="1">
      <alignment horizontal="center" vertical="center" wrapText="1"/>
    </xf>
    <xf numFmtId="0" fontId="23" fillId="2" borderId="17" xfId="1" applyFont="1" applyFill="1" applyBorder="1" applyAlignment="1" applyProtection="1">
      <alignment horizontal="center" vertical="center" wrapText="1"/>
    </xf>
    <xf numFmtId="0" fontId="23" fillId="2" borderId="17" xfId="1" applyFont="1" applyFill="1" applyBorder="1" applyAlignment="1" applyProtection="1">
      <alignment vertical="center" wrapText="1"/>
    </xf>
    <xf numFmtId="0" fontId="26" fillId="2" borderId="17" xfId="1" applyFont="1" applyFill="1" applyBorder="1" applyAlignment="1" applyProtection="1">
      <alignment horizontal="center" vertical="center" shrinkToFit="1"/>
    </xf>
    <xf numFmtId="0" fontId="23" fillId="2" borderId="20" xfId="1" applyFont="1" applyFill="1" applyBorder="1" applyAlignment="1" applyProtection="1">
      <alignment horizontal="center" vertical="center" wrapText="1"/>
    </xf>
    <xf numFmtId="0" fontId="23" fillId="2" borderId="35" xfId="1" applyFont="1" applyFill="1" applyBorder="1" applyAlignment="1" applyProtection="1">
      <alignment horizontal="center" vertical="center" wrapText="1"/>
    </xf>
    <xf numFmtId="0" fontId="23" fillId="2" borderId="21" xfId="1" applyFont="1" applyFill="1" applyBorder="1" applyAlignment="1" applyProtection="1">
      <alignment horizontal="center" vertical="center" wrapText="1"/>
    </xf>
    <xf numFmtId="0" fontId="27" fillId="0" borderId="0" xfId="1" applyFont="1" applyAlignment="1" applyProtection="1">
      <alignment horizontal="center" vertical="center" wrapText="1"/>
    </xf>
    <xf numFmtId="0" fontId="25" fillId="2" borderId="0" xfId="1" applyFont="1" applyFill="1" applyAlignment="1" applyProtection="1">
      <alignment wrapText="1"/>
    </xf>
    <xf numFmtId="0" fontId="26" fillId="2" borderId="0" xfId="1" applyFont="1" applyFill="1" applyAlignment="1" applyProtection="1">
      <alignment wrapText="1"/>
    </xf>
    <xf numFmtId="0" fontId="23" fillId="12" borderId="11" xfId="1" applyFont="1" applyFill="1" applyBorder="1" applyAlignment="1" applyProtection="1">
      <alignment horizontal="center" vertical="center" wrapText="1"/>
    </xf>
    <xf numFmtId="0" fontId="23" fillId="12" borderId="0" xfId="1" applyFont="1" applyFill="1" applyAlignment="1" applyProtection="1">
      <alignment horizontal="center" vertical="center" wrapText="1"/>
    </xf>
    <xf numFmtId="0" fontId="23" fillId="12" borderId="0" xfId="1" applyFont="1" applyFill="1" applyAlignment="1" applyProtection="1">
      <alignment vertical="center" wrapText="1"/>
    </xf>
    <xf numFmtId="0" fontId="26" fillId="12" borderId="0" xfId="1" applyFont="1" applyFill="1" applyAlignment="1" applyProtection="1">
      <alignment horizontal="left" vertical="center" shrinkToFit="1"/>
    </xf>
    <xf numFmtId="0" fontId="23" fillId="12" borderId="19" xfId="1" applyFont="1" applyFill="1" applyBorder="1" applyAlignment="1" applyProtection="1">
      <alignment horizontal="center" vertical="center" wrapText="1"/>
    </xf>
    <xf numFmtId="0" fontId="23" fillId="12" borderId="34" xfId="1" applyFont="1" applyFill="1" applyBorder="1" applyAlignment="1" applyProtection="1">
      <alignment horizontal="center" vertical="center" wrapText="1"/>
    </xf>
    <xf numFmtId="0" fontId="23" fillId="12" borderId="15" xfId="1" applyFont="1" applyFill="1" applyBorder="1" applyAlignment="1" applyProtection="1">
      <alignment horizontal="center" vertical="center" wrapText="1"/>
    </xf>
    <xf numFmtId="0" fontId="23" fillId="0" borderId="17" xfId="1" applyFont="1" applyBorder="1" applyAlignment="1" applyProtection="1">
      <alignment horizontal="center" vertical="center" wrapText="1"/>
    </xf>
    <xf numFmtId="0" fontId="23" fillId="0" borderId="20" xfId="1" applyFont="1" applyBorder="1" applyAlignment="1" applyProtection="1">
      <alignment horizontal="center" vertical="center" wrapText="1"/>
    </xf>
    <xf numFmtId="0" fontId="23" fillId="0" borderId="35" xfId="1" applyFont="1" applyBorder="1" applyAlignment="1" applyProtection="1">
      <alignment horizontal="center" vertical="center" wrapText="1"/>
    </xf>
    <xf numFmtId="0" fontId="23" fillId="0" borderId="21" xfId="1" applyFont="1" applyBorder="1" applyAlignment="1" applyProtection="1">
      <alignment horizontal="center" vertical="center" wrapText="1"/>
    </xf>
    <xf numFmtId="0" fontId="25" fillId="2" borderId="0" xfId="1" applyFont="1" applyFill="1" applyProtection="1"/>
    <xf numFmtId="0" fontId="26" fillId="2" borderId="0" xfId="1" applyFont="1" applyFill="1" applyProtection="1"/>
    <xf numFmtId="0" fontId="23" fillId="0" borderId="17" xfId="1" applyFont="1" applyBorder="1" applyAlignment="1" applyProtection="1">
      <alignment horizontal="left" vertical="center"/>
    </xf>
    <xf numFmtId="0" fontId="23" fillId="0" borderId="17" xfId="1" applyFont="1" applyBorder="1" applyAlignment="1" applyProtection="1">
      <alignment vertical="center" wrapText="1"/>
    </xf>
    <xf numFmtId="0" fontId="23" fillId="2" borderId="0" xfId="1" applyFont="1" applyFill="1" applyAlignment="1" applyProtection="1">
      <alignment horizontal="center" vertical="center" wrapText="1"/>
    </xf>
    <xf numFmtId="0" fontId="23" fillId="0" borderId="0" xfId="1" applyFont="1" applyAlignment="1" applyProtection="1">
      <alignment horizontal="center" vertical="center" wrapText="1"/>
    </xf>
    <xf numFmtId="0" fontId="23" fillId="0" borderId="0" xfId="1" applyFont="1" applyAlignment="1" applyProtection="1">
      <alignment horizontal="left" vertical="center"/>
    </xf>
    <xf numFmtId="0" fontId="26" fillId="2" borderId="0" xfId="1" applyFont="1" applyFill="1" applyAlignment="1" applyProtection="1">
      <alignment horizontal="center" vertical="center" shrinkToFit="1"/>
    </xf>
    <xf numFmtId="0" fontId="31" fillId="11" borderId="0" xfId="1" applyFont="1" applyFill="1" applyAlignment="1" applyProtection="1">
      <alignment horizontal="left" vertical="center" readingOrder="1"/>
    </xf>
    <xf numFmtId="0" fontId="44" fillId="11" borderId="0" xfId="1" applyFont="1" applyFill="1" applyAlignment="1" applyProtection="1">
      <alignment horizontal="left" vertical="center" readingOrder="1"/>
    </xf>
    <xf numFmtId="0" fontId="36" fillId="11" borderId="0" xfId="1" applyFont="1" applyFill="1" applyAlignment="1" applyProtection="1">
      <alignment horizontal="left" vertical="center" readingOrder="1"/>
    </xf>
    <xf numFmtId="0" fontId="54" fillId="11" borderId="0" xfId="1" applyFont="1" applyFill="1" applyAlignment="1" applyProtection="1">
      <alignment horizontal="center" vertical="center" readingOrder="1"/>
    </xf>
    <xf numFmtId="0" fontId="55" fillId="11" borderId="0" xfId="1" applyFont="1" applyFill="1" applyAlignment="1" applyProtection="1">
      <alignment horizontal="center" vertical="center" shrinkToFit="1"/>
    </xf>
    <xf numFmtId="0" fontId="55" fillId="11" borderId="19" xfId="1" applyFont="1" applyFill="1" applyBorder="1" applyAlignment="1" applyProtection="1">
      <alignment vertical="center" readingOrder="1"/>
    </xf>
    <xf numFmtId="0" fontId="55" fillId="11" borderId="0" xfId="1" applyFont="1" applyFill="1" applyAlignment="1" applyProtection="1">
      <alignment vertical="center" readingOrder="1"/>
    </xf>
    <xf numFmtId="0" fontId="54" fillId="11" borderId="0" xfId="1" applyFont="1" applyFill="1" applyAlignment="1" applyProtection="1">
      <alignment vertical="center" readingOrder="1"/>
    </xf>
    <xf numFmtId="0" fontId="54" fillId="11" borderId="15" xfId="1" applyFont="1" applyFill="1" applyBorder="1" applyAlignment="1" applyProtection="1">
      <alignment vertical="center" readingOrder="1"/>
    </xf>
    <xf numFmtId="0" fontId="72" fillId="11" borderId="0" xfId="1" applyFont="1" applyFill="1" applyAlignment="1" applyProtection="1">
      <alignment horizontal="right" vertical="center" wrapText="1" readingOrder="1"/>
    </xf>
    <xf numFmtId="0" fontId="2" fillId="0" borderId="0" xfId="1" applyAlignment="1" applyProtection="1">
      <alignment horizontal="center" vertical="top"/>
    </xf>
    <xf numFmtId="0" fontId="36" fillId="0" borderId="16" xfId="1" applyFont="1" applyBorder="1" applyAlignment="1" applyProtection="1">
      <alignment horizontal="center" vertical="center"/>
    </xf>
    <xf numFmtId="0" fontId="36" fillId="0" borderId="17" xfId="1" applyFont="1" applyBorder="1" applyAlignment="1" applyProtection="1">
      <alignment horizontal="center" vertical="center"/>
    </xf>
    <xf numFmtId="0" fontId="36" fillId="0" borderId="17" xfId="1" applyFont="1" applyBorder="1" applyAlignment="1" applyProtection="1">
      <alignment vertical="center"/>
    </xf>
    <xf numFmtId="0" fontId="36" fillId="0" borderId="17" xfId="1" applyFont="1" applyBorder="1" applyAlignment="1" applyProtection="1">
      <alignment vertical="center" wrapText="1"/>
    </xf>
    <xf numFmtId="0" fontId="25" fillId="0" borderId="17" xfId="1" applyFont="1" applyBorder="1" applyAlignment="1" applyProtection="1">
      <alignment horizontal="center" vertical="center" shrinkToFit="1"/>
    </xf>
    <xf numFmtId="0" fontId="36" fillId="0" borderId="17" xfId="1" applyFont="1" applyBorder="1" applyAlignment="1" applyProtection="1">
      <alignment horizontal="center" vertical="center" wrapText="1"/>
    </xf>
    <xf numFmtId="0" fontId="51" fillId="9" borderId="0" xfId="1" applyFont="1" applyFill="1" applyAlignment="1" applyProtection="1">
      <alignment horizontal="left" vertical="center" readingOrder="1"/>
    </xf>
    <xf numFmtId="0" fontId="37" fillId="9" borderId="0" xfId="1" applyFont="1" applyFill="1" applyAlignment="1" applyProtection="1">
      <alignment horizontal="left" vertical="center" readingOrder="1"/>
    </xf>
    <xf numFmtId="0" fontId="22" fillId="9" borderId="0" xfId="1" applyFont="1" applyFill="1" applyAlignment="1" applyProtection="1">
      <alignment horizontal="left" vertical="center" readingOrder="1"/>
    </xf>
    <xf numFmtId="0" fontId="41" fillId="9" borderId="0" xfId="1" applyFont="1" applyFill="1" applyAlignment="1" applyProtection="1">
      <alignment horizontal="center" vertical="center" readingOrder="1"/>
    </xf>
    <xf numFmtId="0" fontId="24" fillId="9" borderId="0" xfId="1" applyFont="1" applyFill="1" applyAlignment="1" applyProtection="1">
      <alignment horizontal="center" vertical="center" shrinkToFit="1"/>
    </xf>
    <xf numFmtId="0" fontId="24" fillId="9" borderId="19" xfId="1" applyFont="1" applyFill="1" applyBorder="1" applyAlignment="1" applyProtection="1">
      <alignment vertical="center" readingOrder="1"/>
    </xf>
    <xf numFmtId="0" fontId="24" fillId="9" borderId="0" xfId="1" applyFont="1" applyFill="1" applyAlignment="1" applyProtection="1">
      <alignment vertical="center" readingOrder="1"/>
    </xf>
    <xf numFmtId="0" fontId="41" fillId="9" borderId="0" xfId="1" applyFont="1" applyFill="1" applyAlignment="1" applyProtection="1">
      <alignment vertical="center" readingOrder="1"/>
    </xf>
    <xf numFmtId="0" fontId="41" fillId="9" borderId="15" xfId="1" applyFont="1" applyFill="1" applyBorder="1" applyAlignment="1" applyProtection="1">
      <alignment vertical="center" readingOrder="1"/>
    </xf>
    <xf numFmtId="0" fontId="43" fillId="9" borderId="0" xfId="1" applyFont="1" applyFill="1" applyAlignment="1" applyProtection="1">
      <alignment horizontal="right" vertical="center" wrapText="1" readingOrder="1"/>
    </xf>
    <xf numFmtId="0" fontId="57" fillId="10" borderId="0" xfId="1" applyFont="1" applyFill="1" applyAlignment="1" applyProtection="1">
      <alignment horizontal="left" vertical="center"/>
    </xf>
    <xf numFmtId="0" fontId="23" fillId="0" borderId="0" xfId="1" applyFont="1" applyAlignment="1" applyProtection="1">
      <alignment horizontal="center" vertical="center"/>
    </xf>
    <xf numFmtId="0" fontId="23" fillId="0" borderId="0" xfId="1" applyFont="1" applyAlignment="1" applyProtection="1">
      <alignment vertical="center"/>
    </xf>
    <xf numFmtId="0" fontId="28" fillId="2" borderId="0" xfId="1" applyFont="1" applyFill="1" applyAlignment="1" applyProtection="1">
      <alignment horizontal="center" vertical="center" wrapText="1"/>
    </xf>
    <xf numFmtId="0" fontId="32" fillId="2" borderId="0" xfId="1" applyFont="1" applyFill="1" applyAlignment="1" applyProtection="1">
      <alignment horizontal="center" vertical="center"/>
    </xf>
    <xf numFmtId="0" fontId="32" fillId="2" borderId="0" xfId="1" applyFont="1" applyFill="1" applyProtection="1"/>
    <xf numFmtId="0" fontId="33" fillId="2" borderId="0" xfId="1" applyFont="1" applyFill="1" applyProtection="1"/>
    <xf numFmtId="0" fontId="34"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vertical="center"/>
    </xf>
    <xf numFmtId="0" fontId="35" fillId="2" borderId="0" xfId="1" applyFont="1" applyFill="1" applyAlignment="1" applyProtection="1">
      <alignment horizontal="right" vertical="center"/>
    </xf>
    <xf numFmtId="0" fontId="44" fillId="11" borderId="0" xfId="1" applyFont="1" applyFill="1" applyAlignment="1" applyProtection="1">
      <alignment vertical="center"/>
      <protection locked="0"/>
    </xf>
    <xf numFmtId="0" fontId="21" fillId="2" borderId="0" xfId="1" applyFont="1" applyFill="1" applyAlignment="1" applyProtection="1">
      <alignment vertical="center"/>
      <protection locked="0"/>
    </xf>
  </cellXfs>
  <cellStyles count="5">
    <cellStyle name="Good" xfId="4" builtinId="26"/>
    <cellStyle name="Hyperlink" xfId="2" builtinId="8"/>
    <cellStyle name="Normal" xfId="0" builtinId="0"/>
    <cellStyle name="Normal 2" xfId="1" xr:uid="{00000000-0005-0000-0000-000003000000}"/>
    <cellStyle name="Normal 2 2" xfId="3" xr:uid="{00000000-0005-0000-0000-000004000000}"/>
  </cellStyles>
  <dxfs count="359">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ont>
        <b/>
        <i/>
      </font>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protection locked="0" hidden="0"/>
    </dxf>
    <dxf>
      <protection locked="0" hidden="0"/>
    </dxf>
    <dxf>
      <font>
        <strike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protection locked="0" hidden="0"/>
    </dxf>
    <dxf>
      <font>
        <strike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400051</xdr:colOff>
      <xdr:row>3</xdr:row>
      <xdr:rowOff>9526</xdr:rowOff>
    </xdr:from>
    <xdr:ext cx="5629275" cy="6198363"/>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382376" y="514351"/>
          <a:ext cx="5629275" cy="619836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a:t>
          </a: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Major</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180976</xdr:colOff>
      <xdr:row>2</xdr:row>
      <xdr:rowOff>248918</xdr:rowOff>
    </xdr:from>
    <xdr:ext cx="2419350"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48918"/>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7249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257175</xdr:colOff>
      <xdr:row>3</xdr:row>
      <xdr:rowOff>104774</xdr:rowOff>
    </xdr:from>
    <xdr:ext cx="5629275" cy="6010556"/>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534775" y="609599"/>
          <a:ext cx="5629275" cy="6010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Global Engagement</a:t>
          </a:r>
        </a:p>
        <a:p>
          <a:pPr algn="ctr"/>
          <a:r>
            <a:rPr lang="en-AU" sz="1100" b="1">
              <a:solidFill>
                <a:schemeClr val="accent5"/>
              </a:solidFill>
              <a:effectLst/>
              <a:latin typeface="+mn-lt"/>
              <a:ea typeface="+mn-ea"/>
              <a:cs typeface="+mn-cs"/>
            </a:rPr>
            <a:t>Master of Global Engagement</a:t>
          </a:r>
        </a:p>
        <a:p>
          <a:pPr algn="ctr"/>
          <a:r>
            <a:rPr lang="en-AU" sz="1100" b="1">
              <a:solidFill>
                <a:schemeClr val="accent5"/>
              </a:solidFill>
              <a:effectLst/>
              <a:latin typeface="+mn-lt"/>
              <a:ea typeface="+mn-ea"/>
              <a:cs typeface="+mn-cs"/>
            </a:rPr>
            <a:t>Master of Global Engagement (Advanced) </a:t>
          </a:r>
          <a:endParaRPr lang="en-AU" sz="1000">
            <a:solidFill>
              <a:schemeClr val="accent5"/>
            </a:solidFill>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Masters Research Project Units</a:t>
          </a:r>
          <a:endParaRPr lang="en-AU">
            <a:effectLst/>
          </a:endParaRPr>
        </a:p>
        <a:p>
          <a:r>
            <a:rPr lang="en-AU" sz="1100">
              <a:solidFill>
                <a:schemeClr val="dk1"/>
              </a:solidFill>
              <a:effectLst/>
              <a:latin typeface="+mn-lt"/>
              <a:ea typeface="+mn-ea"/>
              <a:cs typeface="+mn-cs"/>
            </a:rPr>
            <a:t>Students intending to enrol in </a:t>
          </a:r>
          <a:r>
            <a:rPr lang="en-AU" sz="1100" i="1">
              <a:solidFill>
                <a:schemeClr val="dk1"/>
              </a:solidFill>
              <a:effectLst/>
              <a:latin typeface="+mn-lt"/>
              <a:ea typeface="+mn-ea"/>
              <a:cs typeface="+mn-cs"/>
            </a:rPr>
            <a:t>HUMN6003 Masters Research Project 2</a:t>
          </a:r>
          <a:r>
            <a:rPr lang="en-AU" sz="1100">
              <a:solidFill>
                <a:schemeClr val="dk1"/>
              </a:solidFill>
              <a:effectLst/>
              <a:latin typeface="+mn-lt"/>
              <a:ea typeface="+mn-ea"/>
              <a:cs typeface="+mn-cs"/>
            </a:rPr>
            <a:t> </a:t>
          </a:r>
          <a:r>
            <a:rPr lang="en-AU" sz="1100" b="1" u="sng">
              <a:solidFill>
                <a:schemeClr val="dk1"/>
              </a:solidFill>
              <a:effectLst/>
              <a:latin typeface="+mn-lt"/>
              <a:ea typeface="+mn-ea"/>
              <a:cs typeface="+mn-cs"/>
            </a:rPr>
            <a:t>must study</a:t>
          </a:r>
          <a:r>
            <a:rPr lang="en-AU" sz="1100" b="0">
              <a:solidFill>
                <a:schemeClr val="dk1"/>
              </a:solidFill>
              <a:effectLst/>
              <a:latin typeface="+mn-lt"/>
              <a:ea typeface="+mn-ea"/>
              <a:cs typeface="+mn-cs"/>
            </a:rPr>
            <a:t> </a:t>
          </a:r>
          <a:r>
            <a:rPr lang="en-AU" sz="1100" i="1">
              <a:solidFill>
                <a:schemeClr val="dk1"/>
              </a:solidFill>
              <a:effectLst/>
              <a:latin typeface="+mn-lt"/>
              <a:ea typeface="+mn-ea"/>
              <a:cs typeface="+mn-cs"/>
            </a:rPr>
            <a:t>HUMN6001 Masters Research Project 1</a:t>
          </a:r>
          <a:r>
            <a:rPr lang="en-AU" sz="1100" i="0">
              <a:solidFill>
                <a:schemeClr val="dk1"/>
              </a:solidFill>
              <a:effectLst/>
              <a:latin typeface="+mn-lt"/>
              <a:ea typeface="+mn-ea"/>
              <a:cs typeface="+mn-cs"/>
            </a:rPr>
            <a:t> in a prior</a:t>
          </a:r>
          <a:r>
            <a:rPr lang="en-AU" sz="1100" i="0" baseline="0">
              <a:solidFill>
                <a:schemeClr val="dk1"/>
              </a:solidFill>
              <a:effectLst/>
              <a:latin typeface="+mn-lt"/>
              <a:ea typeface="+mn-ea"/>
              <a:cs typeface="+mn-cs"/>
            </a:rPr>
            <a:t> study period</a:t>
          </a:r>
          <a:r>
            <a:rPr lang="en-AU" sz="1100">
              <a:solidFill>
                <a:schemeClr val="dk1"/>
              </a:solidFill>
              <a:effectLst/>
              <a:latin typeface="+mn-lt"/>
              <a:ea typeface="+mn-ea"/>
              <a:cs typeface="+mn-cs"/>
            </a:rPr>
            <a:t>, as it is a pre-requisite.</a:t>
          </a:r>
          <a:endParaRPr lang="en-AU">
            <a:effectLst/>
          </a:endParaRP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800" b="0">
              <a:solidFill>
                <a:schemeClr val="dk1"/>
              </a:solidFill>
              <a:effectLst/>
              <a:latin typeface="+mn-lt"/>
              <a:ea typeface="+mn-ea"/>
              <a:cs typeface="+mn-cs"/>
            </a:rPr>
            <a:t>CP = Credit Points; Sem1 = Semester 1; Sem2 = Semester 2;</a:t>
          </a:r>
        </a:p>
        <a:p>
          <a:pPr algn="ctr"/>
          <a:r>
            <a:rPr lang="en-AU" sz="800" b="0">
              <a:solidFill>
                <a:schemeClr val="dk1"/>
              </a:solidFill>
              <a:effectLst/>
              <a:latin typeface="+mn-lt"/>
              <a:ea typeface="+mn-ea"/>
              <a:cs typeface="+mn-cs"/>
            </a:rPr>
            <a:t>BEN = unit available face-to-face at Curtin University, Bentley Campus; FO = unit available Fully Online</a:t>
          </a:r>
          <a:endParaRPr lang="en-AU" sz="800">
            <a:effectLst/>
          </a:endParaRPr>
        </a:p>
      </xdr:txBody>
    </xdr:sp>
    <xdr:clientData/>
  </xdr:oneCellAnchor>
  <xdr:twoCellAnchor editAs="absolute">
    <xdr:from>
      <xdr:col>18</xdr:col>
      <xdr:colOff>38100</xdr:colOff>
      <xdr:row>2</xdr:row>
      <xdr:rowOff>266699</xdr:rowOff>
    </xdr:from>
    <xdr:to>
      <xdr:col>21</xdr:col>
      <xdr:colOff>400050</xdr:colOff>
      <xdr:row>3</xdr:row>
      <xdr:rowOff>105169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744700" y="266699"/>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010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209550</xdr:colOff>
      <xdr:row>3</xdr:row>
      <xdr:rowOff>95249</xdr:rowOff>
    </xdr:from>
    <xdr:to>
      <xdr:col>21</xdr:col>
      <xdr:colOff>352425</xdr:colOff>
      <xdr:row>31</xdr:row>
      <xdr:rowOff>152400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144250" y="600074"/>
          <a:ext cx="5629275" cy="705802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u="sng">
              <a:solidFill>
                <a:schemeClr val="dk1"/>
              </a:solidFill>
              <a:effectLst/>
              <a:latin typeface="+mn-lt"/>
              <a:ea typeface="+mn-ea"/>
              <a:cs typeface="+mn-cs"/>
            </a:rPr>
            <a:t>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Human Rights</a:t>
          </a:r>
        </a:p>
        <a:p>
          <a:pPr algn="ctr"/>
          <a:r>
            <a:rPr lang="en-AU" sz="1100" b="1">
              <a:solidFill>
                <a:schemeClr val="accent5"/>
              </a:solidFill>
              <a:effectLst/>
              <a:latin typeface="+mn-lt"/>
              <a:ea typeface="+mn-ea"/>
              <a:cs typeface="+mn-cs"/>
            </a:rPr>
            <a:t>Master of Human Rights</a:t>
          </a:r>
        </a:p>
        <a:p>
          <a:pPr algn="ctr"/>
          <a:r>
            <a:rPr lang="en-AU" sz="1100" b="1">
              <a:solidFill>
                <a:schemeClr val="accent5"/>
              </a:solidFill>
              <a:effectLst/>
              <a:latin typeface="+mn-lt"/>
              <a:ea typeface="+mn-ea"/>
              <a:cs typeface="+mn-cs"/>
            </a:rPr>
            <a:t>Master of Human Rights and Global Engagement</a:t>
          </a:r>
        </a:p>
        <a:p>
          <a:pPr algn="ctr"/>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study </a:t>
          </a:r>
          <a:r>
            <a:rPr lang="en-AU" sz="1100" b="0">
              <a:solidFill>
                <a:schemeClr val="dk1"/>
              </a:solidFill>
              <a:effectLst/>
              <a:latin typeface="+mn-lt"/>
              <a:ea typeface="+mn-ea"/>
              <a:cs typeface="+mn-cs"/>
            </a:rPr>
            <a:t>based on your study period of commencement.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Masters Students</a:t>
          </a:r>
          <a:endParaRPr lang="en-AU">
            <a:effectLst/>
          </a:endParaRPr>
        </a:p>
        <a:p>
          <a:r>
            <a:rPr lang="en-AU" sz="1100">
              <a:solidFill>
                <a:schemeClr val="dk1"/>
              </a:solidFill>
              <a:effectLst/>
              <a:latin typeface="+mn-lt"/>
              <a:ea typeface="+mn-ea"/>
              <a:cs typeface="+mn-cs"/>
            </a:rPr>
            <a:t>Students should enrol in either </a:t>
          </a:r>
          <a:r>
            <a:rPr lang="en-AU" sz="1100" i="1">
              <a:solidFill>
                <a:schemeClr val="dk1"/>
              </a:solidFill>
              <a:effectLst/>
              <a:latin typeface="+mn-lt"/>
              <a:ea typeface="+mn-ea"/>
              <a:cs typeface="+mn-cs"/>
            </a:rPr>
            <a:t>HRIG5013 Introduction to Human Rights and Social Justice </a:t>
          </a:r>
          <a:r>
            <a:rPr lang="en-AU" sz="1100">
              <a:solidFill>
                <a:schemeClr val="dk1"/>
              </a:solidFill>
              <a:effectLst/>
              <a:latin typeface="+mn-lt"/>
              <a:ea typeface="+mn-ea"/>
              <a:cs typeface="+mn-cs"/>
            </a:rPr>
            <a:t>or </a:t>
          </a:r>
          <a:r>
            <a:rPr lang="en-AU" sz="1100" i="1">
              <a:solidFill>
                <a:schemeClr val="dk1"/>
              </a:solidFill>
              <a:effectLst/>
              <a:latin typeface="+mn-lt"/>
              <a:ea typeface="+mn-ea"/>
              <a:cs typeface="+mn-cs"/>
            </a:rPr>
            <a:t>HRIG5014 Dialogue across Cultures and Religions </a:t>
          </a:r>
          <a:r>
            <a:rPr lang="en-AU" sz="1100">
              <a:solidFill>
                <a:schemeClr val="dk1"/>
              </a:solidFill>
              <a:effectLst/>
              <a:latin typeface="+mn-lt"/>
              <a:ea typeface="+mn-ea"/>
              <a:cs typeface="+mn-cs"/>
            </a:rPr>
            <a:t>in </a:t>
          </a:r>
          <a:r>
            <a:rPr lang="en-AU" sz="1100" b="0" i="0" u="none">
              <a:solidFill>
                <a:schemeClr val="dk1"/>
              </a:solidFill>
              <a:effectLst/>
              <a:latin typeface="+mn-lt"/>
              <a:ea typeface="+mn-ea"/>
              <a:cs typeface="+mn-cs"/>
            </a:rPr>
            <a:t>their</a:t>
          </a:r>
          <a:r>
            <a:rPr lang="en-AU" sz="1100">
              <a:solidFill>
                <a:schemeClr val="dk1"/>
              </a:solidFill>
              <a:effectLst/>
              <a:latin typeface="+mn-lt"/>
              <a:ea typeface="+mn-ea"/>
              <a:cs typeface="+mn-cs"/>
            </a:rPr>
            <a:t> first semester of study.</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study</a:t>
          </a:r>
          <a:r>
            <a:rPr lang="en-AU" b="0" u="none">
              <a:effectLst/>
            </a:rPr>
            <a:t> </a:t>
          </a:r>
          <a:r>
            <a:rPr lang="en-AU" i="1">
              <a:effectLst/>
            </a:rPr>
            <a:t>HUMN6001 Masters Research Project 1</a:t>
          </a:r>
          <a:r>
            <a:rPr lang="en-AU" i="0">
              <a:effectLst/>
            </a:rPr>
            <a:t> in a prior</a:t>
          </a:r>
          <a:r>
            <a:rPr lang="en-AU" i="0" baseline="0">
              <a:effectLst/>
            </a:rPr>
            <a:t> study period</a:t>
          </a:r>
          <a:r>
            <a:rPr lang="en-AU">
              <a:effectLst/>
            </a:rPr>
            <a:t>,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twoCellAnchor>
  <xdr:oneCellAnchor>
    <xdr:from>
      <xdr:col>18</xdr:col>
      <xdr:colOff>47625</xdr:colOff>
      <xdr:row>2</xdr:row>
      <xdr:rowOff>334641</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300-000005000000}"/>
            </a:ext>
          </a:extLst>
        </xdr:cNvPr>
        <xdr:cNvSpPr txBox="1"/>
      </xdr:nvSpPr>
      <xdr:spPr>
        <a:xfrm>
          <a:off x="14354175" y="334641"/>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457200</xdr:colOff>
      <xdr:row>3</xdr:row>
      <xdr:rowOff>123825</xdr:rowOff>
    </xdr:from>
    <xdr:ext cx="5629275" cy="638630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1620500" y="628650"/>
          <a:ext cx="5629275" cy="63863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Indo-Pacific Security</a:t>
          </a:r>
        </a:p>
        <a:p>
          <a:pPr algn="ctr"/>
          <a:r>
            <a:rPr lang="en-AU" sz="1100" b="1">
              <a:solidFill>
                <a:schemeClr val="accent5"/>
              </a:solidFill>
              <a:effectLst/>
              <a:latin typeface="+mn-lt"/>
              <a:ea typeface="+mn-ea"/>
              <a:cs typeface="+mn-cs"/>
            </a:rPr>
            <a:t>Graduate Certificate in Intelligence Analysis</a:t>
          </a:r>
        </a:p>
        <a:p>
          <a:pPr algn="ctr"/>
          <a:r>
            <a:rPr lang="en-AU" sz="1100" b="1">
              <a:solidFill>
                <a:schemeClr val="accent5"/>
              </a:solidFill>
              <a:effectLst/>
              <a:latin typeface="+mn-lt"/>
              <a:ea typeface="+mn-ea"/>
              <a:cs typeface="+mn-cs"/>
            </a:rPr>
            <a:t>Graduate Certificate in International Security</a:t>
          </a:r>
        </a:p>
        <a:p>
          <a:pPr algn="ctr"/>
          <a:r>
            <a:rPr lang="en-AU" sz="1100" b="1">
              <a:solidFill>
                <a:schemeClr val="accent5"/>
              </a:solidFill>
              <a:effectLst/>
              <a:latin typeface="+mn-lt"/>
              <a:ea typeface="+mn-ea"/>
              <a:cs typeface="+mn-cs"/>
            </a:rPr>
            <a:t>Graduate Diploma in International Security</a:t>
          </a:r>
        </a:p>
        <a:p>
          <a:pPr algn="ctr"/>
          <a:r>
            <a:rPr lang="en-AU" sz="1100" b="1">
              <a:solidFill>
                <a:schemeClr val="accent5"/>
              </a:solidFill>
              <a:effectLst/>
              <a:latin typeface="+mn-lt"/>
              <a:ea typeface="+mn-ea"/>
              <a:cs typeface="+mn-cs"/>
            </a:rPr>
            <a:t>Master of International Security</a:t>
          </a:r>
        </a:p>
        <a:p>
          <a:pPr algn="ctr"/>
          <a:r>
            <a:rPr lang="en-AU" sz="1100" b="1">
              <a:solidFill>
                <a:schemeClr val="accent5"/>
              </a:solidFill>
              <a:effectLst/>
              <a:latin typeface="+mn-lt"/>
              <a:ea typeface="+mn-ea"/>
              <a:cs typeface="+mn-cs"/>
            </a:rPr>
            <a:t>Master</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of International Relations</a:t>
          </a:r>
        </a:p>
        <a:p>
          <a:pPr algn="ctr"/>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Masters Research Project Units</a:t>
          </a:r>
          <a:endParaRPr lang="en-AU">
            <a:effectLst/>
          </a:endParaRPr>
        </a:p>
        <a:p>
          <a:r>
            <a:rPr lang="en-AU" sz="1100">
              <a:solidFill>
                <a:schemeClr val="dk1"/>
              </a:solidFill>
              <a:effectLst/>
              <a:latin typeface="+mn-lt"/>
              <a:ea typeface="+mn-ea"/>
              <a:cs typeface="+mn-cs"/>
            </a:rPr>
            <a:t>Students intending to enrol in </a:t>
          </a:r>
          <a:r>
            <a:rPr lang="en-AU" sz="1100" i="1">
              <a:solidFill>
                <a:schemeClr val="dk1"/>
              </a:solidFill>
              <a:effectLst/>
              <a:latin typeface="+mn-lt"/>
              <a:ea typeface="+mn-ea"/>
              <a:cs typeface="+mn-cs"/>
            </a:rPr>
            <a:t>HUMN6003 Masters Research Project 2</a:t>
          </a:r>
          <a:r>
            <a:rPr lang="en-AU" sz="1100">
              <a:solidFill>
                <a:schemeClr val="dk1"/>
              </a:solidFill>
              <a:effectLst/>
              <a:latin typeface="+mn-lt"/>
              <a:ea typeface="+mn-ea"/>
              <a:cs typeface="+mn-cs"/>
            </a:rPr>
            <a:t> </a:t>
          </a:r>
          <a:r>
            <a:rPr lang="en-AU" sz="1100" b="1" u="sng">
              <a:solidFill>
                <a:schemeClr val="dk1"/>
              </a:solidFill>
              <a:effectLst/>
              <a:latin typeface="+mn-lt"/>
              <a:ea typeface="+mn-ea"/>
              <a:cs typeface="+mn-cs"/>
            </a:rPr>
            <a:t>must study</a:t>
          </a:r>
          <a:r>
            <a:rPr lang="en-AU" sz="1100" b="0">
              <a:solidFill>
                <a:schemeClr val="dk1"/>
              </a:solidFill>
              <a:effectLst/>
              <a:latin typeface="+mn-lt"/>
              <a:ea typeface="+mn-ea"/>
              <a:cs typeface="+mn-cs"/>
            </a:rPr>
            <a:t> </a:t>
          </a:r>
          <a:r>
            <a:rPr lang="en-AU" sz="1100" i="1">
              <a:solidFill>
                <a:schemeClr val="dk1"/>
              </a:solidFill>
              <a:effectLst/>
              <a:latin typeface="+mn-lt"/>
              <a:ea typeface="+mn-ea"/>
              <a:cs typeface="+mn-cs"/>
            </a:rPr>
            <a:t>HUMN6001 Masters Research Project 1</a:t>
          </a:r>
          <a:r>
            <a:rPr lang="en-AU" sz="1100" i="0">
              <a:solidFill>
                <a:schemeClr val="dk1"/>
              </a:solidFill>
              <a:effectLst/>
              <a:latin typeface="+mn-lt"/>
              <a:ea typeface="+mn-ea"/>
              <a:cs typeface="+mn-cs"/>
            </a:rPr>
            <a:t> in a prior</a:t>
          </a:r>
          <a:r>
            <a:rPr lang="en-AU" sz="1100" i="0" baseline="0">
              <a:solidFill>
                <a:schemeClr val="dk1"/>
              </a:solidFill>
              <a:effectLst/>
              <a:latin typeface="+mn-lt"/>
              <a:ea typeface="+mn-ea"/>
              <a:cs typeface="+mn-cs"/>
            </a:rPr>
            <a:t> study period</a:t>
          </a:r>
          <a:r>
            <a:rPr lang="en-AU" sz="1100">
              <a:solidFill>
                <a:schemeClr val="dk1"/>
              </a:solidFill>
              <a:effectLst/>
              <a:latin typeface="+mn-lt"/>
              <a:ea typeface="+mn-ea"/>
              <a:cs typeface="+mn-cs"/>
            </a:rPr>
            <a:t>, as it is a pre-requisite.</a:t>
          </a:r>
          <a:endParaRPr lang="en-AU">
            <a:effectLst/>
          </a:endParaRPr>
        </a:p>
        <a:p>
          <a:endParaRPr lang="en-AU" sz="1100" b="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Notes for International Students </a:t>
          </a:r>
          <a:r>
            <a:rPr lang="en-AU" sz="1100" b="0">
              <a:solidFill>
                <a:sysClr val="windowText" lastClr="000000"/>
              </a:solidFill>
              <a:effectLst/>
              <a:latin typeface="+mn-lt"/>
              <a:ea typeface="+mn-ea"/>
              <a:cs typeface="+mn-cs"/>
            </a:rPr>
            <a:t> </a:t>
          </a:r>
          <a:endParaRPr lang="en-AU">
            <a:solidFill>
              <a:sysClr val="windowText" lastClr="000000"/>
            </a:solidFill>
            <a:effectLst/>
          </a:endParaRPr>
        </a:p>
        <a:p>
          <a:r>
            <a:rPr lang="en-AU" sz="1100" b="0">
              <a:solidFill>
                <a:sysClr val="windowText" lastClr="000000"/>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solidFill>
              <a:sysClr val="windowText" lastClr="000000"/>
            </a:solidFill>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18</xdr:col>
      <xdr:colOff>238125</xdr:colOff>
      <xdr:row>2</xdr:row>
      <xdr:rowOff>363217</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a:off x="14601825" y="363217"/>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010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533400</xdr:colOff>
      <xdr:row>3</xdr:row>
      <xdr:rowOff>114299</xdr:rowOff>
    </xdr:from>
    <xdr:ext cx="5629275" cy="533723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410950" y="619124"/>
          <a:ext cx="5629275" cy="53372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Multimedia Journalism</a:t>
          </a:r>
        </a:p>
        <a:p>
          <a:pPr algn="ctr"/>
          <a:r>
            <a:rPr lang="en-AU" sz="1100" b="1">
              <a:solidFill>
                <a:schemeClr val="accent5"/>
              </a:solidFill>
              <a:effectLst/>
              <a:latin typeface="+mn-lt"/>
              <a:ea typeface="+mn-ea"/>
              <a:cs typeface="+mn-cs"/>
            </a:rPr>
            <a:t>Master of Multimedia Journalism</a:t>
          </a:r>
        </a:p>
        <a:p>
          <a:pPr algn="ctr"/>
          <a:r>
            <a:rPr lang="en-AU" sz="1100" b="1">
              <a:solidFill>
                <a:schemeClr val="accent5"/>
              </a:solidFill>
              <a:effectLst/>
              <a:latin typeface="+mn-lt"/>
              <a:ea typeface="+mn-ea"/>
              <a:cs typeface="+mn-cs"/>
            </a:rPr>
            <a:t>Master of Multimedia Journalism (Global)</a:t>
          </a:r>
        </a:p>
        <a:p>
          <a:pPr algn="ctr"/>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18</xdr:col>
      <xdr:colOff>314325</xdr:colOff>
      <xdr:row>2</xdr:row>
      <xdr:rowOff>353692</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200-000005000000}"/>
            </a:ext>
          </a:extLst>
        </xdr:cNvPr>
        <xdr:cNvSpPr txBox="1"/>
      </xdr:nvSpPr>
      <xdr:spPr>
        <a:xfrm>
          <a:off x="14620875" y="353692"/>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6767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485775</xdr:colOff>
      <xdr:row>3</xdr:row>
      <xdr:rowOff>76200</xdr:rowOff>
    </xdr:from>
    <xdr:ext cx="5629275" cy="604184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1630025" y="581025"/>
          <a:ext cx="5629275" cy="604184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Digital and Social Media</a:t>
          </a:r>
        </a:p>
        <a:p>
          <a:pPr algn="ctr"/>
          <a:r>
            <a:rPr lang="en-AU" sz="1100" b="1">
              <a:solidFill>
                <a:schemeClr val="accent5"/>
              </a:solidFill>
              <a:effectLst/>
              <a:latin typeface="+mn-lt"/>
              <a:ea typeface="+mn-ea"/>
              <a:cs typeface="+mn-cs"/>
            </a:rPr>
            <a:t>Graduate Diploma in Digital and Social Media</a:t>
          </a:r>
        </a:p>
        <a:p>
          <a:pPr algn="ctr"/>
          <a:r>
            <a:rPr lang="en-AU" sz="1100" b="1">
              <a:solidFill>
                <a:schemeClr val="accent5"/>
              </a:solidFill>
              <a:effectLst/>
              <a:latin typeface="+mn-lt"/>
              <a:ea typeface="+mn-ea"/>
              <a:cs typeface="+mn-cs"/>
            </a:rPr>
            <a:t>Master of Digital and Social Media </a:t>
          </a:r>
          <a:endParaRPr lang="en-AU" sz="1000">
            <a:solidFill>
              <a:schemeClr val="accent5"/>
            </a:solidFill>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18</xdr:col>
      <xdr:colOff>266700</xdr:colOff>
      <xdr:row>2</xdr:row>
      <xdr:rowOff>315592</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839950" y="315592"/>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29" totalsRowShown="0" headerRowDxfId="358" dataDxfId="357">
  <autoFilter ref="A4:H29" xr:uid="{00000000-0009-0000-0100-000003000000}"/>
  <tableColumns count="8">
    <tableColumn id="3" xr3:uid="{00000000-0010-0000-0000-000003000000}" name="Choose your Course" dataDxfId="356"/>
    <tableColumn id="1" xr3:uid="{00000000-0010-0000-0000-000001000000}" name="UDC" dataDxfId="355"/>
    <tableColumn id="2" xr3:uid="{00000000-0010-0000-0000-000002000000}" name="SM Version" dataDxfId="354"/>
    <tableColumn id="5" xr3:uid="{00000000-0010-0000-0000-000005000000}" name="SM Effective Date" dataDxfId="353"/>
    <tableColumn id="4" xr3:uid="{00000000-0010-0000-0000-000004000000}" name="Akari Iteration" dataDxfId="352"/>
    <tableColumn id="7" xr3:uid="{00000000-0010-0000-0000-000007000000}" name="Akari Effective Date" dataDxfId="351"/>
    <tableColumn id="6" xr3:uid="{00000000-0010-0000-0000-000006000000}" name="Credit Points" dataDxfId="350"/>
    <tableColumn id="8" xr3:uid="{00000000-0010-0000-0000-000008000000}" name="SM Availabilities" dataDxfId="34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MJRPSCRAR" displayName="TableMJRPSCRAR" ref="A116:O141" totalsRowShown="0">
  <autoFilter ref="A116:O141" xr:uid="{00000000-0009-0000-0100-000006000000}"/>
  <sortState xmlns:xlrd2="http://schemas.microsoft.com/office/spreadsheetml/2017/richdata2" ref="A50:R60">
    <sortCondition ref="M42:M53"/>
  </sortState>
  <tableColumns count="15">
    <tableColumn id="9" xr3:uid="{00000000-0010-0000-0900-000009000000}" name="UDC" dataDxfId="257">
      <calculatedColumnFormula>TableMJRPSCRAR[[#This Row],[Study Package Code]]</calculatedColumnFormula>
    </tableColumn>
    <tableColumn id="10" xr3:uid="{00000000-0010-0000-0900-00000A000000}" name="Version" dataDxfId="256">
      <calculatedColumnFormula>TableMJRPSCRAR[[#This Row],[Ver]]</calculatedColumnFormula>
    </tableColumn>
    <tableColumn id="11" xr3:uid="{00000000-0010-0000-0900-00000B000000}" name="OUA Code"/>
    <tableColumn id="12" xr3:uid="{00000000-0010-0000-0900-00000C000000}" name="Unit Title" dataDxfId="255">
      <calculatedColumnFormula>TableMJRPSCRAR[[#This Row],[Structure Line]]</calculatedColumnFormula>
    </tableColumn>
    <tableColumn id="13" xr3:uid="{00000000-0010-0000-0900-00000D000000}" name="CPs" dataDxfId="254">
      <calculatedColumnFormula>TableMJRPSCRAR[[#This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253"/>
    <tableColumn id="15" xr3:uid="{00000000-0010-0000-0900-00000F000000}" name="Discont." dataDxfId="25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MCMMJRG" displayName="TableMCMMJRG" ref="A144:O167" totalsRowShown="0">
  <autoFilter ref="A144:O167" xr:uid="{00000000-0009-0000-0100-00000A000000}"/>
  <sortState xmlns:xlrd2="http://schemas.microsoft.com/office/spreadsheetml/2017/richdata2" ref="A127:R134">
    <sortCondition ref="N11:N19"/>
  </sortState>
  <tableColumns count="15">
    <tableColumn id="15" xr3:uid="{00000000-0010-0000-0A00-00000F000000}" name="UDC" dataDxfId="251">
      <calculatedColumnFormula>TableMCMMJRG[[#This Row],[Study Package Code]]</calculatedColumnFormula>
    </tableColumn>
    <tableColumn id="16" xr3:uid="{00000000-0010-0000-0A00-000010000000}" name="Version" dataDxfId="250">
      <calculatedColumnFormula>TableMCMMJRG[[#This Row],[Ver]]</calculatedColumnFormula>
    </tableColumn>
    <tableColumn id="17" xr3:uid="{00000000-0010-0000-0A00-000011000000}" name="OUA Code"/>
    <tableColumn id="18" xr3:uid="{00000000-0010-0000-0A00-000012000000}" name="Unit Title" dataDxfId="249">
      <calculatedColumnFormula>TableMCMMJRG[[#This Row],[Structure Line]]</calculatedColumnFormula>
    </tableColumn>
    <tableColumn id="19" xr3:uid="{00000000-0010-0000-0A00-000013000000}" name="CPs" dataDxfId="248">
      <calculatedColumnFormula>TableMCMMJRG[[#This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247"/>
    <tableColumn id="10" xr3:uid="{00000000-0010-0000-0A00-00000A000000}" name="Discont." dataDxfId="24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MCMMJRN" displayName="TableMCMMJRN" ref="A169:O182" totalsRowShown="0">
  <autoFilter ref="A169:O182" xr:uid="{00000000-0009-0000-0100-00000B000000}"/>
  <sortState xmlns:xlrd2="http://schemas.microsoft.com/office/spreadsheetml/2017/richdata2" ref="A134:R141">
    <sortCondition ref="N11:N19"/>
  </sortState>
  <tableColumns count="15">
    <tableColumn id="15" xr3:uid="{00000000-0010-0000-0B00-00000F000000}" name="UDC" dataDxfId="245">
      <calculatedColumnFormula>TableMCMMJRN[[#This Row],[Study Package Code]]</calculatedColumnFormula>
    </tableColumn>
    <tableColumn id="16" xr3:uid="{00000000-0010-0000-0B00-000010000000}" name="Version" dataDxfId="244">
      <calculatedColumnFormula>TableMCMMJRN[[#This Row],[Ver]]</calculatedColumnFormula>
    </tableColumn>
    <tableColumn id="17" xr3:uid="{00000000-0010-0000-0B00-000011000000}" name="OUA Code"/>
    <tableColumn id="18" xr3:uid="{00000000-0010-0000-0B00-000012000000}" name="Unit Title" dataDxfId="243">
      <calculatedColumnFormula>TableMCMMJRN[[#This Row],[Structure Line]]</calculatedColumnFormula>
    </tableColumn>
    <tableColumn id="19" xr3:uid="{00000000-0010-0000-0B00-000013000000}" name="CPs" dataDxfId="242">
      <calculatedColumnFormula>TableMCMMJRN[[#This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9" xr3:uid="{00000000-0010-0000-0B00-000009000000}" name="Effective" dataDxfId="241"/>
    <tableColumn id="10" xr3:uid="{00000000-0010-0000-0B00-00000A000000}" name="Discont." dataDxfId="24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GDMMJRN" displayName="TableGDMMJRN" ref="A184:O192" totalsRowShown="0">
  <autoFilter ref="A184:O192" xr:uid="{00000000-0009-0000-0100-00000C000000}"/>
  <sortState xmlns:xlrd2="http://schemas.microsoft.com/office/spreadsheetml/2017/richdata2" ref="A159:R166">
    <sortCondition ref="N11:N19"/>
  </sortState>
  <tableColumns count="15">
    <tableColumn id="15" xr3:uid="{00000000-0010-0000-0C00-00000F000000}" name="UDC" dataDxfId="239">
      <calculatedColumnFormula>TableGDMMJRN[[#This Row],[Study Package Code]]</calculatedColumnFormula>
    </tableColumn>
    <tableColumn id="16" xr3:uid="{00000000-0010-0000-0C00-000010000000}" name="Version" dataDxfId="238">
      <calculatedColumnFormula>TableGDMMJRN[[#This Row],[Ver]]</calculatedColumnFormula>
    </tableColumn>
    <tableColumn id="17" xr3:uid="{00000000-0010-0000-0C00-000011000000}" name="OUA Code"/>
    <tableColumn id="18" xr3:uid="{00000000-0010-0000-0C00-000012000000}" name="Unit Title" dataDxfId="237">
      <calculatedColumnFormula>TableGDMMJRN[[#This Row],[Structure Line]]</calculatedColumnFormula>
    </tableColumn>
    <tableColumn id="19" xr3:uid="{00000000-0010-0000-0C00-000013000000}" name="CPs" dataDxfId="236">
      <calculatedColumnFormula>TableGDMMJRN[[#This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9" xr3:uid="{00000000-0010-0000-0C00-000009000000}" name="Effective" dataDxfId="235"/>
    <tableColumn id="10" xr3:uid="{00000000-0010-0000-0C00-00000A000000}" name="Discont." dataDxfId="23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GCMMJRN" displayName="TableGCMMJRN" ref="A194:O198" totalsRowShown="0">
  <autoFilter ref="A194:O198" xr:uid="{00000000-0009-0000-0100-00000E000000}"/>
  <sortState xmlns:xlrd2="http://schemas.microsoft.com/office/spreadsheetml/2017/richdata2" ref="A179:R186">
    <sortCondition ref="N11:N19"/>
  </sortState>
  <tableColumns count="15">
    <tableColumn id="15" xr3:uid="{00000000-0010-0000-0D00-00000F000000}" name="UDC" dataDxfId="233">
      <calculatedColumnFormula>TableGCMMJRN[[#This Row],[Study Package Code]]</calculatedColumnFormula>
    </tableColumn>
    <tableColumn id="16" xr3:uid="{00000000-0010-0000-0D00-000010000000}" name="Version" dataDxfId="232">
      <calculatedColumnFormula>TableGCMMJRN[[#This Row],[Ver]]</calculatedColumnFormula>
    </tableColumn>
    <tableColumn id="17" xr3:uid="{00000000-0010-0000-0D00-000011000000}" name="OUA Code"/>
    <tableColumn id="18" xr3:uid="{00000000-0010-0000-0D00-000012000000}" name="Unit Title" dataDxfId="231">
      <calculatedColumnFormula>TableGCMMJRN[[#This Row],[Structure Line]]</calculatedColumnFormula>
    </tableColumn>
    <tableColumn id="19" xr3:uid="{00000000-0010-0000-0D00-000013000000}" name="CPs" dataDxfId="230">
      <calculatedColumnFormula>TableGCMMJRN[[#This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9" xr3:uid="{00000000-0010-0000-0D00-000009000000}" name="Effective" dataDxfId="229"/>
    <tableColumn id="10" xr3:uid="{00000000-0010-0000-0D00-00000A000000}" name="Discont." dataDxfId="22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MCHRIGLO" displayName="TableMCHRIGLO" ref="A201:O218" totalsRowShown="0">
  <autoFilter ref="A201:O218" xr:uid="{00000000-0009-0000-0100-00000F000000}"/>
  <sortState xmlns:xlrd2="http://schemas.microsoft.com/office/spreadsheetml/2017/richdata2" ref="A187:R194">
    <sortCondition ref="N11:N19"/>
  </sortState>
  <tableColumns count="15">
    <tableColumn id="15" xr3:uid="{00000000-0010-0000-0E00-00000F000000}" name="UDC" dataDxfId="227">
      <calculatedColumnFormula>TableMCHRIGLO[[#This Row],[Study Package Code]]</calculatedColumnFormula>
    </tableColumn>
    <tableColumn id="16" xr3:uid="{00000000-0010-0000-0E00-000010000000}" name="Version" dataDxfId="226">
      <calculatedColumnFormula>TableMCHRIGLO[[#This Row],[Ver]]</calculatedColumnFormula>
    </tableColumn>
    <tableColumn id="17" xr3:uid="{00000000-0010-0000-0E00-000011000000}" name="OUA Code"/>
    <tableColumn id="18" xr3:uid="{00000000-0010-0000-0E00-000012000000}" name="Unit Title" dataDxfId="225">
      <calculatedColumnFormula>TableMCHRIGLO[[#This Row],[Structure Line]]</calculatedColumnFormula>
    </tableColumn>
    <tableColumn id="19" xr3:uid="{00000000-0010-0000-0E00-000013000000}" name="CPs" dataDxfId="224">
      <calculatedColumnFormula>TableMCHRIGLO[[#This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tableColumn id="7" xr3:uid="{00000000-0010-0000-0E00-000007000000}" name="Structure Line"/>
    <tableColumn id="8" xr3:uid="{00000000-0010-0000-0E00-000008000000}" name="Credit Points"/>
    <tableColumn id="9" xr3:uid="{00000000-0010-0000-0E00-000009000000}" name="Effective" dataDxfId="223"/>
    <tableColumn id="10" xr3:uid="{00000000-0010-0000-0E00-00000A000000}" name="Discont." dataDxfId="22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MCHRIGHT" displayName="TableMCHRIGHT" ref="A220:O233" totalsRowShown="0">
  <autoFilter ref="A220:O233" xr:uid="{00000000-0009-0000-0100-000010000000}"/>
  <sortState xmlns:xlrd2="http://schemas.microsoft.com/office/spreadsheetml/2017/richdata2" ref="A198:R205">
    <sortCondition ref="N11:N19"/>
  </sortState>
  <tableColumns count="15">
    <tableColumn id="15" xr3:uid="{00000000-0010-0000-0F00-00000F000000}" name="UDC" dataDxfId="221">
      <calculatedColumnFormula>TableMCHRIGHT[[#This Row],[Study Package Code]]</calculatedColumnFormula>
    </tableColumn>
    <tableColumn id="16" xr3:uid="{00000000-0010-0000-0F00-000010000000}" name="Version" dataDxfId="220">
      <calculatedColumnFormula>TableMCHRIGHT[[#This Row],[Ver]]</calculatedColumnFormula>
    </tableColumn>
    <tableColumn id="17" xr3:uid="{00000000-0010-0000-0F00-000011000000}" name="OUA Code"/>
    <tableColumn id="18" xr3:uid="{00000000-0010-0000-0F00-000012000000}" name="Unit Title" dataDxfId="219">
      <calculatedColumnFormula>TableMCHRIGHT[[#This Row],[Structure Line]]</calculatedColumnFormula>
    </tableColumn>
    <tableColumn id="19" xr3:uid="{00000000-0010-0000-0F00-000013000000}" name="CPs" dataDxfId="218">
      <calculatedColumnFormula>TableMCHRIGHT[[#This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tableColumn id="7" xr3:uid="{00000000-0010-0000-0F00-000007000000}" name="Structure Line"/>
    <tableColumn id="8" xr3:uid="{00000000-0010-0000-0F00-000008000000}" name="Credit Points"/>
    <tableColumn id="9" xr3:uid="{00000000-0010-0000-0F00-000009000000}" name="Effective" dataDxfId="217"/>
    <tableColumn id="10" xr3:uid="{00000000-0010-0000-0F00-00000A000000}" name="Discont." dataDxfId="21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GDHRIGHT" displayName="TableGDHRIGHT" ref="A235:O243" totalsRowShown="0">
  <autoFilter ref="A235:O243" xr:uid="{00000000-0009-0000-0100-000011000000}"/>
  <sortState xmlns:xlrd2="http://schemas.microsoft.com/office/spreadsheetml/2017/richdata2" ref="A209:R216">
    <sortCondition ref="N11:N19"/>
  </sortState>
  <tableColumns count="15">
    <tableColumn id="15" xr3:uid="{00000000-0010-0000-1000-00000F000000}" name="UDC" dataDxfId="215">
      <calculatedColumnFormula>TableGDHRIGHT[[#This Row],[Study Package Code]]</calculatedColumnFormula>
    </tableColumn>
    <tableColumn id="16" xr3:uid="{00000000-0010-0000-1000-000010000000}" name="Version" dataDxfId="214">
      <calculatedColumnFormula>TableGDHRIGHT[[#This Row],[Ver]]</calculatedColumnFormula>
    </tableColumn>
    <tableColumn id="17" xr3:uid="{00000000-0010-0000-1000-000011000000}" name="OUA Code"/>
    <tableColumn id="18" xr3:uid="{00000000-0010-0000-1000-000012000000}" name="Unit Title" dataDxfId="213">
      <calculatedColumnFormula>TableGDHRIGHT[[#This Row],[Structure Line]]</calculatedColumnFormula>
    </tableColumn>
    <tableColumn id="19" xr3:uid="{00000000-0010-0000-1000-000013000000}" name="CPs" dataDxfId="212">
      <calculatedColumnFormula>TableGDHRIGHT[[#This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9" xr3:uid="{00000000-0010-0000-1000-000009000000}" name="Effective" dataDxfId="211"/>
    <tableColumn id="10" xr3:uid="{00000000-0010-0000-1000-00000A000000}" name="Discont." dataDxfId="2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GCHRIGHT" displayName="TableGCHRIGHT" ref="A245:O252" totalsRowShown="0">
  <autoFilter ref="A245:O252" xr:uid="{00000000-0009-0000-0100-000012000000}"/>
  <sortState xmlns:xlrd2="http://schemas.microsoft.com/office/spreadsheetml/2017/richdata2" ref="A217:R224">
    <sortCondition ref="N11:N19"/>
  </sortState>
  <tableColumns count="15">
    <tableColumn id="15" xr3:uid="{00000000-0010-0000-1100-00000F000000}" name="UDC" dataDxfId="209">
      <calculatedColumnFormula>TableGCHRIGHT[[#This Row],[Study Package Code]]</calculatedColumnFormula>
    </tableColumn>
    <tableColumn id="16" xr3:uid="{00000000-0010-0000-1100-000010000000}" name="Version" dataDxfId="208">
      <calculatedColumnFormula>TableGCHRIGHT[[#This Row],[Ver]]</calculatedColumnFormula>
    </tableColumn>
    <tableColumn id="17" xr3:uid="{00000000-0010-0000-1100-000011000000}" name="OUA Code"/>
    <tableColumn id="18" xr3:uid="{00000000-0010-0000-1100-000012000000}" name="Unit Title" dataDxfId="207">
      <calculatedColumnFormula>TableGCHRIGHT[[#This Row],[Structure Line]]</calculatedColumnFormula>
    </tableColumn>
    <tableColumn id="19" xr3:uid="{00000000-0010-0000-1100-000013000000}" name="CPs" dataDxfId="206">
      <calculatedColumnFormula>TableGCHRIGHT[[#This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9" xr3:uid="{00000000-0010-0000-1100-000009000000}" name="Effective" dataDxfId="205"/>
    <tableColumn id="10" xr3:uid="{00000000-0010-0000-1100-00000A000000}" name="Discont." dataDxfId="20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MCINTREL" displayName="TableMCINTREL" ref="A255:O278" totalsRowShown="0">
  <autoFilter ref="A255:O278" xr:uid="{00000000-0009-0000-0100-000017000000}"/>
  <sortState xmlns:xlrd2="http://schemas.microsoft.com/office/spreadsheetml/2017/richdata2" ref="A222:R229">
    <sortCondition ref="N11:N19"/>
  </sortState>
  <tableColumns count="15">
    <tableColumn id="15" xr3:uid="{00000000-0010-0000-1200-00000F000000}" name="UDC" dataDxfId="203">
      <calculatedColumnFormula>TableMCINTREL[[#This Row],[Study Package Code]]</calculatedColumnFormula>
    </tableColumn>
    <tableColumn id="16" xr3:uid="{00000000-0010-0000-1200-000010000000}" name="Version" dataDxfId="202">
      <calculatedColumnFormula>TableMCINTREL[[#This Row],[Ver]]</calculatedColumnFormula>
    </tableColumn>
    <tableColumn id="17" xr3:uid="{00000000-0010-0000-1200-000011000000}" name="OUA Code"/>
    <tableColumn id="18" xr3:uid="{00000000-0010-0000-1200-000012000000}" name="Unit Title" dataDxfId="201">
      <calculatedColumnFormula>TableMCINTREL[[#This Row],[Structure Line]]</calculatedColumnFormula>
    </tableColumn>
    <tableColumn id="19" xr3:uid="{00000000-0010-0000-1200-000013000000}" name="CPs" dataDxfId="200">
      <calculatedColumnFormula>TableMCINTREL[[#This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tableColumn id="7" xr3:uid="{00000000-0010-0000-1200-000007000000}" name="Structure Line"/>
    <tableColumn id="8" xr3:uid="{00000000-0010-0000-1200-000008000000}" name="Credit Points"/>
    <tableColumn id="9" xr3:uid="{00000000-0010-0000-1200-000009000000}" name="Effective" dataDxfId="199"/>
    <tableColumn id="10" xr3:uid="{00000000-0010-0000-1200-00000A000000}" name="Discont." dataDxfId="19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Majors" displayName="TableMajors" ref="A32:G37" totalsRowShown="0" headerRowDxfId="348" dataDxfId="347">
  <autoFilter ref="A32:G37" xr:uid="{00000000-0009-0000-0100-000005000000}"/>
  <tableColumns count="7">
    <tableColumn id="1" xr3:uid="{00000000-0010-0000-0100-000001000000}" name="Choose your Major (drop-down list)" dataDxfId="346"/>
    <tableColumn id="2" xr3:uid="{00000000-0010-0000-0100-000002000000}" name="UDC" dataDxfId="345"/>
    <tableColumn id="3" xr3:uid="{00000000-0010-0000-0100-000003000000}" name="SM Version" dataDxfId="344"/>
    <tableColumn id="4" xr3:uid="{00000000-0010-0000-0100-000004000000}" name="SM Effective Date" dataDxfId="343"/>
    <tableColumn id="5" xr3:uid="{00000000-0010-0000-0100-000005000000}" name="Akari Iteration" dataDxfId="342"/>
    <tableColumn id="6" xr3:uid="{00000000-0010-0000-0100-000006000000}" name="Akari Effective Date" dataDxfId="341"/>
    <tableColumn id="7" xr3:uid="{00000000-0010-0000-0100-000007000000}" name="Credit Points" dataDxfId="340"/>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GDINTSEC" displayName="TableGDINTSEC" ref="A301:O317" totalsRowShown="0">
  <autoFilter ref="A301:O317" xr:uid="{00000000-0009-0000-0100-000018000000}"/>
  <sortState xmlns:xlrd2="http://schemas.microsoft.com/office/spreadsheetml/2017/richdata2" ref="A234:R241">
    <sortCondition ref="N11:N19"/>
  </sortState>
  <tableColumns count="15">
    <tableColumn id="15" xr3:uid="{00000000-0010-0000-1300-00000F000000}" name="UDC" dataDxfId="197">
      <calculatedColumnFormula>TableGDINTSEC[[#This Row],[Study Package Code]]</calculatedColumnFormula>
    </tableColumn>
    <tableColumn id="16" xr3:uid="{00000000-0010-0000-1300-000010000000}" name="Version" dataDxfId="196">
      <calculatedColumnFormula>TableGDINTSEC[[#This Row],[Ver]]</calculatedColumnFormula>
    </tableColumn>
    <tableColumn id="17" xr3:uid="{00000000-0010-0000-1300-000011000000}" name="OUA Code"/>
    <tableColumn id="18" xr3:uid="{00000000-0010-0000-1300-000012000000}" name="Unit Title" dataDxfId="195">
      <calculatedColumnFormula>TableGDINTSEC[[#This Row],[Structure Line]]</calculatedColumnFormula>
    </tableColumn>
    <tableColumn id="19" xr3:uid="{00000000-0010-0000-1300-000013000000}" name="CPs" dataDxfId="194">
      <calculatedColumnFormula>TableGDINTSEC[[#This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tableColumn id="7" xr3:uid="{00000000-0010-0000-1300-000007000000}" name="Structure Line"/>
    <tableColumn id="8" xr3:uid="{00000000-0010-0000-1300-000008000000}" name="Credit Points"/>
    <tableColumn id="9" xr3:uid="{00000000-0010-0000-1300-000009000000}" name="Effective" dataDxfId="193"/>
    <tableColumn id="10" xr3:uid="{00000000-0010-0000-1300-00000A000000}" name="Discont." dataDxfId="192"/>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GCINTSEC" displayName="TableGCINTSEC" ref="A319:O333" totalsRowShown="0">
  <autoFilter ref="A319:O333" xr:uid="{00000000-0009-0000-0100-000019000000}"/>
  <sortState xmlns:xlrd2="http://schemas.microsoft.com/office/spreadsheetml/2017/richdata2" ref="A244:R251">
    <sortCondition ref="N11:N19"/>
  </sortState>
  <tableColumns count="15">
    <tableColumn id="15" xr3:uid="{00000000-0010-0000-1400-00000F000000}" name="UDC" dataDxfId="191">
      <calculatedColumnFormula>TableGCINTSEC[[#This Row],[Study Package Code]]</calculatedColumnFormula>
    </tableColumn>
    <tableColumn id="16" xr3:uid="{00000000-0010-0000-1400-000010000000}" name="Version" dataDxfId="190">
      <calculatedColumnFormula>TableGCINTSEC[[#This Row],[Ver]]</calculatedColumnFormula>
    </tableColumn>
    <tableColumn id="17" xr3:uid="{00000000-0010-0000-1400-000011000000}" name="OUA Code"/>
    <tableColumn id="18" xr3:uid="{00000000-0010-0000-1400-000012000000}" name="Unit Title" dataDxfId="189">
      <calculatedColumnFormula>TableGCINTSEC[[#This Row],[Structure Line]]</calculatedColumnFormula>
    </tableColumn>
    <tableColumn id="19" xr3:uid="{00000000-0010-0000-1400-000013000000}" name="CPs" dataDxfId="188">
      <calculatedColumnFormula>TableGCINTSEC[[#This Row],[Credit Points]]</calculatedColumnFormula>
    </tableColumn>
    <tableColumn id="1" xr3:uid="{00000000-0010-0000-1400-000001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9" xr3:uid="{00000000-0010-0000-1400-000009000000}" name="Effective" dataDxfId="187"/>
    <tableColumn id="10" xr3:uid="{00000000-0010-0000-1400-00000A000000}" name="Discont." dataDxfId="18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TableMCINTSEC" displayName="TableMCINTSEC" ref="A280:O299" totalsRowShown="0">
  <autoFilter ref="A280:O299" xr:uid="{00000000-0009-0000-0100-00001A000000}"/>
  <sortState xmlns:xlrd2="http://schemas.microsoft.com/office/spreadsheetml/2017/richdata2" ref="A213:R220">
    <sortCondition ref="N11:N19"/>
  </sortState>
  <tableColumns count="15">
    <tableColumn id="15" xr3:uid="{00000000-0010-0000-1500-00000F000000}" name="UDC" dataDxfId="185">
      <calculatedColumnFormula>TableMCINTSEC[[#This Row],[Study Package Code]]</calculatedColumnFormula>
    </tableColumn>
    <tableColumn id="16" xr3:uid="{00000000-0010-0000-1500-000010000000}" name="Version" dataDxfId="184">
      <calculatedColumnFormula>TableMCINTSEC[[#This Row],[Ver]]</calculatedColumnFormula>
    </tableColumn>
    <tableColumn id="17" xr3:uid="{00000000-0010-0000-1500-000011000000}" name="OUA Code"/>
    <tableColumn id="18" xr3:uid="{00000000-0010-0000-1500-000012000000}" name="Unit Title" dataDxfId="183">
      <calculatedColumnFormula>TableMCINTSEC[[#This Row],[Structure Line]]</calculatedColumnFormula>
    </tableColumn>
    <tableColumn id="19" xr3:uid="{00000000-0010-0000-1500-000013000000}" name="CPs" dataDxfId="182">
      <calculatedColumnFormula>TableMCINTSEC[[#This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9" xr3:uid="{00000000-0010-0000-1500-000009000000}" name="Effective" dataDxfId="181"/>
    <tableColumn id="10" xr3:uid="{00000000-0010-0000-1500-00000A000000}" name="Discont." dataDxfId="180"/>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6000000}" name="TableGCINTELL" displayName="TableGCINTELL" ref="A335:O339" totalsRowShown="0">
  <autoFilter ref="A335:O339" xr:uid="{00000000-0009-0000-0100-00001B000000}"/>
  <sortState xmlns:xlrd2="http://schemas.microsoft.com/office/spreadsheetml/2017/richdata2" ref="A296:R303">
    <sortCondition ref="N11:N19"/>
  </sortState>
  <tableColumns count="15">
    <tableColumn id="15" xr3:uid="{00000000-0010-0000-1600-00000F000000}" name="UDC" dataDxfId="179">
      <calculatedColumnFormula>TableGCINTELL[[#This Row],[Study Package Code]]</calculatedColumnFormula>
    </tableColumn>
    <tableColumn id="16" xr3:uid="{00000000-0010-0000-1600-000010000000}" name="Version" dataDxfId="178">
      <calculatedColumnFormula>TableGCINTELL[[#This Row],[Ver]]</calculatedColumnFormula>
    </tableColumn>
    <tableColumn id="17" xr3:uid="{00000000-0010-0000-1600-000011000000}" name="OUA Code"/>
    <tableColumn id="18" xr3:uid="{00000000-0010-0000-1600-000012000000}" name="Unit Title" dataDxfId="177">
      <calculatedColumnFormula>TableGCINTELL[[#This Row],[Structure Line]]</calculatedColumnFormula>
    </tableColumn>
    <tableColumn id="19" xr3:uid="{00000000-0010-0000-1600-000013000000}" name="CPs" dataDxfId="176">
      <calculatedColumnFormula>TableGCINTELL[[#This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9" xr3:uid="{00000000-0010-0000-1600-000009000000}" name="Effective" dataDxfId="175"/>
    <tableColumn id="10" xr3:uid="{00000000-0010-0000-1600-00000A000000}" name="Discont." dataDxfId="174"/>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leGCIPCSEC" displayName="TableGCIPCSEC" ref="A341:O345" totalsRowShown="0">
  <autoFilter ref="A341:O345" xr:uid="{00000000-0009-0000-0100-00001C000000}"/>
  <sortState xmlns:xlrd2="http://schemas.microsoft.com/office/spreadsheetml/2017/richdata2" ref="A313:R320">
    <sortCondition ref="N11:N19"/>
  </sortState>
  <tableColumns count="15">
    <tableColumn id="15" xr3:uid="{00000000-0010-0000-1700-00000F000000}" name="UDC" dataDxfId="173">
      <calculatedColumnFormula>TableGCIPCSEC[[#This Row],[Study Package Code]]</calculatedColumnFormula>
    </tableColumn>
    <tableColumn id="16" xr3:uid="{00000000-0010-0000-1700-000010000000}" name="Version" dataDxfId="172">
      <calculatedColumnFormula>TableGCIPCSEC[[#This Row],[Ver]]</calculatedColumnFormula>
    </tableColumn>
    <tableColumn id="17" xr3:uid="{00000000-0010-0000-1700-000011000000}" name="OUA Code"/>
    <tableColumn id="18" xr3:uid="{00000000-0010-0000-1700-000012000000}" name="Unit Title" dataDxfId="171">
      <calculatedColumnFormula>TableGCIPCSEC[[#This Row],[Structure Line]]</calculatedColumnFormula>
    </tableColumn>
    <tableColumn id="19" xr3:uid="{00000000-0010-0000-1700-000013000000}" name="CPs" dataDxfId="170">
      <calculatedColumnFormula>TableGCIPCSEC[[#This Row],[Credit Points]]</calculatedColumnFormula>
    </tableColumn>
    <tableColumn id="1" xr3:uid="{00000000-0010-0000-1700-000001000000}" name="No."/>
    <tableColumn id="2" xr3:uid="{00000000-0010-0000-1700-000002000000}" name="Component Type"/>
    <tableColumn id="3" xr3:uid="{00000000-0010-0000-1700-000003000000}" name="Year Level"/>
    <tableColumn id="4" xr3:uid="{00000000-0010-0000-1700-000004000000}" name="Study Period"/>
    <tableColumn id="5" xr3:uid="{00000000-0010-0000-1700-000005000000}" name="Study Package Code"/>
    <tableColumn id="6" xr3:uid="{00000000-0010-0000-1700-000006000000}" name="Ver"/>
    <tableColumn id="7" xr3:uid="{00000000-0010-0000-1700-000007000000}" name="Structure Line"/>
    <tableColumn id="8" xr3:uid="{00000000-0010-0000-1700-000008000000}" name="Credit Points"/>
    <tableColumn id="9" xr3:uid="{00000000-0010-0000-1700-000009000000}" name="Effective" dataDxfId="169"/>
    <tableColumn id="10" xr3:uid="{00000000-0010-0000-1700-00000A000000}" name="Discont." dataDxfId="16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8000000}" name="Table1516" displayName="Table1516" ref="Q3:R9" totalsRowShown="0">
  <autoFilter ref="Q3:R9" xr:uid="{00000000-0009-0000-0100-000014000000}"/>
  <tableColumns count="2">
    <tableColumn id="5" xr3:uid="{00000000-0010-0000-1800-000005000000}" name="SPK"/>
    <tableColumn id="6" xr3:uid="{00000000-0010-0000-1800-000006000000}" name="Ver"/>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151622" displayName="Table151622" ref="Q11:R30" totalsRowShown="0">
  <autoFilter ref="Q11:R30" xr:uid="{00000000-0009-0000-0100-000015000000}"/>
  <tableColumns count="2">
    <tableColumn id="5" xr3:uid="{00000000-0010-0000-1900-000005000000}" name="SPK"/>
    <tableColumn id="6" xr3:uid="{00000000-0010-0000-1900-000006000000}" name="Ver"/>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151623" displayName="Table151623" ref="Q60:R84" totalsRowShown="0">
  <autoFilter ref="Q60:R84" xr:uid="{00000000-0009-0000-0100-000016000000}"/>
  <tableColumns count="2">
    <tableColumn id="5" xr3:uid="{00000000-0010-0000-1A00-000005000000}" name="SPK"/>
    <tableColumn id="6" xr3:uid="{00000000-0010-0000-1A00-000006000000}" name="Ver"/>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B000000}" name="Table151630" displayName="Table151630" ref="Q86:R114" totalsRowShown="0">
  <autoFilter ref="Q86:R114" xr:uid="{00000000-0009-0000-0100-00001D000000}"/>
  <tableColumns count="2">
    <tableColumn id="5" xr3:uid="{00000000-0010-0000-1B00-000005000000}" name="SPK"/>
    <tableColumn id="6" xr3:uid="{00000000-0010-0000-1B00-000006000000}" name="Ver"/>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C000000}" name="Table15163031" displayName="Table15163031" ref="Q116:R141" totalsRowShown="0">
  <autoFilter ref="Q116:R141" xr:uid="{00000000-0009-0000-0100-00001E000000}"/>
  <tableColumns count="2">
    <tableColumn id="5" xr3:uid="{00000000-0010-0000-1C00-000005000000}" name="SPK"/>
    <tableColumn id="6" xr3:uid="{00000000-0010-0000-1C00-000006000000}" name="Ver"/>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7:C49" totalsRowShown="0">
  <autoFilter ref="A47:C49" xr:uid="{00000000-0009-0000-0100-000004000000}"/>
  <tableColumns count="3">
    <tableColumn id="1" xr3:uid="{00000000-0010-0000-0200-000001000000}" name="Choose your commencing study period (drop-down list)"/>
    <tableColumn id="2" xr3:uid="{00000000-0010-0000-0200-000002000000}" name="START" dataDxfId="339"/>
    <tableColumn id="3" xr3:uid="{00000000-0010-0000-0200-000003000000}" name="Next" dataDxfId="338"/>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D000000}" name="Table151632" displayName="Table151632" ref="Q144:R167" totalsRowShown="0">
  <autoFilter ref="Q144:R167" xr:uid="{00000000-0009-0000-0100-00001F000000}"/>
  <tableColumns count="2">
    <tableColumn id="5" xr3:uid="{00000000-0010-0000-1D00-000005000000}" name="SPK"/>
    <tableColumn id="6" xr3:uid="{00000000-0010-0000-1D00-000006000000}" name="Ver"/>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E000000}" name="Table15163233" displayName="Table15163233" ref="Q169:R182" totalsRowShown="0">
  <autoFilter ref="Q169:R182" xr:uid="{00000000-0009-0000-0100-000020000000}"/>
  <tableColumns count="2">
    <tableColumn id="5" xr3:uid="{00000000-0010-0000-1E00-000005000000}" name="SPK"/>
    <tableColumn id="6" xr3:uid="{00000000-0010-0000-1E00-000006000000}" name="Ver"/>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F000000}" name="Table1516323334" displayName="Table1516323334" ref="Q184:R192" totalsRowShown="0">
  <autoFilter ref="Q184:R192" xr:uid="{00000000-0009-0000-0100-000021000000}"/>
  <tableColumns count="2">
    <tableColumn id="5" xr3:uid="{00000000-0010-0000-1F00-000005000000}" name="SPK"/>
    <tableColumn id="6" xr3:uid="{00000000-0010-0000-1F00-000006000000}" name="Ver"/>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0000000}" name="Table151632333435" displayName="Table151632333435" ref="Q194:R198" totalsRowShown="0">
  <autoFilter ref="Q194:R198" xr:uid="{00000000-0009-0000-0100-000022000000}"/>
  <tableColumns count="2">
    <tableColumn id="5" xr3:uid="{00000000-0010-0000-2000-000005000000}" name="SPK"/>
    <tableColumn id="6" xr3:uid="{00000000-0010-0000-2000-000006000000}" name="Ver"/>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1000000}" name="Table15163233343536" displayName="Table15163233343536" ref="Q201:R218" totalsRowShown="0">
  <autoFilter ref="Q201:R218" xr:uid="{00000000-0009-0000-0100-000023000000}"/>
  <tableColumns count="2">
    <tableColumn id="5" xr3:uid="{00000000-0010-0000-2100-000005000000}" name="SPK"/>
    <tableColumn id="6" xr3:uid="{00000000-0010-0000-2100-000006000000}" name="Ver"/>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2000000}" name="Table15163233343540" displayName="Table15163233343540" ref="Q220:R233" totalsRowShown="0">
  <autoFilter ref="Q220:R233" xr:uid="{00000000-0009-0000-0100-000027000000}"/>
  <tableColumns count="2">
    <tableColumn id="5" xr3:uid="{00000000-0010-0000-2200-000005000000}" name="SPK"/>
    <tableColumn id="6" xr3:uid="{00000000-0010-0000-2200-000006000000}" name="Ver"/>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3000000}" name="Table1516323334354041" displayName="Table1516323334354041" ref="Q235:R243" totalsRowShown="0">
  <autoFilter ref="Q235:R243" xr:uid="{00000000-0009-0000-0100-000028000000}"/>
  <tableColumns count="2">
    <tableColumn id="5" xr3:uid="{00000000-0010-0000-2300-000005000000}" name="SPK"/>
    <tableColumn id="6" xr3:uid="{00000000-0010-0000-2300-000006000000}" name="Ver"/>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4000000}" name="Table151632333435404142" displayName="Table151632333435404142" ref="Q245:R252" totalsRowShown="0">
  <autoFilter ref="Q245:R252" xr:uid="{00000000-0009-0000-0100-000029000000}"/>
  <tableColumns count="2">
    <tableColumn id="5" xr3:uid="{00000000-0010-0000-2400-000005000000}" name="SPK"/>
    <tableColumn id="6" xr3:uid="{00000000-0010-0000-2400-000006000000}" name="Ver"/>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15163233343540414237" displayName="Table15163233343540414237" ref="Q255:R278" totalsRowShown="0">
  <autoFilter ref="Q255:R278" xr:uid="{00000000-0009-0000-0100-000024000000}"/>
  <tableColumns count="2">
    <tableColumn id="5" xr3:uid="{00000000-0010-0000-2500-000005000000}" name="SPK"/>
    <tableColumn id="6" xr3:uid="{00000000-0010-0000-2500-000006000000}" name="Ver"/>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1516323334354041423738" displayName="Table1516323334354041423738" ref="Q301:R317" totalsRowShown="0">
  <autoFilter ref="Q301:R317" xr:uid="{00000000-0009-0000-0100-000025000000}"/>
  <tableColumns count="2">
    <tableColumn id="5" xr3:uid="{00000000-0010-0000-2600-000005000000}" name="SPK"/>
    <tableColumn id="6" xr3:uid="{00000000-0010-0000-2600-000006000000}" name="Ver"/>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3000000}" name="TableStreamsGLOBL" displayName="TableStreamsGLOBL" ref="A40:G43" totalsRowShown="0" headerRowDxfId="337" dataDxfId="336">
  <autoFilter ref="A40:G43" xr:uid="{00000000-0009-0000-0100-00003B000000}"/>
  <tableColumns count="7">
    <tableColumn id="1" xr3:uid="{00000000-0010-0000-0300-000001000000}" name="Choose your Global Engagement Stream (drop-down list)" dataDxfId="335"/>
    <tableColumn id="2" xr3:uid="{00000000-0010-0000-0300-000002000000}" name="UDC" dataDxfId="334"/>
    <tableColumn id="3" xr3:uid="{00000000-0010-0000-0300-000003000000}" name="SM Version" dataDxfId="333"/>
    <tableColumn id="4" xr3:uid="{00000000-0010-0000-0300-000004000000}" name="SM Effective Date" dataDxfId="332"/>
    <tableColumn id="5" xr3:uid="{00000000-0010-0000-0300-000005000000}" name="Akari Iteration" dataDxfId="331"/>
    <tableColumn id="6" xr3:uid="{00000000-0010-0000-0300-000006000000}" name="Akari Effective Date" dataDxfId="330"/>
    <tableColumn id="7" xr3:uid="{00000000-0010-0000-0300-000007000000}" name="Credit Points" dataDxfId="329"/>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151632333435404142373839" displayName="Table151632333435404142373839" ref="Q319:R333" totalsRowShown="0">
  <autoFilter ref="Q319:R333" xr:uid="{00000000-0009-0000-0100-000026000000}"/>
  <tableColumns count="2">
    <tableColumn id="5" xr3:uid="{00000000-0010-0000-2700-000005000000}" name="SPK"/>
    <tableColumn id="6" xr3:uid="{00000000-0010-0000-2700-000006000000}" name="Ver"/>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8000000}" name="Table15163233343540414237383943" displayName="Table15163233343540414237383943" ref="Q280:R299" totalsRowShown="0">
  <autoFilter ref="Q280:R299" xr:uid="{00000000-0009-0000-0100-00002A000000}"/>
  <tableColumns count="2">
    <tableColumn id="5" xr3:uid="{00000000-0010-0000-2800-000005000000}" name="SPK"/>
    <tableColumn id="6" xr3:uid="{00000000-0010-0000-2800-000006000000}" name="Ver"/>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9000000}" name="Table1516323334354041423738394344" displayName="Table1516323334354041423738394344" ref="Q335:R339" totalsRowShown="0">
  <autoFilter ref="Q335:R339" xr:uid="{00000000-0009-0000-0100-00002B000000}"/>
  <tableColumns count="2">
    <tableColumn id="5" xr3:uid="{00000000-0010-0000-2900-000005000000}" name="SPK"/>
    <tableColumn id="6" xr3:uid="{00000000-0010-0000-2900-000006000000}" name="Ver"/>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A000000}" name="Table151632333435404142373839434445" displayName="Table151632333435404142373839434445" ref="Q341:R345" totalsRowShown="0">
  <autoFilter ref="Q341:R345" xr:uid="{00000000-0009-0000-0100-00002C000000}"/>
  <tableColumns count="2">
    <tableColumn id="5" xr3:uid="{00000000-0010-0000-2A00-000005000000}" name="SPK"/>
    <tableColumn id="6" xr3:uid="{00000000-0010-0000-2A00-000006000000}" name="Ver"/>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B000000}" name="TableGCGLOBL" displayName="TableGCGLOBL" ref="A348:O352" totalsRowShown="0">
  <autoFilter ref="A348:O352" xr:uid="{00000000-0009-0000-0100-00002E000000}"/>
  <sortState xmlns:xlrd2="http://schemas.microsoft.com/office/spreadsheetml/2017/richdata2" ref="A358:R365">
    <sortCondition ref="N11:N19"/>
  </sortState>
  <tableColumns count="15">
    <tableColumn id="15" xr3:uid="{00000000-0010-0000-2B00-00000F000000}" name="UDC" dataDxfId="167">
      <calculatedColumnFormula>TableGCGLOBL[[#This Row],[Study Package Code]]</calculatedColumnFormula>
    </tableColumn>
    <tableColumn id="16" xr3:uid="{00000000-0010-0000-2B00-000010000000}" name="Version" dataDxfId="166">
      <calculatedColumnFormula>TableGCGLOBL[[#This Row],[Ver]]</calculatedColumnFormula>
    </tableColumn>
    <tableColumn id="17" xr3:uid="{00000000-0010-0000-2B00-000011000000}" name="OUA Code"/>
    <tableColumn id="18" xr3:uid="{00000000-0010-0000-2B00-000012000000}" name="Unit Title" dataDxfId="165">
      <calculatedColumnFormula>TableGCGLOBL[[#This Row],[Structure Line]]</calculatedColumnFormula>
    </tableColumn>
    <tableColumn id="19" xr3:uid="{00000000-0010-0000-2B00-000013000000}" name="CPs" dataDxfId="164">
      <calculatedColumnFormula>TableGCGLOBL[[#This Row],[Credit Points]]</calculatedColumnFormula>
    </tableColumn>
    <tableColumn id="1" xr3:uid="{00000000-0010-0000-2B00-000001000000}" name="No."/>
    <tableColumn id="2" xr3:uid="{00000000-0010-0000-2B00-000002000000}" name="Component Type"/>
    <tableColumn id="3" xr3:uid="{00000000-0010-0000-2B00-000003000000}" name="Year Level"/>
    <tableColumn id="4" xr3:uid="{00000000-0010-0000-2B00-000004000000}" name="Study Period"/>
    <tableColumn id="5" xr3:uid="{00000000-0010-0000-2B00-000005000000}" name="Study Package Code"/>
    <tableColumn id="6" xr3:uid="{00000000-0010-0000-2B00-000006000000}" name="Ver"/>
    <tableColumn id="7" xr3:uid="{00000000-0010-0000-2B00-000007000000}" name="Structure Line"/>
    <tableColumn id="8" xr3:uid="{00000000-0010-0000-2B00-000008000000}" name="Credit Points"/>
    <tableColumn id="9" xr3:uid="{00000000-0010-0000-2B00-000009000000}" name="Effective" dataDxfId="163"/>
    <tableColumn id="10" xr3:uid="{00000000-0010-0000-2B00-00000A000000}" name="Discont." dataDxfId="162"/>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C000000}" name="Table15163233343540414237383943444548" displayName="Table15163233343540414237383943444548" ref="Q348:R352" totalsRowShown="0">
  <autoFilter ref="Q348:R352" xr:uid="{00000000-0009-0000-0100-00002F000000}"/>
  <tableColumns count="2">
    <tableColumn id="5" xr3:uid="{00000000-0010-0000-2C00-000005000000}" name="SPK"/>
    <tableColumn id="6" xr3:uid="{00000000-0010-0000-2C00-000006000000}" name="Ver"/>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D000000}" name="TableMCGLOBL" displayName="TableMCGLOBL" ref="A354:O365" totalsRowShown="0">
  <autoFilter ref="A354:O365" xr:uid="{00000000-0009-0000-0100-000030000000}"/>
  <sortState xmlns:xlrd2="http://schemas.microsoft.com/office/spreadsheetml/2017/richdata2" ref="A364:R371">
    <sortCondition ref="N11:N19"/>
  </sortState>
  <tableColumns count="15">
    <tableColumn id="15" xr3:uid="{00000000-0010-0000-2D00-00000F000000}" name="UDC" dataDxfId="161">
      <calculatedColumnFormula>TableMCGLOBL[[#This Row],[Study Package Code]]</calculatedColumnFormula>
    </tableColumn>
    <tableColumn id="16" xr3:uid="{00000000-0010-0000-2D00-000010000000}" name="Version" dataDxfId="160">
      <calculatedColumnFormula>TableMCGLOBL[[#This Row],[Ver]]</calculatedColumnFormula>
    </tableColumn>
    <tableColumn id="17" xr3:uid="{00000000-0010-0000-2D00-000011000000}" name="OUA Code"/>
    <tableColumn id="18" xr3:uid="{00000000-0010-0000-2D00-000012000000}" name="Unit Title" dataDxfId="159">
      <calculatedColumnFormula>TableMCGLOBL[[#This Row],[Structure Line]]</calculatedColumnFormula>
    </tableColumn>
    <tableColumn id="19" xr3:uid="{00000000-0010-0000-2D00-000013000000}" name="CPs" dataDxfId="158">
      <calculatedColumnFormula>TableMCGLOBL[[#This Row],[Credit Points]]</calculatedColumnFormula>
    </tableColumn>
    <tableColumn id="1" xr3:uid="{00000000-0010-0000-2D00-000001000000}" name="No."/>
    <tableColumn id="2" xr3:uid="{00000000-0010-0000-2D00-000002000000}" name="Component Type"/>
    <tableColumn id="3" xr3:uid="{00000000-0010-0000-2D00-000003000000}" name="Year Level"/>
    <tableColumn id="4" xr3:uid="{00000000-0010-0000-2D00-000004000000}" name="Study Period"/>
    <tableColumn id="5" xr3:uid="{00000000-0010-0000-2D00-000005000000}" name="Study Package Code"/>
    <tableColumn id="6" xr3:uid="{00000000-0010-0000-2D00-000006000000}" name="Ver"/>
    <tableColumn id="7" xr3:uid="{00000000-0010-0000-2D00-000007000000}" name="Structure Line"/>
    <tableColumn id="8" xr3:uid="{00000000-0010-0000-2D00-000008000000}" name="Credit Points"/>
    <tableColumn id="9" xr3:uid="{00000000-0010-0000-2D00-000009000000}" name="Effective" dataDxfId="157"/>
    <tableColumn id="10" xr3:uid="{00000000-0010-0000-2D00-00000A000000}" name="Discont." dataDxfId="156"/>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E000000}" name="Table1516323334354041423738394344454850" displayName="Table1516323334354041423738394344454850" ref="Q354:R365" totalsRowShown="0">
  <autoFilter ref="Q354:R365" xr:uid="{00000000-0009-0000-0100-000031000000}"/>
  <tableColumns count="2">
    <tableColumn id="5" xr3:uid="{00000000-0010-0000-2E00-000005000000}" name="SPK"/>
    <tableColumn id="6" xr3:uid="{00000000-0010-0000-2E00-000006000000}" name="Ver"/>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TableSTRPGLOBL" displayName="TableSTRPGLOBL" ref="A367:O371" totalsRowShown="0">
  <autoFilter ref="A367:O371" xr:uid="{00000000-0009-0000-0100-000032000000}"/>
  <sortState xmlns:xlrd2="http://schemas.microsoft.com/office/spreadsheetml/2017/richdata2" ref="A377:R384">
    <sortCondition ref="N11:N19"/>
  </sortState>
  <tableColumns count="15">
    <tableColumn id="15" xr3:uid="{00000000-0010-0000-2F00-00000F000000}" name="UDC" dataDxfId="155">
      <calculatedColumnFormula>TableSTRPGLOBL[[#This Row],[Study Package Code]]</calculatedColumnFormula>
    </tableColumn>
    <tableColumn id="16" xr3:uid="{00000000-0010-0000-2F00-000010000000}" name="Version" dataDxfId="154">
      <calculatedColumnFormula>TableSTRPGLOBL[[#This Row],[Ver]]</calculatedColumnFormula>
    </tableColumn>
    <tableColumn id="17" xr3:uid="{00000000-0010-0000-2F00-000011000000}" name="OUA Code"/>
    <tableColumn id="18" xr3:uid="{00000000-0010-0000-2F00-000012000000}" name="Unit Title" dataDxfId="153">
      <calculatedColumnFormula>TableSTRPGLOBL[[#This Row],[Structure Line]]</calculatedColumnFormula>
    </tableColumn>
    <tableColumn id="19" xr3:uid="{00000000-0010-0000-2F00-000013000000}" name="CPs" dataDxfId="152">
      <calculatedColumnFormula>TableSTRPGLOBL[[#This Row],[Credit Points]]</calculatedColumnFormula>
    </tableColumn>
    <tableColumn id="1" xr3:uid="{00000000-0010-0000-2F00-000001000000}" name="No."/>
    <tableColumn id="2" xr3:uid="{00000000-0010-0000-2F00-000002000000}" name="Component Type"/>
    <tableColumn id="3" xr3:uid="{00000000-0010-0000-2F00-000003000000}" name="Year Level"/>
    <tableColumn id="4" xr3:uid="{00000000-0010-0000-2F00-000004000000}" name="Study Period"/>
    <tableColumn id="5" xr3:uid="{00000000-0010-0000-2F00-000005000000}" name="Study Package Code"/>
    <tableColumn id="6" xr3:uid="{00000000-0010-0000-2F00-000006000000}" name="Ver"/>
    <tableColumn id="7" xr3:uid="{00000000-0010-0000-2F00-000007000000}" name="Structure Line"/>
    <tableColumn id="8" xr3:uid="{00000000-0010-0000-2F00-000008000000}" name="Credit Points"/>
    <tableColumn id="9" xr3:uid="{00000000-0010-0000-2F00-000009000000}" name="Effective" dataDxfId="151"/>
    <tableColumn id="10" xr3:uid="{00000000-0010-0000-2F00-00000A000000}" name="Discont." dataDxfId="150"/>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0000000}" name="Table1516323334354041423738394344454852" displayName="Table1516323334354041423738394344454852" ref="Q367:R371" totalsRowShown="0">
  <autoFilter ref="Q367:R371" xr:uid="{00000000-0009-0000-0100-000033000000}"/>
  <tableColumns count="2">
    <tableColumn id="5" xr3:uid="{00000000-0010-0000-3000-000005000000}" name="SPK"/>
    <tableColumn id="6" xr3:uid="{00000000-0010-0000-3000-000006000000}" name="Ver"/>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AK224" totalsRowShown="0" headerRowDxfId="328" dataDxfId="327">
  <autoFilter ref="A2:AK224" xr:uid="{00000000-0009-0000-0100-000002000000}"/>
  <sortState xmlns:xlrd2="http://schemas.microsoft.com/office/spreadsheetml/2017/richdata2" ref="A3:AK224">
    <sortCondition ref="A2:A224"/>
  </sortState>
  <tableColumns count="37">
    <tableColumn id="1" xr3:uid="{00000000-0010-0000-0400-000001000000}" name="UDC" dataDxfId="326"/>
    <tableColumn id="2" xr3:uid="{00000000-0010-0000-0400-000002000000}" name="Ver" dataDxfId="325"/>
    <tableColumn id="3" xr3:uid="{00000000-0010-0000-0400-000003000000}" name="OUA Cd" dataDxfId="324"/>
    <tableColumn id="4" xr3:uid="{00000000-0010-0000-0400-000004000000}" name="Title" dataDxfId="323"/>
    <tableColumn id="5" xr3:uid="{00000000-0010-0000-0400-000005000000}" name="Credits" dataDxfId="322"/>
    <tableColumn id="6" xr3:uid="{00000000-0010-0000-0400-000006000000}" name="Pre-reqs (22/10/2024)" dataDxfId="321"/>
    <tableColumn id="12" xr3:uid="{00000000-0010-0000-0400-00000C000000}" name="S1INT" dataDxfId="320">
      <calculatedColumnFormula>IFERROR(IF(VLOOKUP(TableHandbook[[#This Row],[UDC]],TableAvailabilities[],2,FALSE)&gt;0,"Y",""),"")</calculatedColumnFormula>
    </tableColumn>
    <tableColumn id="13" xr3:uid="{00000000-0010-0000-0400-00000D000000}" name="S1FO" dataDxfId="319">
      <calculatedColumnFormula>IFERROR(IF(VLOOKUP(TableHandbook[[#This Row],[UDC]],TableAvailabilities[],3,FALSE)&gt;0,"Y",""),"")</calculatedColumnFormula>
    </tableColumn>
    <tableColumn id="14" xr3:uid="{00000000-0010-0000-0400-00000E000000}" name="S2INT" dataDxfId="318">
      <calculatedColumnFormula>IFERROR(IF(VLOOKUP(TableHandbook[[#This Row],[UDC]],TableAvailabilities[],4,FALSE)&gt;0,"Y",""),"")</calculatedColumnFormula>
    </tableColumn>
    <tableColumn id="15" xr3:uid="{00000000-0010-0000-0400-00000F000000}" name="S2FO" dataDxfId="317">
      <calculatedColumnFormula>IFERROR(IF(VLOOKUP(TableHandbook[[#This Row],[UDC]],TableAvailabilities[],5,FALSE)&gt;0,"Y",""),"")</calculatedColumnFormula>
    </tableColumn>
    <tableColumn id="16" xr3:uid="{00000000-0010-0000-0400-000010000000}" name="Notes" dataDxfId="316"/>
    <tableColumn id="8" xr3:uid="{00000000-0010-0000-0400-000008000000}" name="MC-ARTS" dataDxfId="315">
      <calculatedColumnFormula>IFERROR(VLOOKUP(TableHandbook[[#This Row],[UDC]],TableMCARTS[],7,FALSE),"")</calculatedColumnFormula>
    </tableColumn>
    <tableColumn id="9" xr3:uid="{00000000-0010-0000-0400-000009000000}" name="MJRP-CWRIT" dataDxfId="314">
      <calculatedColumnFormula>IFERROR(VLOOKUP(TableHandbook[[#This Row],[UDC]],TableMJRPCWRIT[],7,FALSE),"")</calculatedColumnFormula>
    </tableColumn>
    <tableColumn id="37" xr3:uid="{00000000-0010-0000-0400-000025000000}" name="MJRP-DGCMS" dataDxfId="313">
      <calculatedColumnFormula>IFERROR(VLOOKUP(TableHandbook[[#This Row],[UDC]],TableMJRPDGCMS[],7,FALSE),"")</calculatedColumnFormula>
    </tableColumn>
    <tableColumn id="10" xr3:uid="{00000000-0010-0000-0400-00000A000000}" name="MJRP-FINAR" dataDxfId="312">
      <calculatedColumnFormula>IFERROR(VLOOKUP(TableHandbook[[#This Row],[UDC]],TableMJRPFINAR[],7,FALSE),"")</calculatedColumnFormula>
    </tableColumn>
    <tableColumn id="20" xr3:uid="{00000000-0010-0000-0400-000014000000}" name="MJRP-PWRIT" dataDxfId="311">
      <calculatedColumnFormula>IFERROR(VLOOKUP(TableHandbook[[#This Row],[UDC]],TableMJRPPWRIT[],7,FALSE),"")</calculatedColumnFormula>
    </tableColumn>
    <tableColumn id="21" xr3:uid="{00000000-0010-0000-0400-000015000000}" name="MJRP-SCRAR" dataDxfId="310">
      <calculatedColumnFormula>IFERROR(VLOOKUP(TableHandbook[[#This Row],[UDC]],TableMJRPSCRAR[],7,FALSE),"")</calculatedColumnFormula>
    </tableColumn>
    <tableColumn id="7" xr3:uid="{00000000-0010-0000-0400-000007000000}" name="MC-MMJRG" dataDxfId="309">
      <calculatedColumnFormula>IFERROR(VLOOKUP(TableHandbook[[#This Row],[UDC]],TableMCMMJRG[],7,FALSE),"")</calculatedColumnFormula>
    </tableColumn>
    <tableColumn id="11" xr3:uid="{00000000-0010-0000-0400-00000B000000}" name="MC-MMJRN" dataDxfId="308">
      <calculatedColumnFormula>IFERROR(VLOOKUP(TableHandbook[[#This Row],[UDC]],TableMCMMJRN[],7,FALSE),"")</calculatedColumnFormula>
    </tableColumn>
    <tableColumn id="17" xr3:uid="{00000000-0010-0000-0400-000011000000}" name="GD-MMJRN" dataDxfId="307">
      <calculatedColumnFormula>IFERROR(VLOOKUP(TableHandbook[[#This Row],[UDC]],TableGDMMJRN[],7,FALSE),"")</calculatedColumnFormula>
    </tableColumn>
    <tableColumn id="18" xr3:uid="{00000000-0010-0000-0400-000012000000}" name="GC-MMJRN" dataDxfId="306">
      <calculatedColumnFormula>IFERROR(VLOOKUP(TableHandbook[[#This Row],[UDC]],TableGCMMJRN[],7,FALSE),"")</calculatedColumnFormula>
    </tableColumn>
    <tableColumn id="19" xr3:uid="{00000000-0010-0000-0400-000013000000}" name="MC-HRIGLO" dataDxfId="305">
      <calculatedColumnFormula>IFERROR(VLOOKUP(TableHandbook[[#This Row],[UDC]],TableMCHRIGLO[],7,FALSE),"")</calculatedColumnFormula>
    </tableColumn>
    <tableColumn id="22" xr3:uid="{00000000-0010-0000-0400-000016000000}" name="MC-HRIGHT" dataDxfId="304">
      <calculatedColumnFormula>IFERROR(VLOOKUP(TableHandbook[[#This Row],[UDC]],TableMCHRIGHT[],7,FALSE),"")</calculatedColumnFormula>
    </tableColumn>
    <tableColumn id="23" xr3:uid="{00000000-0010-0000-0400-000017000000}" name="GD-HRIGHT" dataDxfId="303">
      <calculatedColumnFormula>IFERROR(VLOOKUP(TableHandbook[[#This Row],[UDC]],TableGDHRIGHT[],7,FALSE),"")</calculatedColumnFormula>
    </tableColumn>
    <tableColumn id="24" xr3:uid="{00000000-0010-0000-0400-000018000000}" name="GC-HRIGHT" dataDxfId="302">
      <calculatedColumnFormula>IFERROR(VLOOKUP(TableHandbook[[#This Row],[UDC]],TableGCHRIGHT[],7,FALSE),"")</calculatedColumnFormula>
    </tableColumn>
    <tableColumn id="31" xr3:uid="{00000000-0010-0000-0400-00001F000000}" name="MC-GLOBL2" dataDxfId="301">
      <calculatedColumnFormula>IFERROR(VLOOKUP(TableHandbook[[#This Row],[UDC]],TableMCGLOBL2[],7,FALSE),"")</calculatedColumnFormula>
    </tableColumn>
    <tableColumn id="32" xr3:uid="{00000000-0010-0000-0400-000020000000}" name="MC-GLOBL" dataDxfId="300">
      <calculatedColumnFormula>IFERROR(VLOOKUP(TableHandbook[[#This Row],[UDC]],TableMCGLOBL[],7,FALSE),"")</calculatedColumnFormula>
    </tableColumn>
    <tableColumn id="34" xr3:uid="{00000000-0010-0000-0400-000022000000}" name="STRP-GLOBL" dataDxfId="299">
      <calculatedColumnFormula>IFERROR(VLOOKUP(TableHandbook[[#This Row],[UDC]],TableSTRPGLOBL[],7,FALSE),"")</calculatedColumnFormula>
    </tableColumn>
    <tableColumn id="35" xr3:uid="{00000000-0010-0000-0400-000023000000}" name="STRP-HRIGT" dataDxfId="298">
      <calculatedColumnFormula>IFERROR(VLOOKUP(TableHandbook[[#This Row],[UDC]],TableSTRPHRIGT[],7,FALSE),"")</calculatedColumnFormula>
    </tableColumn>
    <tableColumn id="36" xr3:uid="{00000000-0010-0000-0400-000024000000}" name="STRP-INTRN" dataDxfId="297">
      <calculatedColumnFormula>IFERROR(VLOOKUP(TableHandbook[[#This Row],[UDC]],TableSTRPINTRN[],7,FALSE),"")</calculatedColumnFormula>
    </tableColumn>
    <tableColumn id="33" xr3:uid="{00000000-0010-0000-0400-000021000000}" name="GC-GLOBL" dataDxfId="296">
      <calculatedColumnFormula>IFERROR(VLOOKUP(TableHandbook[[#This Row],[UDC]],TableGCGLOBL[],7,FALSE),"")</calculatedColumnFormula>
    </tableColumn>
    <tableColumn id="25" xr3:uid="{00000000-0010-0000-0400-000019000000}" name="MC-INTREL" dataDxfId="295">
      <calculatedColumnFormula>IFERROR(VLOOKUP(TableHandbook[[#This Row],[UDC]],TableMCINTREL[],7,FALSE),"")</calculatedColumnFormula>
    </tableColumn>
    <tableColumn id="26" xr3:uid="{00000000-0010-0000-0400-00001A000000}" name="MC-INTSEC" dataDxfId="294">
      <calculatedColumnFormula>IFERROR(VLOOKUP(TableHandbook[[#This Row],[UDC]],TableMCINTSEC[],7,FALSE),"")</calculatedColumnFormula>
    </tableColumn>
    <tableColumn id="27" xr3:uid="{00000000-0010-0000-0400-00001B000000}" name="GD-INTSEC" dataDxfId="293">
      <calculatedColumnFormula>IFERROR(VLOOKUP(TableHandbook[[#This Row],[UDC]],TableGDINTSEC[],7,FALSE),"")</calculatedColumnFormula>
    </tableColumn>
    <tableColumn id="28" xr3:uid="{00000000-0010-0000-0400-00001C000000}" name="GC-INTSEC" dataDxfId="292">
      <calculatedColumnFormula>IFERROR(VLOOKUP(TableHandbook[[#This Row],[UDC]],TableGCINTSEC[],7,FALSE),"")</calculatedColumnFormula>
    </tableColumn>
    <tableColumn id="29" xr3:uid="{00000000-0010-0000-0400-00001D000000}" name="GC-INTELL" dataDxfId="291">
      <calculatedColumnFormula>IFERROR(VLOOKUP(TableHandbook[[#This Row],[UDC]],TableGCINTELL[],7,FALSE),"")</calculatedColumnFormula>
    </tableColumn>
    <tableColumn id="30" xr3:uid="{00000000-0010-0000-0400-00001E000000}" name="GC-IPCSEC" dataDxfId="290">
      <calculatedColumnFormula>IFERROR(VLOOKUP(TableHandbook[[#This Row],[UDC]],TableGCIPCSEC[],7,FALSE),"")</calculatedColumnFormula>
    </tableColumn>
  </tableColumns>
  <tableStyleInfo name="TableStyleLight11" showFirstColumn="0" showLastColumn="0" showRowStripes="1" showColumnStripes="1"/>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1000000}" name="TableSTRPHRIGT" displayName="TableSTRPHRIGT" ref="A373:O380" totalsRowShown="0">
  <autoFilter ref="A373:O380" xr:uid="{00000000-0009-0000-0100-000034000000}"/>
  <sortState xmlns:xlrd2="http://schemas.microsoft.com/office/spreadsheetml/2017/richdata2" ref="A383:R390">
    <sortCondition ref="N11:N19"/>
  </sortState>
  <tableColumns count="15">
    <tableColumn id="15" xr3:uid="{00000000-0010-0000-3100-00000F000000}" name="UDC" dataDxfId="149">
      <calculatedColumnFormula>TableSTRPHRIGT[[#This Row],[Study Package Code]]</calculatedColumnFormula>
    </tableColumn>
    <tableColumn id="16" xr3:uid="{00000000-0010-0000-3100-000010000000}" name="Version" dataDxfId="148">
      <calculatedColumnFormula>TableSTRPHRIGT[[#This Row],[Ver]]</calculatedColumnFormula>
    </tableColumn>
    <tableColumn id="17" xr3:uid="{00000000-0010-0000-3100-000011000000}" name="OUA Code"/>
    <tableColumn id="18" xr3:uid="{00000000-0010-0000-3100-000012000000}" name="Unit Title" dataDxfId="147">
      <calculatedColumnFormula>TableSTRPHRIGT[[#This Row],[Structure Line]]</calculatedColumnFormula>
    </tableColumn>
    <tableColumn id="19" xr3:uid="{00000000-0010-0000-3100-000013000000}" name="CPs" dataDxfId="146">
      <calculatedColumnFormula>TableSTRPHRIGT[[#This Row],[Credit Points]]</calculatedColumnFormula>
    </tableColumn>
    <tableColumn id="1" xr3:uid="{00000000-0010-0000-3100-000001000000}" name="No."/>
    <tableColumn id="2" xr3:uid="{00000000-0010-0000-3100-000002000000}" name="Component Type"/>
    <tableColumn id="3" xr3:uid="{00000000-0010-0000-3100-000003000000}" name="Year Level"/>
    <tableColumn id="4" xr3:uid="{00000000-0010-0000-3100-000004000000}" name="Study Period"/>
    <tableColumn id="5" xr3:uid="{00000000-0010-0000-3100-000005000000}" name="Study Package Code"/>
    <tableColumn id="6" xr3:uid="{00000000-0010-0000-3100-000006000000}" name="Ver"/>
    <tableColumn id="7" xr3:uid="{00000000-0010-0000-3100-000007000000}" name="Structure Line"/>
    <tableColumn id="8" xr3:uid="{00000000-0010-0000-3100-000008000000}" name="Credit Points"/>
    <tableColumn id="9" xr3:uid="{00000000-0010-0000-3100-000009000000}" name="Effective" dataDxfId="145"/>
    <tableColumn id="10" xr3:uid="{00000000-0010-0000-3100-00000A000000}" name="Discont." dataDxfId="144"/>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2000000}" name="Table151632333435404142373839434445485054" displayName="Table151632333435404142373839434445485054" ref="Q373:R380" totalsRowShown="0">
  <autoFilter ref="Q373:R380" xr:uid="{00000000-0009-0000-0100-000035000000}"/>
  <tableColumns count="2">
    <tableColumn id="5" xr3:uid="{00000000-0010-0000-3200-000005000000}" name="SPK"/>
    <tableColumn id="6" xr3:uid="{00000000-0010-0000-3200-000006000000}" name="Ver"/>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3000000}" name="TableSTRPINTRN" displayName="TableSTRPINTRN" ref="A382:O396" totalsRowShown="0">
  <autoFilter ref="A382:O396" xr:uid="{00000000-0009-0000-0100-000036000000}"/>
  <sortState xmlns:xlrd2="http://schemas.microsoft.com/office/spreadsheetml/2017/richdata2" ref="A392:R399">
    <sortCondition ref="N11:N19"/>
  </sortState>
  <tableColumns count="15">
    <tableColumn id="15" xr3:uid="{00000000-0010-0000-3300-00000F000000}" name="UDC" dataDxfId="143">
      <calculatedColumnFormula>TableSTRPINTRN[[#This Row],[Study Package Code]]</calculatedColumnFormula>
    </tableColumn>
    <tableColumn id="16" xr3:uid="{00000000-0010-0000-3300-000010000000}" name="Version" dataDxfId="142">
      <calculatedColumnFormula>TableSTRPINTRN[[#This Row],[Ver]]</calculatedColumnFormula>
    </tableColumn>
    <tableColumn id="17" xr3:uid="{00000000-0010-0000-3300-000011000000}" name="OUA Code"/>
    <tableColumn id="18" xr3:uid="{00000000-0010-0000-3300-000012000000}" name="Unit Title" dataDxfId="141">
      <calculatedColumnFormula>TableSTRPINTRN[[#This Row],[Structure Line]]</calculatedColumnFormula>
    </tableColumn>
    <tableColumn id="19" xr3:uid="{00000000-0010-0000-3300-000013000000}" name="CPs" dataDxfId="140">
      <calculatedColumnFormula>TableSTRPINTRN[[#This Row],[Credit Points]]</calculatedColumnFormula>
    </tableColumn>
    <tableColumn id="1" xr3:uid="{00000000-0010-0000-3300-000001000000}" name="No."/>
    <tableColumn id="2" xr3:uid="{00000000-0010-0000-3300-000002000000}" name="Component Type"/>
    <tableColumn id="3" xr3:uid="{00000000-0010-0000-3300-000003000000}" name="Year Level"/>
    <tableColumn id="4" xr3:uid="{00000000-0010-0000-3300-000004000000}" name="Study Period"/>
    <tableColumn id="5" xr3:uid="{00000000-0010-0000-3300-000005000000}" name="Study Package Code"/>
    <tableColumn id="6" xr3:uid="{00000000-0010-0000-3300-000006000000}" name="Ver"/>
    <tableColumn id="7" xr3:uid="{00000000-0010-0000-3300-000007000000}" name="Structure Line"/>
    <tableColumn id="8" xr3:uid="{00000000-0010-0000-3300-000008000000}" name="Credit Points"/>
    <tableColumn id="9" xr3:uid="{00000000-0010-0000-3300-000009000000}" name="Effective" dataDxfId="139"/>
    <tableColumn id="10" xr3:uid="{00000000-0010-0000-3300-00000A000000}" name="Discont." dataDxfId="138"/>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4000000}" name="Table15163233343540414237383943444548505456" displayName="Table15163233343540414237383943444548505456" ref="Q382:R396" totalsRowShown="0">
  <autoFilter ref="Q382:R396" xr:uid="{00000000-0009-0000-0100-000037000000}"/>
  <tableColumns count="2">
    <tableColumn id="5" xr3:uid="{00000000-0010-0000-3400-000005000000}" name="SPK"/>
    <tableColumn id="6" xr3:uid="{00000000-0010-0000-3400-000006000000}" name="Ver"/>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5000000}" name="TableMCGLOBL2" displayName="TableMCGLOBL2" ref="A398:O407" totalsRowShown="0">
  <autoFilter ref="A398:O407" xr:uid="{00000000-0009-0000-0100-000038000000}"/>
  <sortState xmlns:xlrd2="http://schemas.microsoft.com/office/spreadsheetml/2017/richdata2" ref="A408:R415">
    <sortCondition ref="N11:N19"/>
  </sortState>
  <tableColumns count="15">
    <tableColumn id="15" xr3:uid="{00000000-0010-0000-3500-00000F000000}" name="UDC" dataDxfId="137">
      <calculatedColumnFormula>TableMCGLOBL2[[#This Row],[Study Package Code]]</calculatedColumnFormula>
    </tableColumn>
    <tableColumn id="16" xr3:uid="{00000000-0010-0000-3500-000010000000}" name="Version" dataDxfId="136">
      <calculatedColumnFormula>TableMCGLOBL2[[#This Row],[Ver]]</calculatedColumnFormula>
    </tableColumn>
    <tableColumn id="17" xr3:uid="{00000000-0010-0000-3500-000011000000}" name="OUA Code"/>
    <tableColumn id="18" xr3:uid="{00000000-0010-0000-3500-000012000000}" name="Unit Title" dataDxfId="135">
      <calculatedColumnFormula>TableMCGLOBL2[[#This Row],[Structure Line]]</calculatedColumnFormula>
    </tableColumn>
    <tableColumn id="19" xr3:uid="{00000000-0010-0000-3500-000013000000}" name="CPs" dataDxfId="134">
      <calculatedColumnFormula>TableMCGLOBL2[[#This Row],[Credit Points]]</calculatedColumnFormula>
    </tableColumn>
    <tableColumn id="1" xr3:uid="{00000000-0010-0000-3500-000001000000}" name="No."/>
    <tableColumn id="2" xr3:uid="{00000000-0010-0000-3500-000002000000}" name="Component Type"/>
    <tableColumn id="3" xr3:uid="{00000000-0010-0000-3500-000003000000}" name="Year Level"/>
    <tableColumn id="4" xr3:uid="{00000000-0010-0000-3500-000004000000}" name="Study Period"/>
    <tableColumn id="5" xr3:uid="{00000000-0010-0000-3500-000005000000}" name="Study Package Code"/>
    <tableColumn id="6" xr3:uid="{00000000-0010-0000-3500-000006000000}" name="Ver"/>
    <tableColumn id="7" xr3:uid="{00000000-0010-0000-3500-000007000000}" name="Structure Line"/>
    <tableColumn id="8" xr3:uid="{00000000-0010-0000-3500-000008000000}" name="Credit Points"/>
    <tableColumn id="9" xr3:uid="{00000000-0010-0000-3500-000009000000}" name="Effective" dataDxfId="133"/>
    <tableColumn id="10" xr3:uid="{00000000-0010-0000-3500-00000A000000}" name="Discont." dataDxfId="132"/>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6000000}" name="Table151632333435404142373839434445485058" displayName="Table151632333435404142373839434445485058" ref="Q398:R407" totalsRowShown="0">
  <autoFilter ref="Q398:R407" xr:uid="{00000000-0009-0000-0100-000039000000}"/>
  <tableColumns count="2">
    <tableColumn id="5" xr3:uid="{00000000-0010-0000-3600-000005000000}" name="SPK"/>
    <tableColumn id="6" xr3:uid="{00000000-0010-0000-3600-000006000000}" name="Ver"/>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37000000}" name="TableMJRPDGCMS" displayName="TableMJRPDGCMS" ref="A32:O58" totalsRowShown="0">
  <autoFilter ref="A32:O58" xr:uid="{00000000-0009-0000-0100-000013000000}"/>
  <sortState xmlns:xlrd2="http://schemas.microsoft.com/office/spreadsheetml/2017/richdata2" ref="A33:R43">
    <sortCondition ref="M42:M53"/>
  </sortState>
  <tableColumns count="15">
    <tableColumn id="9" xr3:uid="{00000000-0010-0000-3700-000009000000}" name="UDC" dataDxfId="131">
      <calculatedColumnFormula>TableMJRPDGCMS[[#This Row],[Study Package Code]]</calculatedColumnFormula>
    </tableColumn>
    <tableColumn id="10" xr3:uid="{00000000-0010-0000-3700-00000A000000}" name="Version" dataDxfId="130">
      <calculatedColumnFormula>TableMJRPDGCMS[[#This Row],[Ver]]</calculatedColumnFormula>
    </tableColumn>
    <tableColumn id="11" xr3:uid="{00000000-0010-0000-3700-00000B000000}" name="OUA Code"/>
    <tableColumn id="12" xr3:uid="{00000000-0010-0000-3700-00000C000000}" name="Unit Title" dataDxfId="129">
      <calculatedColumnFormula>TableMJRPDGCMS[[#This Row],[Structure Line]]</calculatedColumnFormula>
    </tableColumn>
    <tableColumn id="13" xr3:uid="{00000000-0010-0000-3700-00000D000000}" name="CPs" dataDxfId="128">
      <calculatedColumnFormula>TableMJRPDGCMS[[#This Row],[Credit Points]]</calculatedColumnFormula>
    </tableColumn>
    <tableColumn id="1" xr3:uid="{00000000-0010-0000-3700-000001000000}" name="No."/>
    <tableColumn id="2" xr3:uid="{00000000-0010-0000-3700-000002000000}" name="Component Type"/>
    <tableColumn id="3" xr3:uid="{00000000-0010-0000-3700-000003000000}" name="Year Level"/>
    <tableColumn id="4" xr3:uid="{00000000-0010-0000-3700-000004000000}" name="Study Period"/>
    <tableColumn id="5" xr3:uid="{00000000-0010-0000-3700-000005000000}" name="Study Package Code"/>
    <tableColumn id="6" xr3:uid="{00000000-0010-0000-3700-000006000000}" name="Ver"/>
    <tableColumn id="7" xr3:uid="{00000000-0010-0000-3700-000007000000}" name="Structure Line"/>
    <tableColumn id="8" xr3:uid="{00000000-0010-0000-3700-000008000000}" name="Credit Points"/>
    <tableColumn id="14" xr3:uid="{00000000-0010-0000-3700-00000E000000}" name="Effective" dataDxfId="127"/>
    <tableColumn id="15" xr3:uid="{00000000-0010-0000-3700-00000F000000}" name="Discont." dataDxfId="126"/>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8000000}" name="Table15162346" displayName="Table15162346" ref="Q32:R58" totalsRowShown="0">
  <autoFilter ref="Q32:R58" xr:uid="{00000000-0009-0000-0100-00002D000000}"/>
  <tableColumns count="2">
    <tableColumn id="5" xr3:uid="{00000000-0010-0000-3800-000005000000}" name="SPK"/>
    <tableColumn id="6" xr3:uid="{00000000-0010-0000-3800-000006000000}" name="Ver"/>
  </tableColumns>
  <tableStyleInfo name="TableStyleLight4"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9000000}" name="TableAvailabilities" displayName="TableAvailabilities" ref="A2:E104" totalsRowShown="0">
  <autoFilter ref="A2:E104" xr:uid="{00000000-0009-0000-0100-00000D000000}"/>
  <sortState xmlns:xlrd2="http://schemas.microsoft.com/office/spreadsheetml/2017/richdata2" ref="A3:E18">
    <sortCondition ref="A2:A18"/>
  </sortState>
  <tableColumns count="5">
    <tableColumn id="1" xr3:uid="{00000000-0010-0000-3900-000001000000}" name="Row Labels"/>
    <tableColumn id="2" xr3:uid="{00000000-0010-0000-3900-000002000000}" name="Sem1 Internal" dataDxfId="125"/>
    <tableColumn id="3" xr3:uid="{00000000-0010-0000-3900-000003000000}" name="Sem1 Online" dataDxfId="124"/>
    <tableColumn id="4" xr3:uid="{00000000-0010-0000-3900-000004000000}" name="Sem2 Internal" dataDxfId="123"/>
    <tableColumn id="5" xr3:uid="{00000000-0010-0000-3900-000005000000}" name="Sem2 Online" dataDxfId="122"/>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MCARTS" displayName="TableMCARTS" ref="A3:O9" totalsRowShown="0">
  <autoFilter ref="A3:O9" xr:uid="{00000000-0009-0000-0100-000007000000}"/>
  <sortState xmlns:xlrd2="http://schemas.microsoft.com/office/spreadsheetml/2017/richdata2" ref="AE24:AV31">
    <sortCondition ref="AR11:AR19"/>
  </sortState>
  <tableColumns count="15">
    <tableColumn id="15" xr3:uid="{00000000-0010-0000-0500-00000F000000}" name="UDC" dataDxfId="289">
      <calculatedColumnFormula>TableMCARTS[[#This Row],[Study Package Code]]</calculatedColumnFormula>
    </tableColumn>
    <tableColumn id="16" xr3:uid="{00000000-0010-0000-0500-000010000000}" name="Version" dataDxfId="288">
      <calculatedColumnFormula>TableMCARTS[[#This Row],[Ver]]</calculatedColumnFormula>
    </tableColumn>
    <tableColumn id="17" xr3:uid="{00000000-0010-0000-0500-000011000000}" name="OUA Code"/>
    <tableColumn id="18" xr3:uid="{00000000-0010-0000-0500-000012000000}" name="Unit Title" dataDxfId="287">
      <calculatedColumnFormula>TableMCARTS[[#This Row],[Structure Line]]</calculatedColumnFormula>
    </tableColumn>
    <tableColumn id="19" xr3:uid="{00000000-0010-0000-0500-000013000000}" name="CPs" dataDxfId="286">
      <calculatedColumnFormula>TableMCARTS[[#This Row],[Credit Points]]</calculatedColumnFormula>
    </tableColumn>
    <tableColumn id="1" xr3:uid="{00000000-0010-0000-0500-000001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9" xr3:uid="{00000000-0010-0000-0500-000009000000}" name="Effective" dataDxfId="285"/>
    <tableColumn id="10" xr3:uid="{00000000-0010-0000-0500-00000A000000}" name="Discont." dataDxfId="28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MJRPCWRIT" displayName="TableMJRPCWRIT" ref="A11:O30" totalsRowShown="0">
  <autoFilter ref="A11:O30" xr:uid="{00000000-0009-0000-0100-000008000000}"/>
  <sortState xmlns:xlrd2="http://schemas.microsoft.com/office/spreadsheetml/2017/richdata2" ref="A11:M42">
    <sortCondition ref="F10:F42"/>
  </sortState>
  <tableColumns count="15">
    <tableColumn id="9" xr3:uid="{00000000-0010-0000-0600-000009000000}" name="UDC" dataDxfId="283">
      <calculatedColumnFormula>TableMJRPCWRIT[[#This Row],[Study Package Code]]</calculatedColumnFormula>
    </tableColumn>
    <tableColumn id="10" xr3:uid="{00000000-0010-0000-0600-00000A000000}" name="Version" dataDxfId="282">
      <calculatedColumnFormula>TableMJRPCWRIT[[#This Row],[Ver]]</calculatedColumnFormula>
    </tableColumn>
    <tableColumn id="11" xr3:uid="{00000000-0010-0000-0600-00000B000000}" name="OUA Code"/>
    <tableColumn id="12" xr3:uid="{00000000-0010-0000-0600-00000C000000}" name="Unit Title" dataDxfId="281">
      <calculatedColumnFormula>TableMJRPCWRIT[[#This Row],[Structure Line]]</calculatedColumnFormula>
    </tableColumn>
    <tableColumn id="13" xr3:uid="{00000000-0010-0000-0600-00000D000000}" name="CPs" dataDxfId="280">
      <calculatedColumnFormula>TableMJRPCWRIT[[#This Row],[Credit Points]]</calculatedColumnFormula>
    </tableColumn>
    <tableColumn id="1" xr3:uid="{00000000-0010-0000-0600-000001000000}" name="No." dataDxfId="279"/>
    <tableColumn id="2" xr3:uid="{00000000-0010-0000-0600-000002000000}" name="Component Type" dataDxfId="278"/>
    <tableColumn id="3" xr3:uid="{00000000-0010-0000-0600-000003000000}" name="Year Level" dataDxfId="277"/>
    <tableColumn id="4" xr3:uid="{00000000-0010-0000-0600-000004000000}" name="Study Period" dataDxfId="276"/>
    <tableColumn id="5" xr3:uid="{00000000-0010-0000-0600-000005000000}" name="Study Package Code" dataDxfId="275"/>
    <tableColumn id="6" xr3:uid="{00000000-0010-0000-0600-000006000000}" name="Ver" dataDxfId="274"/>
    <tableColumn id="7" xr3:uid="{00000000-0010-0000-0600-000007000000}" name="Structure Line" dataDxfId="273"/>
    <tableColumn id="8" xr3:uid="{00000000-0010-0000-0600-000008000000}" name="Credit Points" dataDxfId="272"/>
    <tableColumn id="14" xr3:uid="{00000000-0010-0000-0600-00000E000000}" name="Effective" dataDxfId="271"/>
    <tableColumn id="15" xr3:uid="{00000000-0010-0000-0600-00000F000000}" name="Discont." dataDxfId="27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MJRPFINAR" displayName="TableMJRPFINAR" ref="A60:O84" totalsRowShown="0">
  <autoFilter ref="A60:O84" xr:uid="{00000000-0009-0000-0100-000009000000}"/>
  <sortState xmlns:xlrd2="http://schemas.microsoft.com/office/spreadsheetml/2017/richdata2" ref="AE43:AV53">
    <sortCondition ref="AQ42:AQ53"/>
  </sortState>
  <tableColumns count="15">
    <tableColumn id="9" xr3:uid="{00000000-0010-0000-0700-000009000000}" name="UDC" dataDxfId="269">
      <calculatedColumnFormula>TableMJRPFINAR[[#This Row],[Study Package Code]]</calculatedColumnFormula>
    </tableColumn>
    <tableColumn id="10" xr3:uid="{00000000-0010-0000-0700-00000A000000}" name="Version" dataDxfId="268">
      <calculatedColumnFormula>TableMJRPFINAR[[#This Row],[Ver]]</calculatedColumnFormula>
    </tableColumn>
    <tableColumn id="11" xr3:uid="{00000000-0010-0000-0700-00000B000000}" name="OUA Code"/>
    <tableColumn id="12" xr3:uid="{00000000-0010-0000-0700-00000C000000}" name="Unit Title" dataDxfId="267">
      <calculatedColumnFormula>TableMJRPFINAR[[#This Row],[Structure Line]]</calculatedColumnFormula>
    </tableColumn>
    <tableColumn id="13" xr3:uid="{00000000-0010-0000-0700-00000D000000}" name="CPs" dataDxfId="266">
      <calculatedColumnFormula>TableMJRPFINAR[[#This Row],[Credit Points]]</calculatedColumnFormula>
    </tableColumn>
    <tableColumn id="1" xr3:uid="{00000000-0010-0000-0700-000001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265"/>
    <tableColumn id="15" xr3:uid="{00000000-0010-0000-0700-00000F000000}" name="Discont." dataDxfId="2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TableMJRPPWRIT" displayName="TableMJRPPWRIT" ref="A86:O114" totalsRowShown="0">
  <autoFilter ref="A86:O114" xr:uid="{00000000-0009-0000-0100-000001000000}"/>
  <sortState xmlns:xlrd2="http://schemas.microsoft.com/office/spreadsheetml/2017/richdata2" ref="A37:R47">
    <sortCondition ref="M28:M39"/>
  </sortState>
  <tableColumns count="15">
    <tableColumn id="9" xr3:uid="{00000000-0010-0000-0800-000009000000}" name="UDC" dataDxfId="263">
      <calculatedColumnFormula>TableMJRPPWRIT[[#This Row],[Study Package Code]]</calculatedColumnFormula>
    </tableColumn>
    <tableColumn id="10" xr3:uid="{00000000-0010-0000-0800-00000A000000}" name="Version" dataDxfId="262">
      <calculatedColumnFormula>TableMJRPPWRIT[[#This Row],[Ver]]</calculatedColumnFormula>
    </tableColumn>
    <tableColumn id="11" xr3:uid="{00000000-0010-0000-0800-00000B000000}" name="OUA Code"/>
    <tableColumn id="12" xr3:uid="{00000000-0010-0000-0800-00000C000000}" name="Unit Title" dataDxfId="261">
      <calculatedColumnFormula>TableMJRPPWRIT[[#This Row],[Structure Line]]</calculatedColumnFormula>
    </tableColumn>
    <tableColumn id="13" xr3:uid="{00000000-0010-0000-0800-00000D000000}" name="CPs" dataDxfId="260">
      <calculatedColumnFormula>TableMJRPPWRIT[[#This Row],[Credit Points]]</calculatedColumnFormula>
    </tableColumn>
    <tableColumn id="1" xr3:uid="{00000000-0010-0000-0800-000001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259"/>
    <tableColumn id="15" xr3:uid="{00000000-0010-0000-0800-00000F000000}" name="Discont." dataDxfId="25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9" Type="http://schemas.openxmlformats.org/officeDocument/2006/relationships/table" Target="../tables/table43.xml"/><Relationship Id="rId21" Type="http://schemas.openxmlformats.org/officeDocument/2006/relationships/table" Target="../tables/table25.xml"/><Relationship Id="rId34" Type="http://schemas.openxmlformats.org/officeDocument/2006/relationships/table" Target="../tables/table38.xml"/><Relationship Id="rId42" Type="http://schemas.openxmlformats.org/officeDocument/2006/relationships/table" Target="../tables/table46.xml"/><Relationship Id="rId47" Type="http://schemas.openxmlformats.org/officeDocument/2006/relationships/table" Target="../tables/table51.xml"/><Relationship Id="rId50" Type="http://schemas.openxmlformats.org/officeDocument/2006/relationships/table" Target="../tables/table54.xml"/><Relationship Id="rId7" Type="http://schemas.openxmlformats.org/officeDocument/2006/relationships/table" Target="../tables/table11.xml"/><Relationship Id="rId2" Type="http://schemas.openxmlformats.org/officeDocument/2006/relationships/table" Target="../tables/table6.xml"/><Relationship Id="rId16" Type="http://schemas.openxmlformats.org/officeDocument/2006/relationships/table" Target="../tables/table20.xml"/><Relationship Id="rId29" Type="http://schemas.openxmlformats.org/officeDocument/2006/relationships/table" Target="../tables/table33.xml"/><Relationship Id="rId11" Type="http://schemas.openxmlformats.org/officeDocument/2006/relationships/table" Target="../tables/table15.xml"/><Relationship Id="rId24" Type="http://schemas.openxmlformats.org/officeDocument/2006/relationships/table" Target="../tables/table28.xml"/><Relationship Id="rId32" Type="http://schemas.openxmlformats.org/officeDocument/2006/relationships/table" Target="../tables/table36.xml"/><Relationship Id="rId37" Type="http://schemas.openxmlformats.org/officeDocument/2006/relationships/table" Target="../tables/table41.xml"/><Relationship Id="rId40" Type="http://schemas.openxmlformats.org/officeDocument/2006/relationships/table" Target="../tables/table44.xml"/><Relationship Id="rId45" Type="http://schemas.openxmlformats.org/officeDocument/2006/relationships/table" Target="../tables/table49.xml"/><Relationship Id="rId53" Type="http://schemas.openxmlformats.org/officeDocument/2006/relationships/table" Target="../tables/table57.xml"/><Relationship Id="rId5" Type="http://schemas.openxmlformats.org/officeDocument/2006/relationships/table" Target="../tables/table9.xml"/><Relationship Id="rId10" Type="http://schemas.openxmlformats.org/officeDocument/2006/relationships/table" Target="../tables/table14.xml"/><Relationship Id="rId19" Type="http://schemas.openxmlformats.org/officeDocument/2006/relationships/table" Target="../tables/table23.xml"/><Relationship Id="rId31" Type="http://schemas.openxmlformats.org/officeDocument/2006/relationships/table" Target="../tables/table35.xml"/><Relationship Id="rId44" Type="http://schemas.openxmlformats.org/officeDocument/2006/relationships/table" Target="../tables/table48.xml"/><Relationship Id="rId52" Type="http://schemas.openxmlformats.org/officeDocument/2006/relationships/table" Target="../tables/table56.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 Id="rId30" Type="http://schemas.openxmlformats.org/officeDocument/2006/relationships/table" Target="../tables/table34.xml"/><Relationship Id="rId35" Type="http://schemas.openxmlformats.org/officeDocument/2006/relationships/table" Target="../tables/table39.xml"/><Relationship Id="rId43" Type="http://schemas.openxmlformats.org/officeDocument/2006/relationships/table" Target="../tables/table47.xml"/><Relationship Id="rId48" Type="http://schemas.openxmlformats.org/officeDocument/2006/relationships/table" Target="../tables/table52.xml"/><Relationship Id="rId8" Type="http://schemas.openxmlformats.org/officeDocument/2006/relationships/table" Target="../tables/table12.xml"/><Relationship Id="rId51" Type="http://schemas.openxmlformats.org/officeDocument/2006/relationships/table" Target="../tables/table55.xml"/><Relationship Id="rId3" Type="http://schemas.openxmlformats.org/officeDocument/2006/relationships/table" Target="../tables/table7.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33" Type="http://schemas.openxmlformats.org/officeDocument/2006/relationships/table" Target="../tables/table37.xml"/><Relationship Id="rId38" Type="http://schemas.openxmlformats.org/officeDocument/2006/relationships/table" Target="../tables/table42.xml"/><Relationship Id="rId46" Type="http://schemas.openxmlformats.org/officeDocument/2006/relationships/table" Target="../tables/table50.xml"/><Relationship Id="rId20" Type="http://schemas.openxmlformats.org/officeDocument/2006/relationships/table" Target="../tables/table24.xml"/><Relationship Id="rId41" Type="http://schemas.openxmlformats.org/officeDocument/2006/relationships/table" Target="../tables/table45.xml"/><Relationship Id="rId1" Type="http://schemas.openxmlformats.org/officeDocument/2006/relationships/printerSettings" Target="../printerSettings/printerSettings9.bin"/><Relationship Id="rId6" Type="http://schemas.openxmlformats.org/officeDocument/2006/relationships/table" Target="../tables/table10.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36" Type="http://schemas.openxmlformats.org/officeDocument/2006/relationships/table" Target="../tables/table40.xml"/><Relationship Id="rId49"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P70"/>
  <sheetViews>
    <sheetView showGridLines="0" tabSelected="1" topLeftCell="A3" zoomScaleNormal="100" workbookViewId="0">
      <selection activeCell="D6" sqref="D6"/>
    </sheetView>
  </sheetViews>
  <sheetFormatPr defaultColWidth="9" defaultRowHeight="14.4" x14ac:dyDescent="0.3"/>
  <cols>
    <col min="1" max="1" width="10.59765625" style="316" customWidth="1"/>
    <col min="2" max="2" width="3.19921875" style="316" customWidth="1"/>
    <col min="3" max="3" width="5.8984375" style="316" customWidth="1"/>
    <col min="4" max="4" width="53.3984375" style="305" customWidth="1"/>
    <col min="5" max="5" width="7.19921875" style="305" customWidth="1"/>
    <col min="6" max="6" width="21.59765625" style="305" bestFit="1" customWidth="1"/>
    <col min="7" max="7" width="5.59765625" style="305" customWidth="1"/>
    <col min="8" max="11" width="4.59765625" style="305" customWidth="1"/>
    <col min="12" max="12" width="18.59765625" style="305" customWidth="1"/>
    <col min="13" max="13" width="2.5" style="305" hidden="1" customWidth="1"/>
    <col min="14" max="16384" width="9" style="305"/>
  </cols>
  <sheetData>
    <row r="1" spans="1:16" hidden="1" x14ac:dyDescent="0.3">
      <c r="A1" s="300" t="s">
        <v>0</v>
      </c>
      <c r="B1" s="301" t="s">
        <v>1</v>
      </c>
      <c r="C1" s="301" t="s">
        <v>2</v>
      </c>
      <c r="D1" s="302" t="s">
        <v>3</v>
      </c>
      <c r="E1" s="302"/>
      <c r="F1" s="302" t="s">
        <v>4</v>
      </c>
      <c r="G1" s="302" t="s">
        <v>5</v>
      </c>
      <c r="H1" s="303" t="s">
        <v>6</v>
      </c>
      <c r="I1" s="302"/>
      <c r="J1" s="302"/>
      <c r="K1" s="302"/>
      <c r="L1" s="302" t="s">
        <v>7</v>
      </c>
      <c r="M1" s="304"/>
    </row>
    <row r="2" spans="1:16" hidden="1" x14ac:dyDescent="0.3">
      <c r="A2" s="306"/>
      <c r="B2" s="307">
        <v>2</v>
      </c>
      <c r="C2" s="307">
        <v>3</v>
      </c>
      <c r="D2" s="307">
        <v>4</v>
      </c>
      <c r="E2" s="307"/>
      <c r="F2" s="307">
        <v>6</v>
      </c>
      <c r="G2" s="307">
        <v>5</v>
      </c>
      <c r="H2" s="307">
        <v>7</v>
      </c>
      <c r="I2" s="307">
        <v>8</v>
      </c>
      <c r="J2" s="307">
        <v>9</v>
      </c>
      <c r="K2" s="307">
        <v>10</v>
      </c>
      <c r="L2" s="308"/>
      <c r="M2" s="304"/>
    </row>
    <row r="3" spans="1:16" ht="39.9" customHeight="1" x14ac:dyDescent="0.3">
      <c r="A3" s="309" t="s">
        <v>8</v>
      </c>
      <c r="B3" s="309"/>
      <c r="C3" s="309"/>
      <c r="D3" s="309"/>
      <c r="E3" s="310"/>
      <c r="F3" s="310"/>
      <c r="G3" s="310"/>
      <c r="H3" s="310"/>
      <c r="I3" s="310"/>
      <c r="J3" s="310"/>
      <c r="K3" s="310"/>
      <c r="L3" s="310"/>
      <c r="M3" s="304"/>
    </row>
    <row r="4" spans="1:16" ht="24.6" x14ac:dyDescent="0.3">
      <c r="A4" s="311"/>
      <c r="B4" s="312"/>
      <c r="C4" s="312"/>
      <c r="D4" s="313"/>
      <c r="E4" s="314" t="s">
        <v>9</v>
      </c>
      <c r="F4" s="312"/>
      <c r="G4" s="315"/>
      <c r="H4" s="315"/>
      <c r="I4" s="315"/>
      <c r="J4" s="315"/>
      <c r="K4" s="315"/>
      <c r="L4" s="315"/>
      <c r="M4" s="304"/>
    </row>
    <row r="5" spans="1:16" ht="20.100000000000001" customHeight="1" x14ac:dyDescent="0.3">
      <c r="B5" s="317"/>
      <c r="C5" s="318" t="s">
        <v>10</v>
      </c>
      <c r="D5" s="319" t="s">
        <v>11</v>
      </c>
      <c r="E5" s="320"/>
      <c r="F5" s="318" t="s">
        <v>12</v>
      </c>
      <c r="G5" s="320" t="str">
        <f>IFERROR(CONCATENATE(VLOOKUP(D5,TableCourses[],2,FALSE)," ",VLOOKUP(D5,TableCourses[],3,FALSE)),"")</f>
        <v>MC-ARTS v.4</v>
      </c>
      <c r="H5" s="320"/>
      <c r="I5" s="320"/>
      <c r="J5" s="320"/>
      <c r="K5" s="320"/>
      <c r="L5" s="321"/>
      <c r="M5" s="304"/>
    </row>
    <row r="6" spans="1:16" ht="20.100000000000001" customHeight="1" x14ac:dyDescent="0.3">
      <c r="B6" s="317"/>
      <c r="C6" s="318" t="s">
        <v>13</v>
      </c>
      <c r="D6" s="411" t="s">
        <v>169</v>
      </c>
      <c r="E6" s="320"/>
      <c r="F6" s="318" t="s">
        <v>15</v>
      </c>
      <c r="G6" s="320" t="str">
        <f>IFERROR(CONCATENATE(VLOOKUP(D6,TableMajors[],2,FALSE)," ",VLOOKUP(D6,TableMajors[],3,FALSE)),"")</f>
        <v/>
      </c>
      <c r="H6" s="320"/>
      <c r="I6" s="320"/>
      <c r="J6" s="320"/>
      <c r="K6" s="320"/>
      <c r="L6" s="322" t="e">
        <f>CONCATENATE(VLOOKUP(D6,TableMajors[],2,FALSE),VLOOKUP(D7,TableStudyPeriods[],2,FALSE))</f>
        <v>#N/A</v>
      </c>
      <c r="M6" s="304"/>
    </row>
    <row r="7" spans="1:16" ht="20.100000000000001" customHeight="1" thickBot="1" x14ac:dyDescent="0.35">
      <c r="A7" s="323"/>
      <c r="B7" s="324"/>
      <c r="C7" s="318" t="s">
        <v>16</v>
      </c>
      <c r="D7" s="412" t="s">
        <v>220</v>
      </c>
      <c r="E7" s="325"/>
      <c r="F7" s="318" t="s">
        <v>18</v>
      </c>
      <c r="G7" s="320" t="str">
        <f>IFERROR(VLOOKUP($D$5,TableCourses[],7,FALSE),"")</f>
        <v>400 credit points required</v>
      </c>
      <c r="H7" s="326"/>
      <c r="I7" s="326"/>
      <c r="J7" s="326"/>
      <c r="K7" s="326"/>
      <c r="L7" s="326"/>
      <c r="M7" s="304"/>
    </row>
    <row r="8" spans="1:16" ht="50.1" customHeight="1" thickBot="1" x14ac:dyDescent="0.35">
      <c r="A8" s="327" t="s">
        <v>19</v>
      </c>
      <c r="B8" s="328" t="str">
        <f>IFERROR(VLOOKUP($L$31,RangeMARTSCourseNotes,2,FALSE),"")</f>
        <v/>
      </c>
      <c r="C8" s="328"/>
      <c r="D8" s="328"/>
      <c r="E8" s="328"/>
      <c r="F8" s="328"/>
      <c r="G8" s="328"/>
      <c r="H8" s="328"/>
      <c r="I8" s="328"/>
      <c r="J8" s="328"/>
      <c r="K8" s="328"/>
      <c r="L8" s="329"/>
      <c r="M8" s="304"/>
    </row>
    <row r="9" spans="1:16" s="338" customFormat="1" ht="14.1" customHeight="1" x14ac:dyDescent="0.3">
      <c r="A9" s="330"/>
      <c r="B9" s="330"/>
      <c r="C9" s="330"/>
      <c r="D9" s="331"/>
      <c r="E9" s="332"/>
      <c r="F9" s="330"/>
      <c r="G9" s="330"/>
      <c r="H9" s="333" t="s">
        <v>20</v>
      </c>
      <c r="I9" s="334"/>
      <c r="J9" s="334"/>
      <c r="K9" s="335"/>
      <c r="L9" s="332"/>
      <c r="M9" s="336"/>
      <c r="N9" s="337"/>
      <c r="O9" s="337"/>
    </row>
    <row r="10" spans="1:16" s="338" customFormat="1" ht="22.8" x14ac:dyDescent="0.3">
      <c r="A10" s="330" t="s">
        <v>21</v>
      </c>
      <c r="B10" s="330"/>
      <c r="C10" s="330"/>
      <c r="D10" s="331" t="s">
        <v>3</v>
      </c>
      <c r="E10" s="339" t="s">
        <v>22</v>
      </c>
      <c r="F10" s="340" t="s">
        <v>23</v>
      </c>
      <c r="G10" s="330" t="s">
        <v>24</v>
      </c>
      <c r="H10" s="341" t="s">
        <v>25</v>
      </c>
      <c r="I10" s="342" t="s">
        <v>26</v>
      </c>
      <c r="J10" s="339" t="s">
        <v>27</v>
      </c>
      <c r="K10" s="343" t="s">
        <v>28</v>
      </c>
      <c r="L10" s="330" t="s">
        <v>29</v>
      </c>
      <c r="M10" s="336"/>
      <c r="N10" s="337"/>
      <c r="O10" s="337"/>
    </row>
    <row r="11" spans="1:16" s="353" customFormat="1" ht="20.100000000000001" customHeight="1" x14ac:dyDescent="0.25">
      <c r="A11" s="344" t="str">
        <f>IFERROR(IF(HLOOKUP($L$6,RangeMARTSUnitsets,M11,FALSE)=0,"",HLOOKUP($L$6,RangeMARTSUnitsets,M11,FALSE)),"")</f>
        <v/>
      </c>
      <c r="B11" s="345" t="str">
        <f>IFERROR(IF(VLOOKUP($A11,TableHandbook[],2,FALSE)=0,"",VLOOKUP($A11,TableHandbook[],2,FALSE)),"")</f>
        <v/>
      </c>
      <c r="C11" s="345" t="str">
        <f>IFERROR(IF(VLOOKUP($A11,TableHandbook[],3,FALSE)=0,"",VLOOKUP($A11,TableHandbook[],3,FALSE)),"")</f>
        <v/>
      </c>
      <c r="D11" s="346" t="str">
        <f>IFERROR(IF(VLOOKUP($A11,TableHandbook[],4,FALSE)=0,"",VLOOKUP($A11,TableHandbook[],4,FALSE)),"")</f>
        <v/>
      </c>
      <c r="E11" s="345" t="str">
        <f>IF(A11="","",VLOOKUP($D$7,TableStudyPeriods[],2,FALSE))</f>
        <v/>
      </c>
      <c r="F11" s="347" t="str">
        <f>IFERROR(IF(VLOOKUP($A11,TableHandbook[],6,FALSE)=0,"",VLOOKUP($A11,TableHandbook[],6,FALSE)),"")</f>
        <v/>
      </c>
      <c r="G11" s="345" t="str">
        <f>IFERROR(IF(VLOOKUP($A11,TableHandbook[],5,FALSE)=0,"",VLOOKUP($A11,TableHandbook[],5,FALSE)),"")</f>
        <v/>
      </c>
      <c r="H11" s="348" t="str">
        <f>IFERROR(VLOOKUP($A11,TableHandbook[],H$2,FALSE),"")</f>
        <v/>
      </c>
      <c r="I11" s="349" t="str">
        <f>IFERROR(VLOOKUP($A11,TableHandbook[],I$2,FALSE),"")</f>
        <v/>
      </c>
      <c r="J11" s="345" t="str">
        <f>IFERROR(VLOOKUP($A11,TableHandbook[],J$2,FALSE),"")</f>
        <v/>
      </c>
      <c r="K11" s="350" t="str">
        <f>IFERROR(VLOOKUP($A11,TableHandbook[],K$2,FALSE),"")</f>
        <v/>
      </c>
      <c r="L11" s="53"/>
      <c r="M11" s="351">
        <v>2</v>
      </c>
      <c r="N11" s="352"/>
      <c r="O11" s="352"/>
    </row>
    <row r="12" spans="1:16" s="353" customFormat="1" ht="20.100000000000001" customHeight="1" x14ac:dyDescent="0.25">
      <c r="A12" s="344" t="str">
        <f>IFERROR(IF(HLOOKUP($L$6,Unitsets!$L$3:$AE$19,M12,FALSE)=0,"",HLOOKUP($L$6,Unitsets!$L$3:$AE$19,M12,FALSE)),"")</f>
        <v/>
      </c>
      <c r="B12" s="345" t="str">
        <f>IFERROR(IF(VLOOKUP($A12,TableHandbook[],2,FALSE)=0,"",VLOOKUP($A12,TableHandbook[],2,FALSE)),"")</f>
        <v/>
      </c>
      <c r="C12" s="345" t="str">
        <f>IFERROR(IF(VLOOKUP($A12,TableHandbook[],3,FALSE)=0,"",VLOOKUP($A12,TableHandbook[],3,FALSE)),"")</f>
        <v/>
      </c>
      <c r="D12" s="346" t="str">
        <f>IFERROR(IF(VLOOKUP($A12,TableHandbook[],4,FALSE)=0,"",VLOOKUP($A12,TableHandbook[],4,FALSE)),"")</f>
        <v/>
      </c>
      <c r="E12" s="345" t="str">
        <f>IF(OR(A12="",A12="-"),"",E11)</f>
        <v/>
      </c>
      <c r="F12" s="347" t="str">
        <f>IFERROR(IF(VLOOKUP($A12,TableHandbook[],6,FALSE)=0,"",VLOOKUP($A12,TableHandbook[],6,FALSE)),"")</f>
        <v/>
      </c>
      <c r="G12" s="345" t="str">
        <f>IFERROR(IF(VLOOKUP($A12,TableHandbook[],5,FALSE)=0,"",VLOOKUP($A12,TableHandbook[],5,FALSE)),"")</f>
        <v/>
      </c>
      <c r="H12" s="348" t="str">
        <f>IFERROR(VLOOKUP($A12,TableHandbook[],H$2,FALSE),"")</f>
        <v/>
      </c>
      <c r="I12" s="349" t="str">
        <f>IFERROR(VLOOKUP($A12,TableHandbook[],I$2,FALSE),"")</f>
        <v/>
      </c>
      <c r="J12" s="345" t="str">
        <f>IFERROR(VLOOKUP($A12,TableHandbook[],J$2,FALSE),"")</f>
        <v/>
      </c>
      <c r="K12" s="350" t="str">
        <f>IFERROR(VLOOKUP($A12,TableHandbook[],K$2,FALSE),"")</f>
        <v/>
      </c>
      <c r="L12" s="53"/>
      <c r="M12" s="351">
        <v>3</v>
      </c>
      <c r="N12" s="352"/>
      <c r="O12" s="352"/>
    </row>
    <row r="13" spans="1:16" s="353" customFormat="1" ht="20.100000000000001" customHeight="1" x14ac:dyDescent="0.25">
      <c r="A13" s="344" t="str">
        <f>IFERROR(IF(HLOOKUP($L$6,Unitsets!$L$3:$AE$19,M13,FALSE)=0,"",HLOOKUP($L$6,Unitsets!$L$3:$AE$19,M13,FALSE)),"")</f>
        <v/>
      </c>
      <c r="B13" s="345" t="str">
        <f>IFERROR(IF(VLOOKUP($A13,TableHandbook[],2,FALSE)=0,"",VLOOKUP($A13,TableHandbook[],2,FALSE)),"")</f>
        <v/>
      </c>
      <c r="C13" s="345" t="str">
        <f>IFERROR(IF(VLOOKUP($A13,TableHandbook[],3,FALSE)=0,"",VLOOKUP($A13,TableHandbook[],3,FALSE)),"")</f>
        <v/>
      </c>
      <c r="D13" s="346" t="str">
        <f>IFERROR(IF(VLOOKUP($A13,TableHandbook[],4,FALSE)=0,"",VLOOKUP($A13,TableHandbook[],4,FALSE)),"")</f>
        <v/>
      </c>
      <c r="E13" s="345" t="str">
        <f t="shared" ref="E13:E14" si="0">IF(OR(A13="",A13="-"),"",E12)</f>
        <v/>
      </c>
      <c r="F13" s="347" t="str">
        <f>IFERROR(IF(VLOOKUP($A13,TableHandbook[],6,FALSE)=0,"",VLOOKUP($A13,TableHandbook[],6,FALSE)),"")</f>
        <v/>
      </c>
      <c r="G13" s="345" t="str">
        <f>IFERROR(IF(VLOOKUP($A13,TableHandbook[],5,FALSE)=0,"",VLOOKUP($A13,TableHandbook[],5,FALSE)),"")</f>
        <v/>
      </c>
      <c r="H13" s="348" t="str">
        <f>IFERROR(VLOOKUP($A13,TableHandbook[],H$2,FALSE),"")</f>
        <v/>
      </c>
      <c r="I13" s="349" t="str">
        <f>IFERROR(VLOOKUP($A13,TableHandbook[],I$2,FALSE),"")</f>
        <v/>
      </c>
      <c r="J13" s="345" t="str">
        <f>IFERROR(VLOOKUP($A13,TableHandbook[],J$2,FALSE),"")</f>
        <v/>
      </c>
      <c r="K13" s="350" t="str">
        <f>IFERROR(VLOOKUP($A13,TableHandbook[],K$2,FALSE),"")</f>
        <v/>
      </c>
      <c r="L13" s="54"/>
      <c r="M13" s="351">
        <v>4</v>
      </c>
      <c r="N13" s="352"/>
      <c r="O13" s="352"/>
    </row>
    <row r="14" spans="1:16" s="353" customFormat="1" ht="20.100000000000001" customHeight="1" x14ac:dyDescent="0.25">
      <c r="A14" s="344" t="str">
        <f>IFERROR(IF(HLOOKUP($L$6,Unitsets!$L$3:$AE$19,M14,FALSE)=0,"",HLOOKUP($L$6,Unitsets!$L$3:$AE$19,M14,FALSE)),"")</f>
        <v/>
      </c>
      <c r="B14" s="345" t="str">
        <f>IFERROR(IF(VLOOKUP($A14,TableHandbook[],2,FALSE)=0,"",VLOOKUP($A14,TableHandbook[],2,FALSE)),"")</f>
        <v/>
      </c>
      <c r="C14" s="345" t="str">
        <f>IFERROR(IF(VLOOKUP($A14,TableHandbook[],3,FALSE)=0,"",VLOOKUP($A14,TableHandbook[],3,FALSE)),"")</f>
        <v/>
      </c>
      <c r="D14" s="346" t="str">
        <f>IFERROR(IF(VLOOKUP($A14,TableHandbook[],4,FALSE)=0,"",VLOOKUP($A14,TableHandbook[],4,FALSE)),"")</f>
        <v/>
      </c>
      <c r="E14" s="345" t="str">
        <f t="shared" si="0"/>
        <v/>
      </c>
      <c r="F14" s="347" t="str">
        <f>IFERROR(IF(VLOOKUP($A14,TableHandbook[],6,FALSE)=0,"",VLOOKUP($A14,TableHandbook[],6,FALSE)),"")</f>
        <v/>
      </c>
      <c r="G14" s="345" t="str">
        <f>IFERROR(IF(VLOOKUP($A14,TableHandbook[],5,FALSE)=0,"",VLOOKUP($A14,TableHandbook[],5,FALSE)),"")</f>
        <v/>
      </c>
      <c r="H14" s="348" t="str">
        <f>IFERROR(VLOOKUP($A14,TableHandbook[],H$2,FALSE),"")</f>
        <v/>
      </c>
      <c r="I14" s="349" t="str">
        <f>IFERROR(VLOOKUP($A14,TableHandbook[],I$2,FALSE),"")</f>
        <v/>
      </c>
      <c r="J14" s="345" t="str">
        <f>IFERROR(VLOOKUP($A14,TableHandbook[],J$2,FALSE),"")</f>
        <v/>
      </c>
      <c r="K14" s="350" t="str">
        <f>IFERROR(VLOOKUP($A14,TableHandbook[],K$2,FALSE),"")</f>
        <v/>
      </c>
      <c r="L14" s="53"/>
      <c r="M14" s="351">
        <v>5</v>
      </c>
      <c r="N14" s="352"/>
      <c r="O14" s="352"/>
    </row>
    <row r="15" spans="1:16" s="353" customFormat="1" ht="5.0999999999999996" customHeight="1" x14ac:dyDescent="0.25">
      <c r="A15" s="354"/>
      <c r="B15" s="355"/>
      <c r="C15" s="355"/>
      <c r="D15" s="356"/>
      <c r="E15" s="355"/>
      <c r="F15" s="357"/>
      <c r="G15" s="355"/>
      <c r="H15" s="358"/>
      <c r="I15" s="359"/>
      <c r="J15" s="355"/>
      <c r="K15" s="360"/>
      <c r="L15" s="177"/>
      <c r="M15" s="351"/>
      <c r="N15" s="352"/>
      <c r="O15" s="352"/>
      <c r="P15" s="352"/>
    </row>
    <row r="16" spans="1:16" s="353" customFormat="1" ht="20.100000000000001" customHeight="1" x14ac:dyDescent="0.25">
      <c r="A16" s="344" t="str">
        <f>IFERROR(IF(HLOOKUP($L$6,Unitsets!$L$3:$AE$19,M16,FALSE)=0,"",HLOOKUP($L$6,Unitsets!$L$3:$AE$19,M16,FALSE)),"")</f>
        <v/>
      </c>
      <c r="B16" s="361" t="str">
        <f>IFERROR(IF(VLOOKUP($A16,TableHandbook[],2,FALSE)=0,"",VLOOKUP($A16,TableHandbook[],2,FALSE)),"")</f>
        <v/>
      </c>
      <c r="C16" s="361" t="str">
        <f>IFERROR(IF(VLOOKUP($A16,TableHandbook[],3,FALSE)=0,"",VLOOKUP($A16,TableHandbook[],3,FALSE)),"")</f>
        <v/>
      </c>
      <c r="D16" s="346" t="str">
        <f>IFERROR(IF(VLOOKUP($A16,TableHandbook[],4,FALSE)=0,"",VLOOKUP($A16,TableHandbook[],4,FALSE)),"")</f>
        <v/>
      </c>
      <c r="E16" s="345" t="str">
        <f>IF(A16="","",VLOOKUP($D$7,TableStudyPeriods[],3,FALSE))</f>
        <v/>
      </c>
      <c r="F16" s="347" t="str">
        <f>IFERROR(IF(VLOOKUP($A16,TableHandbook[],6,FALSE)=0,"",VLOOKUP($A16,TableHandbook[],6,FALSE)),"")</f>
        <v/>
      </c>
      <c r="G16" s="361" t="str">
        <f>IFERROR(IF(VLOOKUP($A16,TableHandbook[],5,FALSE)=0,"",VLOOKUP($A16,TableHandbook[],5,FALSE)),"")</f>
        <v/>
      </c>
      <c r="H16" s="362" t="str">
        <f>IFERROR(VLOOKUP($A16,TableHandbook[],H$2,FALSE),"")</f>
        <v/>
      </c>
      <c r="I16" s="363" t="str">
        <f>IFERROR(VLOOKUP($A16,TableHandbook[],I$2,FALSE),"")</f>
        <v/>
      </c>
      <c r="J16" s="361" t="str">
        <f>IFERROR(VLOOKUP($A16,TableHandbook[],J$2,FALSE),"")</f>
        <v/>
      </c>
      <c r="K16" s="364" t="str">
        <f>IFERROR(VLOOKUP($A16,TableHandbook[],K$2,FALSE),"")</f>
        <v/>
      </c>
      <c r="L16" s="54"/>
      <c r="M16" s="351">
        <v>6</v>
      </c>
      <c r="N16" s="352"/>
      <c r="O16" s="352"/>
    </row>
    <row r="17" spans="1:16" s="366" customFormat="1" ht="20.100000000000001" customHeight="1" x14ac:dyDescent="0.25">
      <c r="A17" s="344" t="str">
        <f>IFERROR(IF(HLOOKUP($L$6,Unitsets!$L$3:$AE$19,M17,FALSE)=0,"",HLOOKUP($L$6,Unitsets!$L$3:$AE$19,M17,FALSE)),"")</f>
        <v/>
      </c>
      <c r="B17" s="361" t="str">
        <f>IFERROR(IF(VLOOKUP($A17,TableHandbook[],2,FALSE)=0,"",VLOOKUP($A17,TableHandbook[],2,FALSE)),"")</f>
        <v/>
      </c>
      <c r="C17" s="361" t="str">
        <f>IFERROR(IF(VLOOKUP($A17,TableHandbook[],3,FALSE)=0,"",VLOOKUP($A17,TableHandbook[],3,FALSE)),"")</f>
        <v/>
      </c>
      <c r="D17" s="346" t="str">
        <f>IFERROR(IF(VLOOKUP($A17,TableHandbook[],4,FALSE)=0,"",VLOOKUP($A17,TableHandbook[],4,FALSE)),"")</f>
        <v/>
      </c>
      <c r="E17" s="345" t="str">
        <f>IF(OR(A17="",A17="-"),"",E16)</f>
        <v/>
      </c>
      <c r="F17" s="347" t="str">
        <f>IFERROR(IF(VLOOKUP($A17,TableHandbook[],6,FALSE)=0,"",VLOOKUP($A17,TableHandbook[],6,FALSE)),"")</f>
        <v/>
      </c>
      <c r="G17" s="361" t="str">
        <f>IFERROR(IF(VLOOKUP($A17,TableHandbook[],5,FALSE)=0,"",VLOOKUP($A17,TableHandbook[],5,FALSE)),"")</f>
        <v/>
      </c>
      <c r="H17" s="362" t="str">
        <f>IFERROR(VLOOKUP($A17,TableHandbook[],H$2,FALSE),"")</f>
        <v/>
      </c>
      <c r="I17" s="363" t="str">
        <f>IFERROR(VLOOKUP($A17,TableHandbook[],I$2,FALSE),"")</f>
        <v/>
      </c>
      <c r="J17" s="361" t="str">
        <f>IFERROR(VLOOKUP($A17,TableHandbook[],J$2,FALSE),"")</f>
        <v/>
      </c>
      <c r="K17" s="364" t="str">
        <f>IFERROR(VLOOKUP($A17,TableHandbook[],K$2,FALSE),"")</f>
        <v/>
      </c>
      <c r="L17" s="54"/>
      <c r="M17" s="351">
        <v>7</v>
      </c>
      <c r="N17" s="365"/>
      <c r="O17" s="365"/>
    </row>
    <row r="18" spans="1:16" s="366" customFormat="1" ht="20.100000000000001" customHeight="1" x14ac:dyDescent="0.25">
      <c r="A18" s="344" t="str">
        <f>IFERROR(IF(HLOOKUP($L$6,Unitsets!$L$3:$AE$19,M18,FALSE)=0,"",HLOOKUP($L$6,Unitsets!$L$3:$AE$19,M18,FALSE)),"")</f>
        <v/>
      </c>
      <c r="B18" s="361" t="str">
        <f>IFERROR(IF(VLOOKUP($A18,TableHandbook[],2,FALSE)=0,"",VLOOKUP($A18,TableHandbook[],2,FALSE)),"")</f>
        <v/>
      </c>
      <c r="C18" s="361" t="str">
        <f>IFERROR(IF(VLOOKUP($A18,TableHandbook[],3,FALSE)=0,"",VLOOKUP($A18,TableHandbook[],3,FALSE)),"")</f>
        <v/>
      </c>
      <c r="D18" s="346" t="str">
        <f>IFERROR(IF(VLOOKUP($A18,TableHandbook[],4,FALSE)=0,"",VLOOKUP($A18,TableHandbook[],4,FALSE)),"")</f>
        <v/>
      </c>
      <c r="E18" s="345" t="str">
        <f t="shared" ref="E18:E19" si="1">IF(OR(A18="",A18="-"),"",E17)</f>
        <v/>
      </c>
      <c r="F18" s="347" t="str">
        <f>IFERROR(IF(VLOOKUP($A18,TableHandbook[],6,FALSE)=0,"",VLOOKUP($A18,TableHandbook[],6,FALSE)),"")</f>
        <v/>
      </c>
      <c r="G18" s="361" t="str">
        <f>IFERROR(IF(VLOOKUP($A18,TableHandbook[],5,FALSE)=0,"",VLOOKUP($A18,TableHandbook[],5,FALSE)),"")</f>
        <v/>
      </c>
      <c r="H18" s="362" t="str">
        <f>IFERROR(VLOOKUP($A18,TableHandbook[],H$2,FALSE),"")</f>
        <v/>
      </c>
      <c r="I18" s="363" t="str">
        <f>IFERROR(VLOOKUP($A18,TableHandbook[],I$2,FALSE),"")</f>
        <v/>
      </c>
      <c r="J18" s="361" t="str">
        <f>IFERROR(VLOOKUP($A18,TableHandbook[],J$2,FALSE),"")</f>
        <v/>
      </c>
      <c r="K18" s="364" t="str">
        <f>IFERROR(VLOOKUP($A18,TableHandbook[],K$2,FALSE),"")</f>
        <v/>
      </c>
      <c r="L18" s="54"/>
      <c r="M18" s="351">
        <v>8</v>
      </c>
      <c r="N18" s="365"/>
      <c r="O18" s="365"/>
    </row>
    <row r="19" spans="1:16" s="366" customFormat="1" ht="20.100000000000001" customHeight="1" x14ac:dyDescent="0.25">
      <c r="A19" s="344" t="str">
        <f>IFERROR(IF(HLOOKUP($L$6,Unitsets!$L$3:$AE$19,M19,FALSE)=0,"",HLOOKUP($L$6,Unitsets!$L$3:$AE$19,M19,FALSE)),"")</f>
        <v/>
      </c>
      <c r="B19" s="361" t="str">
        <f>IFERROR(IF(VLOOKUP($A19,TableHandbook[],2,FALSE)=0,"",VLOOKUP($A19,TableHandbook[],2,FALSE)),"")</f>
        <v/>
      </c>
      <c r="C19" s="361" t="str">
        <f>IFERROR(IF(VLOOKUP($A19,TableHandbook[],3,FALSE)=0,"",VLOOKUP($A19,TableHandbook[],3,FALSE)),"")</f>
        <v/>
      </c>
      <c r="D19" s="367" t="str">
        <f>IFERROR(IF(VLOOKUP($A19,TableHandbook[],4,FALSE)=0,"",VLOOKUP($A19,TableHandbook[],4,FALSE)),"")</f>
        <v/>
      </c>
      <c r="E19" s="361" t="str">
        <f t="shared" si="1"/>
        <v/>
      </c>
      <c r="F19" s="347" t="str">
        <f>IFERROR(IF(VLOOKUP($A19,TableHandbook[],6,FALSE)=0,"",VLOOKUP($A19,TableHandbook[],6,FALSE)),"")</f>
        <v/>
      </c>
      <c r="G19" s="361" t="str">
        <f>IFERROR(IF(VLOOKUP($A19,TableHandbook[],5,FALSE)=0,"",VLOOKUP($A19,TableHandbook[],5,FALSE)),"")</f>
        <v/>
      </c>
      <c r="H19" s="362" t="str">
        <f>IFERROR(VLOOKUP($A19,TableHandbook[],H$2,FALSE),"")</f>
        <v/>
      </c>
      <c r="I19" s="363" t="str">
        <f>IFERROR(VLOOKUP($A19,TableHandbook[],I$2,FALSE),"")</f>
        <v/>
      </c>
      <c r="J19" s="361" t="str">
        <f>IFERROR(VLOOKUP($A19,TableHandbook[],J$2,FALSE),"")</f>
        <v/>
      </c>
      <c r="K19" s="364" t="str">
        <f>IFERROR(VLOOKUP($A19,TableHandbook[],K$2,FALSE),"")</f>
        <v/>
      </c>
      <c r="L19" s="54"/>
      <c r="M19" s="351">
        <v>9</v>
      </c>
      <c r="N19" s="365"/>
      <c r="O19" s="365"/>
    </row>
    <row r="20" spans="1:16" s="338" customFormat="1" ht="22.8" x14ac:dyDescent="0.3">
      <c r="A20" s="330" t="s">
        <v>30</v>
      </c>
      <c r="B20" s="330"/>
      <c r="C20" s="330"/>
      <c r="D20" s="331" t="s">
        <v>3</v>
      </c>
      <c r="E20" s="339" t="s">
        <v>22</v>
      </c>
      <c r="F20" s="340" t="s">
        <v>23</v>
      </c>
      <c r="G20" s="330" t="s">
        <v>24</v>
      </c>
      <c r="H20" s="341" t="str">
        <f>H$10</f>
        <v>Sem1 BEN</v>
      </c>
      <c r="I20" s="342" t="str">
        <f t="shared" ref="I20:L20" si="2">I$10</f>
        <v>Sem1 FO</v>
      </c>
      <c r="J20" s="339" t="str">
        <f t="shared" si="2"/>
        <v>Sem2 BEN</v>
      </c>
      <c r="K20" s="343" t="str">
        <f t="shared" si="2"/>
        <v>Sem2 FO</v>
      </c>
      <c r="L20" s="330" t="str">
        <f t="shared" si="2"/>
        <v>Notes / Progress</v>
      </c>
      <c r="M20" s="336"/>
      <c r="N20" s="337"/>
      <c r="O20" s="337"/>
    </row>
    <row r="21" spans="1:16" s="353" customFormat="1" ht="20.100000000000001" customHeight="1" x14ac:dyDescent="0.25">
      <c r="A21" s="344" t="str">
        <f>IFERROR(IF(HLOOKUP($L$6,Unitsets!$L$3:$AE$19,M21,FALSE)=0,"",HLOOKUP($L$6,Unitsets!$L$3:$AE$19,M21,FALSE)),"")</f>
        <v/>
      </c>
      <c r="B21" s="361" t="str">
        <f>IFERROR(IF(VLOOKUP($A21,TableHandbook[],2,FALSE)=0,"",VLOOKUP($A21,TableHandbook[],2,FALSE)),"")</f>
        <v/>
      </c>
      <c r="C21" s="361" t="str">
        <f>IFERROR(IF(VLOOKUP($A21,TableHandbook[],3,FALSE)=0,"",VLOOKUP($A21,TableHandbook[],3,FALSE)),"")</f>
        <v/>
      </c>
      <c r="D21" s="368" t="str">
        <f>IFERROR(IF(VLOOKUP($A21,TableHandbook[],4,FALSE)=0,"",VLOOKUP($A21,TableHandbook[],4,FALSE)),"")</f>
        <v/>
      </c>
      <c r="E21" s="361" t="str">
        <f>IF(A21="","",VLOOKUP($D$7,TableStudyPeriods[],2,FALSE))</f>
        <v/>
      </c>
      <c r="F21" s="347" t="str">
        <f>IFERROR(IF(VLOOKUP($A21,TableHandbook[],6,FALSE)=0,"",VLOOKUP($A21,TableHandbook[],6,FALSE)),"")</f>
        <v/>
      </c>
      <c r="G21" s="345" t="str">
        <f>IFERROR(IF(VLOOKUP($A21,TableHandbook[],5,FALSE)=0,"",VLOOKUP($A21,TableHandbook[],5,FALSE)),"")</f>
        <v/>
      </c>
      <c r="H21" s="348" t="str">
        <f>IFERROR(VLOOKUP($A21,TableHandbook[],H$2,FALSE),"")</f>
        <v/>
      </c>
      <c r="I21" s="349" t="str">
        <f>IFERROR(VLOOKUP($A21,TableHandbook[],I$2,FALSE),"")</f>
        <v/>
      </c>
      <c r="J21" s="345" t="str">
        <f>IFERROR(VLOOKUP($A21,TableHandbook[],J$2,FALSE),"")</f>
        <v/>
      </c>
      <c r="K21" s="350" t="str">
        <f>IFERROR(VLOOKUP($A21,TableHandbook[],K$2,FALSE),"")</f>
        <v/>
      </c>
      <c r="L21" s="53"/>
      <c r="M21" s="351">
        <v>10</v>
      </c>
      <c r="N21" s="352"/>
      <c r="O21" s="352"/>
    </row>
    <row r="22" spans="1:16" s="353" customFormat="1" ht="20.100000000000001" customHeight="1" x14ac:dyDescent="0.25">
      <c r="A22" s="344" t="str">
        <f>IFERROR(IF(HLOOKUP($L$6,Unitsets!$L$3:$AE$19,M22,FALSE)=0,"",HLOOKUP($L$6,Unitsets!$L$3:$AE$19,M22,FALSE)),"")</f>
        <v/>
      </c>
      <c r="B22" s="361" t="str">
        <f>IFERROR(IF(VLOOKUP($A22,TableHandbook[],2,FALSE)=0,"",VLOOKUP($A22,TableHandbook[],2,FALSE)),"")</f>
        <v/>
      </c>
      <c r="C22" s="361" t="str">
        <f>IFERROR(IF(VLOOKUP($A22,TableHandbook[],3,FALSE)=0,"",VLOOKUP($A22,TableHandbook[],3,FALSE)),"")</f>
        <v/>
      </c>
      <c r="D22" s="367" t="str">
        <f>IFERROR(IF(VLOOKUP($A22,TableHandbook[],4,FALSE)=0,"",VLOOKUP($A22,TableHandbook[],4,FALSE)),"")</f>
        <v/>
      </c>
      <c r="E22" s="361" t="str">
        <f>IF(OR(A22="",A22="-"),"",E21)</f>
        <v/>
      </c>
      <c r="F22" s="347" t="str">
        <f>IFERROR(IF(VLOOKUP($A22,TableHandbook[],6,FALSE)=0,"",VLOOKUP($A22,TableHandbook[],6,FALSE)),"")</f>
        <v/>
      </c>
      <c r="G22" s="345" t="str">
        <f>IFERROR(IF(VLOOKUP($A22,TableHandbook[],5,FALSE)=0,"",VLOOKUP($A22,TableHandbook[],5,FALSE)),"")</f>
        <v/>
      </c>
      <c r="H22" s="348" t="str">
        <f>IFERROR(VLOOKUP($A22,TableHandbook[],H$2,FALSE),"")</f>
        <v/>
      </c>
      <c r="I22" s="349" t="str">
        <f>IFERROR(VLOOKUP($A22,TableHandbook[],I$2,FALSE),"")</f>
        <v/>
      </c>
      <c r="J22" s="345" t="str">
        <f>IFERROR(VLOOKUP($A22,TableHandbook[],J$2,FALSE),"")</f>
        <v/>
      </c>
      <c r="K22" s="350" t="str">
        <f>IFERROR(VLOOKUP($A22,TableHandbook[],K$2,FALSE),"")</f>
        <v/>
      </c>
      <c r="L22" s="53"/>
      <c r="M22" s="351">
        <v>11</v>
      </c>
      <c r="N22" s="352"/>
      <c r="O22" s="352"/>
    </row>
    <row r="23" spans="1:16" s="353" customFormat="1" ht="20.100000000000001" customHeight="1" x14ac:dyDescent="0.25">
      <c r="A23" s="344" t="str">
        <f>IFERROR(IF(HLOOKUP($L$6,Unitsets!$L$3:$AE$19,M23,FALSE)=0,"",HLOOKUP($L$6,Unitsets!$L$3:$AE$19,M23,FALSE)),"")</f>
        <v/>
      </c>
      <c r="B23" s="361" t="str">
        <f>IFERROR(IF(VLOOKUP($A23,TableHandbook[],2,FALSE)=0,"",VLOOKUP($A23,TableHandbook[],2,FALSE)),"")</f>
        <v/>
      </c>
      <c r="C23" s="361" t="str">
        <f>IFERROR(IF(VLOOKUP($A23,TableHandbook[],3,FALSE)=0,"",VLOOKUP($A23,TableHandbook[],3,FALSE)),"")</f>
        <v/>
      </c>
      <c r="D23" s="367" t="str">
        <f>IFERROR(IF(VLOOKUP($A23,TableHandbook[],4,FALSE)=0,"",VLOOKUP($A23,TableHandbook[],4,FALSE)),"")</f>
        <v/>
      </c>
      <c r="E23" s="361" t="str">
        <f t="shared" ref="E23:E24" si="3">IF(OR(A23="",A23="-"),"",E22)</f>
        <v/>
      </c>
      <c r="F23" s="347" t="str">
        <f>IFERROR(IF(VLOOKUP($A23,TableHandbook[],6,FALSE)=0,"",VLOOKUP($A23,TableHandbook[],6,FALSE)),"")</f>
        <v/>
      </c>
      <c r="G23" s="345" t="str">
        <f>IFERROR(IF(VLOOKUP($A23,TableHandbook[],5,FALSE)=0,"",VLOOKUP($A23,TableHandbook[],5,FALSE)),"")</f>
        <v/>
      </c>
      <c r="H23" s="348" t="str">
        <f>IFERROR(VLOOKUP($A23,TableHandbook[],H$2,FALSE),"")</f>
        <v/>
      </c>
      <c r="I23" s="349" t="str">
        <f>IFERROR(VLOOKUP($A23,TableHandbook[],I$2,FALSE),"")</f>
        <v/>
      </c>
      <c r="J23" s="345" t="str">
        <f>IFERROR(VLOOKUP($A23,TableHandbook[],J$2,FALSE),"")</f>
        <v/>
      </c>
      <c r="K23" s="350" t="str">
        <f>IFERROR(VLOOKUP($A23,TableHandbook[],K$2,FALSE),"")</f>
        <v/>
      </c>
      <c r="L23" s="53"/>
      <c r="M23" s="351">
        <v>12</v>
      </c>
      <c r="N23" s="352"/>
      <c r="O23" s="352"/>
    </row>
    <row r="24" spans="1:16" s="353" customFormat="1" ht="20.100000000000001" customHeight="1" x14ac:dyDescent="0.25">
      <c r="A24" s="344" t="str">
        <f>IFERROR(IF(HLOOKUP($L$6,Unitsets!$L$3:$AE$19,M24,FALSE)=0,"",HLOOKUP($L$6,Unitsets!$L$3:$AE$19,M24,FALSE)),"")</f>
        <v/>
      </c>
      <c r="B24" s="361" t="str">
        <f>IFERROR(IF(VLOOKUP($A24,TableHandbook[],2,FALSE)=0,"",VLOOKUP($A24,TableHandbook[],2,FALSE)),"")</f>
        <v/>
      </c>
      <c r="C24" s="361" t="str">
        <f>IFERROR(IF(VLOOKUP($A24,TableHandbook[],3,FALSE)=0,"",VLOOKUP($A24,TableHandbook[],3,FALSE)),"")</f>
        <v/>
      </c>
      <c r="D24" s="367" t="str">
        <f>IFERROR(IF(VLOOKUP($A24,TableHandbook[],4,FALSE)=0,"",VLOOKUP($A24,TableHandbook[],4,FALSE)),"")</f>
        <v/>
      </c>
      <c r="E24" s="361" t="str">
        <f t="shared" si="3"/>
        <v/>
      </c>
      <c r="F24" s="347" t="str">
        <f>IFERROR(IF(VLOOKUP($A24,TableHandbook[],6,FALSE)=0,"",VLOOKUP($A24,TableHandbook[],6,FALSE)),"")</f>
        <v/>
      </c>
      <c r="G24" s="345" t="str">
        <f>IFERROR(IF(VLOOKUP($A24,TableHandbook[],5,FALSE)=0,"",VLOOKUP($A24,TableHandbook[],5,FALSE)),"")</f>
        <v/>
      </c>
      <c r="H24" s="348" t="str">
        <f>IFERROR(VLOOKUP($A24,TableHandbook[],H$2,FALSE),"")</f>
        <v/>
      </c>
      <c r="I24" s="349" t="str">
        <f>IFERROR(VLOOKUP($A24,TableHandbook[],I$2,FALSE),"")</f>
        <v/>
      </c>
      <c r="J24" s="345" t="str">
        <f>IFERROR(VLOOKUP($A24,TableHandbook[],J$2,FALSE),"")</f>
        <v/>
      </c>
      <c r="K24" s="350" t="str">
        <f>IFERROR(VLOOKUP($A24,TableHandbook[],K$2,FALSE),"")</f>
        <v/>
      </c>
      <c r="L24" s="53"/>
      <c r="M24" s="351">
        <v>13</v>
      </c>
      <c r="N24" s="352"/>
      <c r="O24" s="352"/>
    </row>
    <row r="25" spans="1:16" s="353" customFormat="1" ht="5.0999999999999996" customHeight="1" x14ac:dyDescent="0.25">
      <c r="A25" s="354"/>
      <c r="B25" s="355"/>
      <c r="C25" s="355"/>
      <c r="D25" s="356"/>
      <c r="E25" s="355"/>
      <c r="F25" s="357"/>
      <c r="G25" s="355"/>
      <c r="H25" s="358"/>
      <c r="I25" s="359"/>
      <c r="J25" s="355"/>
      <c r="K25" s="360"/>
      <c r="L25" s="177"/>
      <c r="M25" s="351"/>
      <c r="N25" s="352"/>
      <c r="O25" s="352"/>
      <c r="P25" s="352"/>
    </row>
    <row r="26" spans="1:16" s="353" customFormat="1" ht="20.100000000000001" customHeight="1" x14ac:dyDescent="0.25">
      <c r="A26" s="344" t="str">
        <f>IFERROR(IF(HLOOKUP($L$6,Unitsets!$L$3:$AE$19,M26,FALSE)=0,"",HLOOKUP($L$6,Unitsets!$L$3:$AE$19,M26,FALSE)),"")</f>
        <v/>
      </c>
      <c r="B26" s="361" t="str">
        <f>IFERROR(IF(VLOOKUP($A26,TableHandbook[],2,FALSE)=0,"",VLOOKUP($A26,TableHandbook[],2,FALSE)),"")</f>
        <v/>
      </c>
      <c r="C26" s="361" t="str">
        <f>IFERROR(IF(VLOOKUP($A26,TableHandbook[],3,FALSE)=0,"",VLOOKUP($A26,TableHandbook[],3,FALSE)),"")</f>
        <v/>
      </c>
      <c r="D26" s="367" t="str">
        <f>IFERROR(IF(VLOOKUP($A26,TableHandbook[],4,FALSE)=0,"",VLOOKUP($A26,TableHandbook[],4,FALSE)),"")</f>
        <v/>
      </c>
      <c r="E26" s="361" t="str">
        <f>IF(A26="","",VLOOKUP($D$7,TableStudyPeriods[],3,FALSE))</f>
        <v/>
      </c>
      <c r="F26" s="347" t="str">
        <f>IFERROR(IF(VLOOKUP($A26,TableHandbook[],6,FALSE)=0,"",VLOOKUP($A26,TableHandbook[],6,FALSE)),"")</f>
        <v/>
      </c>
      <c r="G26" s="345" t="str">
        <f>IFERROR(IF(VLOOKUP($A26,TableHandbook[],5,FALSE)=0,"",VLOOKUP($A26,TableHandbook[],5,FALSE)),"")</f>
        <v/>
      </c>
      <c r="H26" s="348" t="str">
        <f>IFERROR(VLOOKUP($A26,TableHandbook[],H$2,FALSE),"")</f>
        <v/>
      </c>
      <c r="I26" s="349" t="str">
        <f>IFERROR(VLOOKUP($A26,TableHandbook[],I$2,FALSE),"")</f>
        <v/>
      </c>
      <c r="J26" s="345" t="str">
        <f>IFERROR(VLOOKUP($A26,TableHandbook[],J$2,FALSE),"")</f>
        <v/>
      </c>
      <c r="K26" s="350" t="str">
        <f>IFERROR(VLOOKUP($A26,TableHandbook[],K$2,FALSE),"")</f>
        <v/>
      </c>
      <c r="L26" s="53"/>
      <c r="M26" s="351">
        <v>14</v>
      </c>
      <c r="N26" s="352"/>
      <c r="O26" s="352"/>
    </row>
    <row r="27" spans="1:16" s="353" customFormat="1" ht="20.100000000000001" customHeight="1" x14ac:dyDescent="0.25">
      <c r="A27" s="344" t="str">
        <f>IFERROR(IF(HLOOKUP($L$6,Unitsets!$L$3:$AE$19,M27,FALSE)=0,"",HLOOKUP($L$6,Unitsets!$L$3:$AE$19,M27,FALSE)),"")</f>
        <v/>
      </c>
      <c r="B27" s="361" t="str">
        <f>IFERROR(IF(VLOOKUP($A27,TableHandbook[],2,FALSE)=0,"",VLOOKUP($A27,TableHandbook[],2,FALSE)),"")</f>
        <v/>
      </c>
      <c r="C27" s="361" t="str">
        <f>IFERROR(IF(VLOOKUP($A27,TableHandbook[],3,FALSE)=0,"",VLOOKUP($A27,TableHandbook[],3,FALSE)),"")</f>
        <v/>
      </c>
      <c r="D27" s="367" t="str">
        <f>IFERROR(IF(VLOOKUP($A27,TableHandbook[],4,FALSE)=0,"",VLOOKUP($A27,TableHandbook[],4,FALSE)),"")</f>
        <v/>
      </c>
      <c r="E27" s="361" t="str">
        <f>IF(OR(A27="",A27="-"),"",E26)</f>
        <v/>
      </c>
      <c r="F27" s="347" t="str">
        <f>IFERROR(IF(VLOOKUP($A27,TableHandbook[],6,FALSE)=0,"",VLOOKUP($A27,TableHandbook[],6,FALSE)),"")</f>
        <v/>
      </c>
      <c r="G27" s="345" t="str">
        <f>IFERROR(IF(VLOOKUP($A27,TableHandbook[],5,FALSE)=0,"",VLOOKUP($A27,TableHandbook[],5,FALSE)),"")</f>
        <v/>
      </c>
      <c r="H27" s="348" t="str">
        <f>IFERROR(VLOOKUP($A27,TableHandbook[],H$2,FALSE),"")</f>
        <v/>
      </c>
      <c r="I27" s="349" t="str">
        <f>IFERROR(VLOOKUP($A27,TableHandbook[],I$2,FALSE),"")</f>
        <v/>
      </c>
      <c r="J27" s="345" t="str">
        <f>IFERROR(VLOOKUP($A27,TableHandbook[],J$2,FALSE),"")</f>
        <v/>
      </c>
      <c r="K27" s="350" t="str">
        <f>IFERROR(VLOOKUP($A27,TableHandbook[],K$2,FALSE),"")</f>
        <v/>
      </c>
      <c r="L27" s="53"/>
      <c r="M27" s="351">
        <v>15</v>
      </c>
      <c r="N27" s="352"/>
      <c r="O27" s="352"/>
    </row>
    <row r="28" spans="1:16" s="366" customFormat="1" ht="20.100000000000001" customHeight="1" x14ac:dyDescent="0.25">
      <c r="A28" s="344" t="str">
        <f>IFERROR(IF(HLOOKUP($L$6,Unitsets!$L$3:$AE$19,M28,FALSE)=0,"",HLOOKUP($L$6,Unitsets!$L$3:$AE$19,M28,FALSE)),"")</f>
        <v/>
      </c>
      <c r="B28" s="361" t="str">
        <f>IFERROR(IF(VLOOKUP($A28,TableHandbook[],2,FALSE)=0,"",VLOOKUP($A28,TableHandbook[],2,FALSE)),"")</f>
        <v/>
      </c>
      <c r="C28" s="361" t="str">
        <f>IFERROR(IF(VLOOKUP($A28,TableHandbook[],3,FALSE)=0,"",VLOOKUP($A28,TableHandbook[],3,FALSE)),"")</f>
        <v/>
      </c>
      <c r="D28" s="367" t="str">
        <f>IFERROR(IF(VLOOKUP($A28,TableHandbook[],4,FALSE)=0,"",VLOOKUP($A28,TableHandbook[],4,FALSE)),"")</f>
        <v/>
      </c>
      <c r="E28" s="361" t="str">
        <f t="shared" ref="E28:E29" si="4">IF(OR(A28="",A28="-"),"",E27)</f>
        <v/>
      </c>
      <c r="F28" s="347" t="str">
        <f>IFERROR(IF(VLOOKUP($A28,TableHandbook[],6,FALSE)=0,"",VLOOKUP($A28,TableHandbook[],6,FALSE)),"")</f>
        <v/>
      </c>
      <c r="G28" s="345" t="str">
        <f>IFERROR(IF(VLOOKUP($A28,TableHandbook[],5,FALSE)=0,"",VLOOKUP($A28,TableHandbook[],5,FALSE)),"")</f>
        <v/>
      </c>
      <c r="H28" s="348" t="str">
        <f>IFERROR(VLOOKUP($A28,TableHandbook[],H$2,FALSE),"")</f>
        <v/>
      </c>
      <c r="I28" s="349" t="str">
        <f>IFERROR(VLOOKUP($A28,TableHandbook[],I$2,FALSE),"")</f>
        <v/>
      </c>
      <c r="J28" s="345" t="str">
        <f>IFERROR(VLOOKUP($A28,TableHandbook[],J$2,FALSE),"")</f>
        <v/>
      </c>
      <c r="K28" s="350" t="str">
        <f>IFERROR(VLOOKUP($A28,TableHandbook[],K$2,FALSE),"")</f>
        <v/>
      </c>
      <c r="L28" s="53"/>
      <c r="M28" s="351">
        <v>16</v>
      </c>
      <c r="N28" s="365"/>
      <c r="O28" s="365"/>
    </row>
    <row r="29" spans="1:16" s="366" customFormat="1" ht="20.100000000000001" customHeight="1" x14ac:dyDescent="0.25">
      <c r="A29" s="344" t="str">
        <f>IFERROR(IF(HLOOKUP($L$6,Unitsets!$L$3:$AE$19,M29,FALSE)=0,"",HLOOKUP($L$6,Unitsets!$L$3:$AE$19,M29,FALSE)),"")</f>
        <v/>
      </c>
      <c r="B29" s="361" t="str">
        <f>IFERROR(IF(VLOOKUP($A29,TableHandbook[],2,FALSE)=0,"",VLOOKUP($A29,TableHandbook[],2,FALSE)),"")</f>
        <v/>
      </c>
      <c r="C29" s="361" t="str">
        <f>IFERROR(IF(VLOOKUP($A29,TableHandbook[],3,FALSE)=0,"",VLOOKUP($A29,TableHandbook[],3,FALSE)),"")</f>
        <v/>
      </c>
      <c r="D29" s="367" t="str">
        <f>IFERROR(IF(VLOOKUP($A29,TableHandbook[],4,FALSE)=0,"",VLOOKUP($A29,TableHandbook[],4,FALSE)),"")</f>
        <v/>
      </c>
      <c r="E29" s="345" t="str">
        <f t="shared" si="4"/>
        <v/>
      </c>
      <c r="F29" s="347" t="str">
        <f>IFERROR(IF(VLOOKUP($A29,TableHandbook[],6,FALSE)=0,"",VLOOKUP($A29,TableHandbook[],6,FALSE)),"")</f>
        <v/>
      </c>
      <c r="G29" s="345" t="str">
        <f>IFERROR(IF(VLOOKUP($A29,TableHandbook[],5,FALSE)=0,"",VLOOKUP($A29,TableHandbook[],5,FALSE)),"")</f>
        <v/>
      </c>
      <c r="H29" s="348" t="str">
        <f>IFERROR(VLOOKUP($A29,TableHandbook[],H$2,FALSE),"")</f>
        <v/>
      </c>
      <c r="I29" s="349" t="str">
        <f>IFERROR(VLOOKUP($A29,TableHandbook[],I$2,FALSE),"")</f>
        <v/>
      </c>
      <c r="J29" s="345" t="str">
        <f>IFERROR(VLOOKUP($A29,TableHandbook[],J$2,FALSE),"")</f>
        <v/>
      </c>
      <c r="K29" s="350" t="str">
        <f>IFERROR(VLOOKUP($A29,TableHandbook[],K$2,FALSE),"")</f>
        <v/>
      </c>
      <c r="L29" s="53"/>
      <c r="M29" s="351">
        <v>17</v>
      </c>
      <c r="N29" s="365"/>
      <c r="O29" s="365"/>
    </row>
    <row r="30" spans="1:16" s="366" customFormat="1" ht="20.100000000000001" customHeight="1" x14ac:dyDescent="0.25">
      <c r="A30" s="369"/>
      <c r="B30" s="370"/>
      <c r="C30" s="370"/>
      <c r="D30" s="371"/>
      <c r="E30" s="369"/>
      <c r="F30" s="372"/>
      <c r="G30" s="369"/>
      <c r="H30" s="369"/>
      <c r="I30" s="369"/>
      <c r="J30" s="369"/>
      <c r="K30" s="369"/>
      <c r="L30" s="325"/>
      <c r="M30" s="351"/>
      <c r="N30" s="365"/>
      <c r="O30" s="365"/>
    </row>
    <row r="31" spans="1:16" ht="19.2" x14ac:dyDescent="0.3">
      <c r="A31" s="373" t="str">
        <f>CONCATENATE("Alternate Core units for ",D6)</f>
        <v>Alternate Core units for Choose your Major (drop-down list)</v>
      </c>
      <c r="B31" s="374"/>
      <c r="C31" s="374"/>
      <c r="D31" s="375"/>
      <c r="E31" s="376"/>
      <c r="F31" s="377"/>
      <c r="G31" s="376"/>
      <c r="H31" s="378" t="str">
        <f>H$9</f>
        <v>2025 Availabilities</v>
      </c>
      <c r="I31" s="379"/>
      <c r="J31" s="380"/>
      <c r="K31" s="381"/>
      <c r="L31" s="382" t="e">
        <f>VLOOKUP($D$6,TableMajors[],2,FALSE)</f>
        <v>#N/A</v>
      </c>
      <c r="M31" s="304"/>
    </row>
    <row r="32" spans="1:16" s="383" customFormat="1" ht="22.8" x14ac:dyDescent="0.3">
      <c r="A32" s="330"/>
      <c r="B32" s="330"/>
      <c r="C32" s="330"/>
      <c r="D32" s="331" t="s">
        <v>3</v>
      </c>
      <c r="E32" s="339"/>
      <c r="F32" s="340" t="s">
        <v>23</v>
      </c>
      <c r="G32" s="330" t="s">
        <v>24</v>
      </c>
      <c r="H32" s="341" t="str">
        <f>H$10</f>
        <v>Sem1 BEN</v>
      </c>
      <c r="I32" s="342" t="str">
        <f t="shared" ref="I32:L32" si="5">I$10</f>
        <v>Sem1 FO</v>
      </c>
      <c r="J32" s="339" t="str">
        <f t="shared" si="5"/>
        <v>Sem2 BEN</v>
      </c>
      <c r="K32" s="343" t="str">
        <f t="shared" si="5"/>
        <v>Sem2 FO</v>
      </c>
      <c r="L32" s="330" t="str">
        <f t="shared" si="5"/>
        <v>Notes / Progress</v>
      </c>
      <c r="M32" s="304"/>
    </row>
    <row r="33" spans="1:15" x14ac:dyDescent="0.3">
      <c r="A33" s="384" t="str">
        <f t="shared" ref="A33:A39" si="6">IFERROR(IF(HLOOKUP($L$31,RangeMARTSAltCore,$M33,FALSE)=0,"",HLOOKUP($L$31,RangeMARTSAltCore,$M33,FALSE)),"")</f>
        <v/>
      </c>
      <c r="B33" s="385" t="str">
        <f>IFERROR(IF(VLOOKUP($A33,TableHandbook[],2,FALSE)=0,"",VLOOKUP($A33,TableHandbook[],2,FALSE)),"")</f>
        <v/>
      </c>
      <c r="C33" s="386" t="str">
        <f>IFERROR(IF(VLOOKUP($A33,TableHandbook[],3,FALSE)=0,"",VLOOKUP($A33,TableHandbook[],3,FALSE)),"")</f>
        <v/>
      </c>
      <c r="D33" s="386" t="str">
        <f>IFERROR(IF(VLOOKUP($A33,TableHandbook[],4,FALSE)=0,"",VLOOKUP($A33,TableHandbook[],4,FALSE)),"")</f>
        <v/>
      </c>
      <c r="E33" s="387"/>
      <c r="F33" s="388" t="str">
        <f>IFERROR(IF(VLOOKUP($A33,TableHandbook[],6,FALSE)=0,"",VLOOKUP($A33,TableHandbook[],6,FALSE)),"")</f>
        <v/>
      </c>
      <c r="G33" s="389" t="str">
        <f>IFERROR(IF(VLOOKUP($A33,TableHandbook[],5,FALSE)=0,"",VLOOKUP($A33,TableHandbook[],5,FALSE)),"")</f>
        <v/>
      </c>
      <c r="H33" s="348" t="str">
        <f>IFERROR(VLOOKUP($A33,TableHandbook[],H$2,FALSE),"")</f>
        <v/>
      </c>
      <c r="I33" s="349" t="str">
        <f>IFERROR(VLOOKUP($A33,TableHandbook[],I$2,FALSE),"")</f>
        <v/>
      </c>
      <c r="J33" s="345" t="str">
        <f>IFERROR(VLOOKUP($A33,TableHandbook[],J$2,FALSE),"")</f>
        <v/>
      </c>
      <c r="K33" s="350" t="str">
        <f>IFERROR(VLOOKUP($A33,TableHandbook[],K$2,FALSE),"")</f>
        <v/>
      </c>
      <c r="L33" s="54"/>
      <c r="M33" s="351">
        <v>2</v>
      </c>
    </row>
    <row r="34" spans="1:15" x14ac:dyDescent="0.3">
      <c r="A34" s="384" t="str">
        <f t="shared" si="6"/>
        <v/>
      </c>
      <c r="B34" s="385" t="str">
        <f>IFERROR(IF(VLOOKUP($A34,TableHandbook[],2,FALSE)=0,"",VLOOKUP($A34,TableHandbook[],2,FALSE)),"")</f>
        <v/>
      </c>
      <c r="C34" s="386" t="str">
        <f>IFERROR(IF(VLOOKUP($A34,TableHandbook[],3,FALSE)=0,"",VLOOKUP($A34,TableHandbook[],3,FALSE)),"")</f>
        <v/>
      </c>
      <c r="D34" s="386" t="str">
        <f>IFERROR(IF(VLOOKUP($A34,TableHandbook[],4,FALSE)=0,"",VLOOKUP($A34,TableHandbook[],4,FALSE)),"")</f>
        <v/>
      </c>
      <c r="E34" s="387"/>
      <c r="F34" s="388" t="str">
        <f>IFERROR(IF(VLOOKUP($A34,TableHandbook[],6,FALSE)=0,"",VLOOKUP($A34,TableHandbook[],6,FALSE)),"")</f>
        <v/>
      </c>
      <c r="G34" s="389" t="str">
        <f>IFERROR(IF(VLOOKUP($A34,TableHandbook[],5,FALSE)=0,"",VLOOKUP($A34,TableHandbook[],5,FALSE)),"")</f>
        <v/>
      </c>
      <c r="H34" s="348" t="str">
        <f>IFERROR(VLOOKUP($A34,TableHandbook[],H$2,FALSE),"")</f>
        <v/>
      </c>
      <c r="I34" s="349" t="str">
        <f>IFERROR(VLOOKUP($A34,TableHandbook[],I$2,FALSE),"")</f>
        <v/>
      </c>
      <c r="J34" s="345" t="str">
        <f>IFERROR(VLOOKUP($A34,TableHandbook[],J$2,FALSE),"")</f>
        <v/>
      </c>
      <c r="K34" s="350" t="str">
        <f>IFERROR(VLOOKUP($A34,TableHandbook[],K$2,FALSE),"")</f>
        <v/>
      </c>
      <c r="L34" s="54"/>
      <c r="M34" s="351">
        <v>3</v>
      </c>
    </row>
    <row r="35" spans="1:15" x14ac:dyDescent="0.3">
      <c r="A35" s="384" t="str">
        <f t="shared" si="6"/>
        <v/>
      </c>
      <c r="B35" s="385" t="str">
        <f>IFERROR(IF(VLOOKUP($A35,TableHandbook[],2,FALSE)=0,"",VLOOKUP($A35,TableHandbook[],2,FALSE)),"")</f>
        <v/>
      </c>
      <c r="C35" s="386" t="str">
        <f>IFERROR(IF(VLOOKUP($A35,TableHandbook[],3,FALSE)=0,"",VLOOKUP($A35,TableHandbook[],3,FALSE)),"")</f>
        <v/>
      </c>
      <c r="D35" s="386" t="str">
        <f>IFERROR(IF(VLOOKUP($A35,TableHandbook[],4,FALSE)=0,"",VLOOKUP($A35,TableHandbook[],4,FALSE)),"")</f>
        <v/>
      </c>
      <c r="E35" s="387"/>
      <c r="F35" s="388" t="str">
        <f>IFERROR(IF(VLOOKUP($A35,TableHandbook[],6,FALSE)=0,"",VLOOKUP($A35,TableHandbook[],6,FALSE)),"")</f>
        <v/>
      </c>
      <c r="G35" s="389" t="str">
        <f>IFERROR(IF(VLOOKUP($A35,TableHandbook[],5,FALSE)=0,"",VLOOKUP($A35,TableHandbook[],5,FALSE)),"")</f>
        <v/>
      </c>
      <c r="H35" s="348" t="str">
        <f>IFERROR(VLOOKUP($A35,TableHandbook[],H$2,FALSE),"")</f>
        <v/>
      </c>
      <c r="I35" s="349" t="str">
        <f>IFERROR(VLOOKUP($A35,TableHandbook[],I$2,FALSE),"")</f>
        <v/>
      </c>
      <c r="J35" s="345" t="str">
        <f>IFERROR(VLOOKUP($A35,TableHandbook[],J$2,FALSE),"")</f>
        <v/>
      </c>
      <c r="K35" s="350" t="str">
        <f>IFERROR(VLOOKUP($A35,TableHandbook[],K$2,FALSE),"")</f>
        <v/>
      </c>
      <c r="L35" s="54"/>
      <c r="M35" s="351">
        <v>4</v>
      </c>
    </row>
    <row r="36" spans="1:15" x14ac:dyDescent="0.3">
      <c r="A36" s="384" t="str">
        <f t="shared" si="6"/>
        <v/>
      </c>
      <c r="B36" s="385" t="str">
        <f>IFERROR(IF(VLOOKUP($A36,TableHandbook[],2,FALSE)=0,"",VLOOKUP($A36,TableHandbook[],2,FALSE)),"")</f>
        <v/>
      </c>
      <c r="C36" s="386" t="str">
        <f>IFERROR(IF(VLOOKUP($A36,TableHandbook[],3,FALSE)=0,"",VLOOKUP($A36,TableHandbook[],3,FALSE)),"")</f>
        <v/>
      </c>
      <c r="D36" s="386" t="str">
        <f>IFERROR(IF(VLOOKUP($A36,TableHandbook[],4,FALSE)=0,"",VLOOKUP($A36,TableHandbook[],4,FALSE)),"")</f>
        <v/>
      </c>
      <c r="E36" s="387"/>
      <c r="F36" s="388" t="str">
        <f>IFERROR(IF(VLOOKUP($A36,TableHandbook[],6,FALSE)=0,"",VLOOKUP($A36,TableHandbook[],6,FALSE)),"")</f>
        <v/>
      </c>
      <c r="G36" s="389" t="str">
        <f>IFERROR(IF(VLOOKUP($A36,TableHandbook[],5,FALSE)=0,"",VLOOKUP($A36,TableHandbook[],5,FALSE)),"")</f>
        <v/>
      </c>
      <c r="H36" s="348" t="str">
        <f>IFERROR(VLOOKUP($A36,TableHandbook[],H$2,FALSE),"")</f>
        <v/>
      </c>
      <c r="I36" s="349" t="str">
        <f>IFERROR(VLOOKUP($A36,TableHandbook[],I$2,FALSE),"")</f>
        <v/>
      </c>
      <c r="J36" s="345" t="str">
        <f>IFERROR(VLOOKUP($A36,TableHandbook[],J$2,FALSE),"")</f>
        <v/>
      </c>
      <c r="K36" s="350" t="str">
        <f>IFERROR(VLOOKUP($A36,TableHandbook[],K$2,FALSE),"")</f>
        <v/>
      </c>
      <c r="L36" s="54"/>
      <c r="M36" s="351">
        <v>5</v>
      </c>
    </row>
    <row r="37" spans="1:15" x14ac:dyDescent="0.3">
      <c r="A37" s="384" t="str">
        <f t="shared" si="6"/>
        <v/>
      </c>
      <c r="B37" s="385" t="str">
        <f>IFERROR(IF(VLOOKUP($A37,TableHandbook[],2,FALSE)=0,"",VLOOKUP($A37,TableHandbook[],2,FALSE)),"")</f>
        <v/>
      </c>
      <c r="C37" s="386" t="str">
        <f>IFERROR(IF(VLOOKUP($A37,TableHandbook[],3,FALSE)=0,"",VLOOKUP($A37,TableHandbook[],3,FALSE)),"")</f>
        <v/>
      </c>
      <c r="D37" s="386" t="str">
        <f>IFERROR(IF(VLOOKUP($A37,TableHandbook[],4,FALSE)=0,"",VLOOKUP($A37,TableHandbook[],4,FALSE)),"")</f>
        <v/>
      </c>
      <c r="E37" s="387"/>
      <c r="F37" s="388" t="str">
        <f>IFERROR(IF(VLOOKUP($A37,TableHandbook[],6,FALSE)=0,"",VLOOKUP($A37,TableHandbook[],6,FALSE)),"")</f>
        <v/>
      </c>
      <c r="G37" s="389" t="str">
        <f>IFERROR(IF(VLOOKUP($A37,TableHandbook[],5,FALSE)=0,"",VLOOKUP($A37,TableHandbook[],5,FALSE)),"")</f>
        <v/>
      </c>
      <c r="H37" s="348" t="str">
        <f>IFERROR(VLOOKUP($A37,TableHandbook[],H$2,FALSE),"")</f>
        <v/>
      </c>
      <c r="I37" s="349" t="str">
        <f>IFERROR(VLOOKUP($A37,TableHandbook[],I$2,FALSE),"")</f>
        <v/>
      </c>
      <c r="J37" s="345" t="str">
        <f>IFERROR(VLOOKUP($A37,TableHandbook[],J$2,FALSE),"")</f>
        <v/>
      </c>
      <c r="K37" s="350" t="str">
        <f>IFERROR(VLOOKUP($A37,TableHandbook[],K$2,FALSE),"")</f>
        <v/>
      </c>
      <c r="L37" s="54"/>
      <c r="M37" s="351">
        <v>6</v>
      </c>
    </row>
    <row r="38" spans="1:15" x14ac:dyDescent="0.3">
      <c r="A38" s="384" t="str">
        <f t="shared" si="6"/>
        <v/>
      </c>
      <c r="B38" s="385" t="str">
        <f>IFERROR(IF(VLOOKUP($A38,TableHandbook[],2,FALSE)=0,"",VLOOKUP($A38,TableHandbook[],2,FALSE)),"")</f>
        <v/>
      </c>
      <c r="C38" s="386" t="str">
        <f>IFERROR(IF(VLOOKUP($A38,TableHandbook[],3,FALSE)=0,"",VLOOKUP($A38,TableHandbook[],3,FALSE)),"")</f>
        <v/>
      </c>
      <c r="D38" s="386" t="str">
        <f>IFERROR(IF(VLOOKUP($A38,TableHandbook[],4,FALSE)=0,"",VLOOKUP($A38,TableHandbook[],4,FALSE)),"")</f>
        <v/>
      </c>
      <c r="E38" s="387"/>
      <c r="F38" s="388" t="str">
        <f>IFERROR(IF(VLOOKUP($A38,TableHandbook[],6,FALSE)=0,"",VLOOKUP($A38,TableHandbook[],6,FALSE)),"")</f>
        <v/>
      </c>
      <c r="G38" s="389" t="str">
        <f>IFERROR(IF(VLOOKUP($A38,TableHandbook[],5,FALSE)=0,"",VLOOKUP($A38,TableHandbook[],5,FALSE)),"")</f>
        <v/>
      </c>
      <c r="H38" s="348" t="str">
        <f>IFERROR(VLOOKUP($A38,TableHandbook[],H$2,FALSE),"")</f>
        <v/>
      </c>
      <c r="I38" s="349" t="str">
        <f>IFERROR(VLOOKUP($A38,TableHandbook[],I$2,FALSE),"")</f>
        <v/>
      </c>
      <c r="J38" s="345" t="str">
        <f>IFERROR(VLOOKUP($A38,TableHandbook[],J$2,FALSE),"")</f>
        <v/>
      </c>
      <c r="K38" s="350" t="str">
        <f>IFERROR(VLOOKUP($A38,TableHandbook[],K$2,FALSE),"")</f>
        <v/>
      </c>
      <c r="L38" s="54"/>
      <c r="M38" s="351">
        <v>7</v>
      </c>
    </row>
    <row r="39" spans="1:15" x14ac:dyDescent="0.3">
      <c r="A39" s="384" t="str">
        <f t="shared" si="6"/>
        <v/>
      </c>
      <c r="B39" s="385" t="str">
        <f>IFERROR(IF(VLOOKUP($A39,TableHandbook[],2,FALSE)=0,"",VLOOKUP($A39,TableHandbook[],2,FALSE)),"")</f>
        <v/>
      </c>
      <c r="C39" s="386" t="str">
        <f>IFERROR(IF(VLOOKUP($A39,TableHandbook[],3,FALSE)=0,"",VLOOKUP($A39,TableHandbook[],3,FALSE)),"")</f>
        <v/>
      </c>
      <c r="D39" s="386" t="str">
        <f>IFERROR(IF(VLOOKUP($A39,TableHandbook[],4,FALSE)=0,"",VLOOKUP($A39,TableHandbook[],4,FALSE)),"")</f>
        <v/>
      </c>
      <c r="E39" s="387"/>
      <c r="F39" s="388" t="str">
        <f>IFERROR(IF(VLOOKUP($A39,TableHandbook[],6,FALSE)=0,"",VLOOKUP($A39,TableHandbook[],6,FALSE)),"")</f>
        <v/>
      </c>
      <c r="G39" s="389" t="str">
        <f>IFERROR(IF(VLOOKUP($A39,TableHandbook[],5,FALSE)=0,"",VLOOKUP($A39,TableHandbook[],5,FALSE)),"")</f>
        <v/>
      </c>
      <c r="H39" s="348" t="str">
        <f>IFERROR(VLOOKUP($A39,TableHandbook[],H$2,FALSE),"")</f>
        <v/>
      </c>
      <c r="I39" s="349" t="str">
        <f>IFERROR(VLOOKUP($A39,TableHandbook[],I$2,FALSE),"")</f>
        <v/>
      </c>
      <c r="J39" s="345" t="str">
        <f>IFERROR(VLOOKUP($A39,TableHandbook[],J$2,FALSE),"")</f>
        <v/>
      </c>
      <c r="K39" s="350" t="str">
        <f>IFERROR(VLOOKUP($A39,TableHandbook[],K$2,FALSE),"")</f>
        <v/>
      </c>
      <c r="L39" s="54"/>
      <c r="M39" s="351">
        <v>8</v>
      </c>
    </row>
    <row r="40" spans="1:15" s="366" customFormat="1" ht="20.100000000000001" customHeight="1" x14ac:dyDescent="0.25">
      <c r="A40" s="369"/>
      <c r="B40" s="370"/>
      <c r="C40" s="370"/>
      <c r="D40" s="371"/>
      <c r="E40" s="369"/>
      <c r="F40" s="372"/>
      <c r="G40" s="369"/>
      <c r="H40" s="369"/>
      <c r="I40" s="369"/>
      <c r="J40" s="369"/>
      <c r="K40" s="369"/>
      <c r="L40" s="325"/>
      <c r="M40" s="351"/>
      <c r="N40" s="365"/>
      <c r="O40" s="365"/>
    </row>
    <row r="41" spans="1:15" ht="19.2" x14ac:dyDescent="0.3">
      <c r="A41" s="390" t="str">
        <f>CONCATENATE("Option Units for ",D6)</f>
        <v>Option Units for Choose your Major (drop-down list)</v>
      </c>
      <c r="B41" s="391"/>
      <c r="C41" s="391"/>
      <c r="D41" s="392"/>
      <c r="E41" s="393"/>
      <c r="F41" s="394"/>
      <c r="G41" s="393"/>
      <c r="H41" s="395" t="str">
        <f>H$9</f>
        <v>2025 Availabilities</v>
      </c>
      <c r="I41" s="396"/>
      <c r="J41" s="397"/>
      <c r="K41" s="398"/>
      <c r="L41" s="399"/>
      <c r="M41" s="304"/>
    </row>
    <row r="42" spans="1:15" s="383" customFormat="1" ht="22.8" x14ac:dyDescent="0.3">
      <c r="A42" s="400"/>
      <c r="B42" s="330"/>
      <c r="C42" s="330"/>
      <c r="D42" s="331" t="s">
        <v>3</v>
      </c>
      <c r="E42" s="339"/>
      <c r="F42" s="340" t="s">
        <v>23</v>
      </c>
      <c r="G42" s="330" t="s">
        <v>24</v>
      </c>
      <c r="H42" s="341" t="str">
        <f>H$10</f>
        <v>Sem1 BEN</v>
      </c>
      <c r="I42" s="342" t="str">
        <f t="shared" ref="I42:L42" si="7">I$10</f>
        <v>Sem1 FO</v>
      </c>
      <c r="J42" s="339" t="str">
        <f t="shared" si="7"/>
        <v>Sem2 BEN</v>
      </c>
      <c r="K42" s="343" t="str">
        <f t="shared" si="7"/>
        <v>Sem2 FO</v>
      </c>
      <c r="L42" s="330" t="str">
        <f t="shared" si="7"/>
        <v>Notes / Progress</v>
      </c>
      <c r="M42" s="304"/>
    </row>
    <row r="43" spans="1:15" x14ac:dyDescent="0.3">
      <c r="A43" s="384" t="str">
        <f t="shared" ref="A43:A66" si="8">IFERROR(IF(HLOOKUP($L$31,RangeMARTSOptions,$M43,FALSE)=0,"",HLOOKUP($L$31,RangeMARTSOptions,$M43,FALSE)),"")</f>
        <v/>
      </c>
      <c r="B43" s="385" t="str">
        <f>IFERROR(IF(VLOOKUP($A43,TableHandbook[],2,FALSE)=0,"",VLOOKUP($A43,TableHandbook[],2,FALSE)),"")</f>
        <v/>
      </c>
      <c r="C43" s="386" t="str">
        <f>IFERROR(IF(VLOOKUP($A43,TableHandbook[],3,FALSE)=0,"",VLOOKUP($A43,TableHandbook[],3,FALSE)),"")</f>
        <v/>
      </c>
      <c r="D43" s="386" t="str">
        <f>IFERROR(IF(VLOOKUP($A43,TableHandbook[],4,FALSE)=0,"",VLOOKUP($A43,TableHandbook[],4,FALSE)),"")</f>
        <v/>
      </c>
      <c r="E43" s="387"/>
      <c r="F43" s="388" t="str">
        <f>IFERROR(IF(VLOOKUP($A43,TableHandbook[],6,FALSE)=0,"",VLOOKUP($A43,TableHandbook[],6,FALSE)),"")</f>
        <v/>
      </c>
      <c r="G43" s="389" t="str">
        <f>IFERROR(IF(VLOOKUP($A43,TableHandbook[],5,FALSE)=0,"",VLOOKUP($A43,TableHandbook[],5,FALSE)),"")</f>
        <v/>
      </c>
      <c r="H43" s="348" t="str">
        <f>IFERROR(VLOOKUP($A43,TableHandbook[],H$2,FALSE),"")</f>
        <v/>
      </c>
      <c r="I43" s="349" t="str">
        <f>IFERROR(VLOOKUP($A43,TableHandbook[],I$2,FALSE),"")</f>
        <v/>
      </c>
      <c r="J43" s="345" t="str">
        <f>IFERROR(VLOOKUP($A43,TableHandbook[],J$2,FALSE),"")</f>
        <v/>
      </c>
      <c r="K43" s="350" t="str">
        <f>IFERROR(VLOOKUP($A43,TableHandbook[],K$2,FALSE),"")</f>
        <v/>
      </c>
      <c r="L43" s="54"/>
      <c r="M43" s="351">
        <v>2</v>
      </c>
    </row>
    <row r="44" spans="1:15" x14ac:dyDescent="0.3">
      <c r="A44" s="384" t="str">
        <f t="shared" si="8"/>
        <v/>
      </c>
      <c r="B44" s="385" t="str">
        <f>IFERROR(IF(VLOOKUP($A44,TableHandbook[],2,FALSE)=0,"",VLOOKUP($A44,TableHandbook[],2,FALSE)),"")</f>
        <v/>
      </c>
      <c r="C44" s="386" t="str">
        <f>IFERROR(IF(VLOOKUP($A44,TableHandbook[],3,FALSE)=0,"",VLOOKUP($A44,TableHandbook[],3,FALSE)),"")</f>
        <v/>
      </c>
      <c r="D44" s="386" t="str">
        <f>IFERROR(IF(VLOOKUP($A44,TableHandbook[],4,FALSE)=0,"",VLOOKUP($A44,TableHandbook[],4,FALSE)),"")</f>
        <v/>
      </c>
      <c r="E44" s="387"/>
      <c r="F44" s="388" t="str">
        <f>IFERROR(IF(VLOOKUP($A44,TableHandbook[],6,FALSE)=0,"",VLOOKUP($A44,TableHandbook[],6,FALSE)),"")</f>
        <v/>
      </c>
      <c r="G44" s="389" t="str">
        <f>IFERROR(IF(VLOOKUP($A44,TableHandbook[],5,FALSE)=0,"",VLOOKUP($A44,TableHandbook[],5,FALSE)),"")</f>
        <v/>
      </c>
      <c r="H44" s="348" t="str">
        <f>IFERROR(VLOOKUP($A44,TableHandbook[],H$2,FALSE),"")</f>
        <v/>
      </c>
      <c r="I44" s="349" t="str">
        <f>IFERROR(VLOOKUP($A44,TableHandbook[],I$2,FALSE),"")</f>
        <v/>
      </c>
      <c r="J44" s="345" t="str">
        <f>IFERROR(VLOOKUP($A44,TableHandbook[],J$2,FALSE),"")</f>
        <v/>
      </c>
      <c r="K44" s="350" t="str">
        <f>IFERROR(VLOOKUP($A44,TableHandbook[],K$2,FALSE),"")</f>
        <v/>
      </c>
      <c r="L44" s="54"/>
      <c r="M44" s="351">
        <v>3</v>
      </c>
    </row>
    <row r="45" spans="1:15" x14ac:dyDescent="0.3">
      <c r="A45" s="384" t="str">
        <f t="shared" si="8"/>
        <v/>
      </c>
      <c r="B45" s="385" t="str">
        <f>IFERROR(IF(VLOOKUP($A45,TableHandbook[],2,FALSE)=0,"",VLOOKUP($A45,TableHandbook[],2,FALSE)),"")</f>
        <v/>
      </c>
      <c r="C45" s="386" t="str">
        <f>IFERROR(IF(VLOOKUP($A45,TableHandbook[],3,FALSE)=0,"",VLOOKUP($A45,TableHandbook[],3,FALSE)),"")</f>
        <v/>
      </c>
      <c r="D45" s="386" t="str">
        <f>IFERROR(IF(VLOOKUP($A45,TableHandbook[],4,FALSE)=0,"",VLOOKUP($A45,TableHandbook[],4,FALSE)),"")</f>
        <v/>
      </c>
      <c r="E45" s="387"/>
      <c r="F45" s="388" t="str">
        <f>IFERROR(IF(VLOOKUP($A45,TableHandbook[],6,FALSE)=0,"",VLOOKUP($A45,TableHandbook[],6,FALSE)),"")</f>
        <v/>
      </c>
      <c r="G45" s="389" t="str">
        <f>IFERROR(IF(VLOOKUP($A45,TableHandbook[],5,FALSE)=0,"",VLOOKUP($A45,TableHandbook[],5,FALSE)),"")</f>
        <v/>
      </c>
      <c r="H45" s="348" t="str">
        <f>IFERROR(VLOOKUP($A45,TableHandbook[],H$2,FALSE),"")</f>
        <v/>
      </c>
      <c r="I45" s="349" t="str">
        <f>IFERROR(VLOOKUP($A45,TableHandbook[],I$2,FALSE),"")</f>
        <v/>
      </c>
      <c r="J45" s="345" t="str">
        <f>IFERROR(VLOOKUP($A45,TableHandbook[],J$2,FALSE),"")</f>
        <v/>
      </c>
      <c r="K45" s="350" t="str">
        <f>IFERROR(VLOOKUP($A45,TableHandbook[],K$2,FALSE),"")</f>
        <v/>
      </c>
      <c r="L45" s="54"/>
      <c r="M45" s="351">
        <v>4</v>
      </c>
    </row>
    <row r="46" spans="1:15" x14ac:dyDescent="0.3">
      <c r="A46" s="384" t="str">
        <f t="shared" si="8"/>
        <v/>
      </c>
      <c r="B46" s="385" t="str">
        <f>IFERROR(IF(VLOOKUP($A46,TableHandbook[],2,FALSE)=0,"",VLOOKUP($A46,TableHandbook[],2,FALSE)),"")</f>
        <v/>
      </c>
      <c r="C46" s="386" t="str">
        <f>IFERROR(IF(VLOOKUP($A46,TableHandbook[],3,FALSE)=0,"",VLOOKUP($A46,TableHandbook[],3,FALSE)),"")</f>
        <v/>
      </c>
      <c r="D46" s="386" t="str">
        <f>IFERROR(IF(VLOOKUP($A46,TableHandbook[],4,FALSE)=0,"",VLOOKUP($A46,TableHandbook[],4,FALSE)),"")</f>
        <v/>
      </c>
      <c r="E46" s="387"/>
      <c r="F46" s="388" t="str">
        <f>IFERROR(IF(VLOOKUP($A46,TableHandbook[],6,FALSE)=0,"",VLOOKUP($A46,TableHandbook[],6,FALSE)),"")</f>
        <v/>
      </c>
      <c r="G46" s="389" t="str">
        <f>IFERROR(IF(VLOOKUP($A46,TableHandbook[],5,FALSE)=0,"",VLOOKUP($A46,TableHandbook[],5,FALSE)),"")</f>
        <v/>
      </c>
      <c r="H46" s="348" t="str">
        <f>IFERROR(VLOOKUP($A46,TableHandbook[],H$2,FALSE),"")</f>
        <v/>
      </c>
      <c r="I46" s="349" t="str">
        <f>IFERROR(VLOOKUP($A46,TableHandbook[],I$2,FALSE),"")</f>
        <v/>
      </c>
      <c r="J46" s="345" t="str">
        <f>IFERROR(VLOOKUP($A46,TableHandbook[],J$2,FALSE),"")</f>
        <v/>
      </c>
      <c r="K46" s="350" t="str">
        <f>IFERROR(VLOOKUP($A46,TableHandbook[],K$2,FALSE),"")</f>
        <v/>
      </c>
      <c r="L46" s="54"/>
      <c r="M46" s="351">
        <v>5</v>
      </c>
    </row>
    <row r="47" spans="1:15" x14ac:dyDescent="0.3">
      <c r="A47" s="384" t="str">
        <f t="shared" si="8"/>
        <v/>
      </c>
      <c r="B47" s="385" t="str">
        <f>IFERROR(IF(VLOOKUP($A47,TableHandbook[],2,FALSE)=0,"",VLOOKUP($A47,TableHandbook[],2,FALSE)),"")</f>
        <v/>
      </c>
      <c r="C47" s="386" t="str">
        <f>IFERROR(IF(VLOOKUP($A47,TableHandbook[],3,FALSE)=0,"",VLOOKUP($A47,TableHandbook[],3,FALSE)),"")</f>
        <v/>
      </c>
      <c r="D47" s="386" t="str">
        <f>IFERROR(IF(VLOOKUP($A47,TableHandbook[],4,FALSE)=0,"",VLOOKUP($A47,TableHandbook[],4,FALSE)),"")</f>
        <v/>
      </c>
      <c r="E47" s="387"/>
      <c r="F47" s="388" t="str">
        <f>IFERROR(IF(VLOOKUP($A47,TableHandbook[],6,FALSE)=0,"",VLOOKUP($A47,TableHandbook[],6,FALSE)),"")</f>
        <v/>
      </c>
      <c r="G47" s="389" t="str">
        <f>IFERROR(IF(VLOOKUP($A47,TableHandbook[],5,FALSE)=0,"",VLOOKUP($A47,TableHandbook[],5,FALSE)),"")</f>
        <v/>
      </c>
      <c r="H47" s="348" t="str">
        <f>IFERROR(VLOOKUP($A47,TableHandbook[],H$2,FALSE),"")</f>
        <v/>
      </c>
      <c r="I47" s="349" t="str">
        <f>IFERROR(VLOOKUP($A47,TableHandbook[],I$2,FALSE),"")</f>
        <v/>
      </c>
      <c r="J47" s="345" t="str">
        <f>IFERROR(VLOOKUP($A47,TableHandbook[],J$2,FALSE),"")</f>
        <v/>
      </c>
      <c r="K47" s="350" t="str">
        <f>IFERROR(VLOOKUP($A47,TableHandbook[],K$2,FALSE),"")</f>
        <v/>
      </c>
      <c r="L47" s="54"/>
      <c r="M47" s="351">
        <v>6</v>
      </c>
    </row>
    <row r="48" spans="1:15" x14ac:dyDescent="0.3">
      <c r="A48" s="384" t="str">
        <f t="shared" si="8"/>
        <v/>
      </c>
      <c r="B48" s="385" t="str">
        <f>IFERROR(IF(VLOOKUP($A48,TableHandbook[],2,FALSE)=0,"",VLOOKUP($A48,TableHandbook[],2,FALSE)),"")</f>
        <v/>
      </c>
      <c r="C48" s="386" t="str">
        <f>IFERROR(IF(VLOOKUP($A48,TableHandbook[],3,FALSE)=0,"",VLOOKUP($A48,TableHandbook[],3,FALSE)),"")</f>
        <v/>
      </c>
      <c r="D48" s="386" t="str">
        <f>IFERROR(IF(VLOOKUP($A48,TableHandbook[],4,FALSE)=0,"",VLOOKUP($A48,TableHandbook[],4,FALSE)),"")</f>
        <v/>
      </c>
      <c r="E48" s="387"/>
      <c r="F48" s="388" t="str">
        <f>IFERROR(IF(VLOOKUP($A48,TableHandbook[],6,FALSE)=0,"",VLOOKUP($A48,TableHandbook[],6,FALSE)),"")</f>
        <v/>
      </c>
      <c r="G48" s="389" t="str">
        <f>IFERROR(IF(VLOOKUP($A48,TableHandbook[],5,FALSE)=0,"",VLOOKUP($A48,TableHandbook[],5,FALSE)),"")</f>
        <v/>
      </c>
      <c r="H48" s="348" t="str">
        <f>IFERROR(VLOOKUP($A48,TableHandbook[],H$2,FALSE),"")</f>
        <v/>
      </c>
      <c r="I48" s="349" t="str">
        <f>IFERROR(VLOOKUP($A48,TableHandbook[],I$2,FALSE),"")</f>
        <v/>
      </c>
      <c r="J48" s="345" t="str">
        <f>IFERROR(VLOOKUP($A48,TableHandbook[],J$2,FALSE),"")</f>
        <v/>
      </c>
      <c r="K48" s="350" t="str">
        <f>IFERROR(VLOOKUP($A48,TableHandbook[],K$2,FALSE),"")</f>
        <v/>
      </c>
      <c r="L48" s="54"/>
      <c r="M48" s="351">
        <v>7</v>
      </c>
    </row>
    <row r="49" spans="1:13" x14ac:dyDescent="0.3">
      <c r="A49" s="384" t="str">
        <f t="shared" si="8"/>
        <v/>
      </c>
      <c r="B49" s="385" t="str">
        <f>IFERROR(IF(VLOOKUP($A49,TableHandbook[],2,FALSE)=0,"",VLOOKUP($A49,TableHandbook[],2,FALSE)),"")</f>
        <v/>
      </c>
      <c r="C49" s="386" t="str">
        <f>IFERROR(IF(VLOOKUP($A49,TableHandbook[],3,FALSE)=0,"",VLOOKUP($A49,TableHandbook[],3,FALSE)),"")</f>
        <v/>
      </c>
      <c r="D49" s="386" t="str">
        <f>IFERROR(IF(VLOOKUP($A49,TableHandbook[],4,FALSE)=0,"",VLOOKUP($A49,TableHandbook[],4,FALSE)),"")</f>
        <v/>
      </c>
      <c r="E49" s="387"/>
      <c r="F49" s="388" t="str">
        <f>IFERROR(IF(VLOOKUP($A49,TableHandbook[],6,FALSE)=0,"",VLOOKUP($A49,TableHandbook[],6,FALSE)),"")</f>
        <v/>
      </c>
      <c r="G49" s="389" t="str">
        <f>IFERROR(IF(VLOOKUP($A49,TableHandbook[],5,FALSE)=0,"",VLOOKUP($A49,TableHandbook[],5,FALSE)),"")</f>
        <v/>
      </c>
      <c r="H49" s="348" t="str">
        <f>IFERROR(VLOOKUP($A49,TableHandbook[],H$2,FALSE),"")</f>
        <v/>
      </c>
      <c r="I49" s="349" t="str">
        <f>IFERROR(VLOOKUP($A49,TableHandbook[],I$2,FALSE),"")</f>
        <v/>
      </c>
      <c r="J49" s="345" t="str">
        <f>IFERROR(VLOOKUP($A49,TableHandbook[],J$2,FALSE),"")</f>
        <v/>
      </c>
      <c r="K49" s="350" t="str">
        <f>IFERROR(VLOOKUP($A49,TableHandbook[],K$2,FALSE),"")</f>
        <v/>
      </c>
      <c r="L49" s="54"/>
      <c r="M49" s="351">
        <v>8</v>
      </c>
    </row>
    <row r="50" spans="1:13" x14ac:dyDescent="0.3">
      <c r="A50" s="384" t="str">
        <f t="shared" si="8"/>
        <v/>
      </c>
      <c r="B50" s="385" t="str">
        <f>IFERROR(IF(VLOOKUP($A50,TableHandbook[],2,FALSE)=0,"",VLOOKUP($A50,TableHandbook[],2,FALSE)),"")</f>
        <v/>
      </c>
      <c r="C50" s="386" t="str">
        <f>IFERROR(IF(VLOOKUP($A50,TableHandbook[],3,FALSE)=0,"",VLOOKUP($A50,TableHandbook[],3,FALSE)),"")</f>
        <v/>
      </c>
      <c r="D50" s="386" t="str">
        <f>IFERROR(IF(VLOOKUP($A50,TableHandbook[],4,FALSE)=0,"",VLOOKUP($A50,TableHandbook[],4,FALSE)),"")</f>
        <v/>
      </c>
      <c r="E50" s="387"/>
      <c r="F50" s="388" t="str">
        <f>IFERROR(IF(VLOOKUP($A50,TableHandbook[],6,FALSE)=0,"",VLOOKUP($A50,TableHandbook[],6,FALSE)),"")</f>
        <v/>
      </c>
      <c r="G50" s="389" t="str">
        <f>IFERROR(IF(VLOOKUP($A50,TableHandbook[],5,FALSE)=0,"",VLOOKUP($A50,TableHandbook[],5,FALSE)),"")</f>
        <v/>
      </c>
      <c r="H50" s="348" t="str">
        <f>IFERROR(VLOOKUP($A50,TableHandbook[],H$2,FALSE),"")</f>
        <v/>
      </c>
      <c r="I50" s="349" t="str">
        <f>IFERROR(VLOOKUP($A50,TableHandbook[],I$2,FALSE),"")</f>
        <v/>
      </c>
      <c r="J50" s="345" t="str">
        <f>IFERROR(VLOOKUP($A50,TableHandbook[],J$2,FALSE),"")</f>
        <v/>
      </c>
      <c r="K50" s="350" t="str">
        <f>IFERROR(VLOOKUP($A50,TableHandbook[],K$2,FALSE),"")</f>
        <v/>
      </c>
      <c r="L50" s="54"/>
      <c r="M50" s="351">
        <v>9</v>
      </c>
    </row>
    <row r="51" spans="1:13" x14ac:dyDescent="0.3">
      <c r="A51" s="384" t="str">
        <f t="shared" si="8"/>
        <v/>
      </c>
      <c r="B51" s="385" t="str">
        <f>IFERROR(IF(VLOOKUP($A51,TableHandbook[],2,FALSE)=0,"",VLOOKUP($A51,TableHandbook[],2,FALSE)),"")</f>
        <v/>
      </c>
      <c r="C51" s="386" t="str">
        <f>IFERROR(IF(VLOOKUP($A51,TableHandbook[],3,FALSE)=0,"",VLOOKUP($A51,TableHandbook[],3,FALSE)),"")</f>
        <v/>
      </c>
      <c r="D51" s="386" t="str">
        <f>IFERROR(IF(VLOOKUP($A51,TableHandbook[],4,FALSE)=0,"",VLOOKUP($A51,TableHandbook[],4,FALSE)),"")</f>
        <v/>
      </c>
      <c r="E51" s="387"/>
      <c r="F51" s="388" t="str">
        <f>IFERROR(IF(VLOOKUP($A51,TableHandbook[],6,FALSE)=0,"",VLOOKUP($A51,TableHandbook[],6,FALSE)),"")</f>
        <v/>
      </c>
      <c r="G51" s="389" t="str">
        <f>IFERROR(IF(VLOOKUP($A51,TableHandbook[],5,FALSE)=0,"",VLOOKUP($A51,TableHandbook[],5,FALSE)),"")</f>
        <v/>
      </c>
      <c r="H51" s="348" t="str">
        <f>IFERROR(VLOOKUP($A51,TableHandbook[],H$2,FALSE),"")</f>
        <v/>
      </c>
      <c r="I51" s="349" t="str">
        <f>IFERROR(VLOOKUP($A51,TableHandbook[],I$2,FALSE),"")</f>
        <v/>
      </c>
      <c r="J51" s="345" t="str">
        <f>IFERROR(VLOOKUP($A51,TableHandbook[],J$2,FALSE),"")</f>
        <v/>
      </c>
      <c r="K51" s="350" t="str">
        <f>IFERROR(VLOOKUP($A51,TableHandbook[],K$2,FALSE),"")</f>
        <v/>
      </c>
      <c r="L51" s="54"/>
      <c r="M51" s="351">
        <v>10</v>
      </c>
    </row>
    <row r="52" spans="1:13" x14ac:dyDescent="0.3">
      <c r="A52" s="384" t="str">
        <f t="shared" si="8"/>
        <v/>
      </c>
      <c r="B52" s="385" t="str">
        <f>IFERROR(IF(VLOOKUP($A52,TableHandbook[],2,FALSE)=0,"",VLOOKUP($A52,TableHandbook[],2,FALSE)),"")</f>
        <v/>
      </c>
      <c r="C52" s="386" t="str">
        <f>IFERROR(IF(VLOOKUP($A52,TableHandbook[],3,FALSE)=0,"",VLOOKUP($A52,TableHandbook[],3,FALSE)),"")</f>
        <v/>
      </c>
      <c r="D52" s="386" t="str">
        <f>IFERROR(IF(VLOOKUP($A52,TableHandbook[],4,FALSE)=0,"",VLOOKUP($A52,TableHandbook[],4,FALSE)),"")</f>
        <v/>
      </c>
      <c r="E52" s="387"/>
      <c r="F52" s="388" t="str">
        <f>IFERROR(IF(VLOOKUP($A52,TableHandbook[],6,FALSE)=0,"",VLOOKUP($A52,TableHandbook[],6,FALSE)),"")</f>
        <v/>
      </c>
      <c r="G52" s="389" t="str">
        <f>IFERROR(IF(VLOOKUP($A52,TableHandbook[],5,FALSE)=0,"",VLOOKUP($A52,TableHandbook[],5,FALSE)),"")</f>
        <v/>
      </c>
      <c r="H52" s="348" t="str">
        <f>IFERROR(VLOOKUP($A52,TableHandbook[],H$2,FALSE),"")</f>
        <v/>
      </c>
      <c r="I52" s="349" t="str">
        <f>IFERROR(VLOOKUP($A52,TableHandbook[],I$2,FALSE),"")</f>
        <v/>
      </c>
      <c r="J52" s="345" t="str">
        <f>IFERROR(VLOOKUP($A52,TableHandbook[],J$2,FALSE),"")</f>
        <v/>
      </c>
      <c r="K52" s="350" t="str">
        <f>IFERROR(VLOOKUP($A52,TableHandbook[],K$2,FALSE),"")</f>
        <v/>
      </c>
      <c r="L52" s="54"/>
      <c r="M52" s="351">
        <v>11</v>
      </c>
    </row>
    <row r="53" spans="1:13" x14ac:dyDescent="0.3">
      <c r="A53" s="384" t="str">
        <f t="shared" si="8"/>
        <v/>
      </c>
      <c r="B53" s="385" t="str">
        <f>IFERROR(IF(VLOOKUP($A53,TableHandbook[],2,FALSE)=0,"",VLOOKUP($A53,TableHandbook[],2,FALSE)),"")</f>
        <v/>
      </c>
      <c r="C53" s="386" t="str">
        <f>IFERROR(IF(VLOOKUP($A53,TableHandbook[],3,FALSE)=0,"",VLOOKUP($A53,TableHandbook[],3,FALSE)),"")</f>
        <v/>
      </c>
      <c r="D53" s="386" t="str">
        <f>IFERROR(IF(VLOOKUP($A53,TableHandbook[],4,FALSE)=0,"",VLOOKUP($A53,TableHandbook[],4,FALSE)),"")</f>
        <v/>
      </c>
      <c r="E53" s="387"/>
      <c r="F53" s="388" t="str">
        <f>IFERROR(IF(VLOOKUP($A53,TableHandbook[],6,FALSE)=0,"",VLOOKUP($A53,TableHandbook[],6,FALSE)),"")</f>
        <v/>
      </c>
      <c r="G53" s="389" t="str">
        <f>IFERROR(IF(VLOOKUP($A53,TableHandbook[],5,FALSE)=0,"",VLOOKUP($A53,TableHandbook[],5,FALSE)),"")</f>
        <v/>
      </c>
      <c r="H53" s="348" t="str">
        <f>IFERROR(VLOOKUP($A53,TableHandbook[],H$2,FALSE),"")</f>
        <v/>
      </c>
      <c r="I53" s="349" t="str">
        <f>IFERROR(VLOOKUP($A53,TableHandbook[],I$2,FALSE),"")</f>
        <v/>
      </c>
      <c r="J53" s="345" t="str">
        <f>IFERROR(VLOOKUP($A53,TableHandbook[],J$2,FALSE),"")</f>
        <v/>
      </c>
      <c r="K53" s="350" t="str">
        <f>IFERROR(VLOOKUP($A53,TableHandbook[],K$2,FALSE),"")</f>
        <v/>
      </c>
      <c r="L53" s="54"/>
      <c r="M53" s="351">
        <v>12</v>
      </c>
    </row>
    <row r="54" spans="1:13" x14ac:dyDescent="0.3">
      <c r="A54" s="384" t="str">
        <f t="shared" si="8"/>
        <v/>
      </c>
      <c r="B54" s="385" t="str">
        <f>IFERROR(IF(VLOOKUP($A54,TableHandbook[],2,FALSE)=0,"",VLOOKUP($A54,TableHandbook[],2,FALSE)),"")</f>
        <v/>
      </c>
      <c r="C54" s="386" t="str">
        <f>IFERROR(IF(VLOOKUP($A54,TableHandbook[],3,FALSE)=0,"",VLOOKUP($A54,TableHandbook[],3,FALSE)),"")</f>
        <v/>
      </c>
      <c r="D54" s="386" t="str">
        <f>IFERROR(IF(VLOOKUP($A54,TableHandbook[],4,FALSE)=0,"",VLOOKUP($A54,TableHandbook[],4,FALSE)),"")</f>
        <v/>
      </c>
      <c r="E54" s="387"/>
      <c r="F54" s="388" t="str">
        <f>IFERROR(IF(VLOOKUP($A54,TableHandbook[],6,FALSE)=0,"",VLOOKUP($A54,TableHandbook[],6,FALSE)),"")</f>
        <v/>
      </c>
      <c r="G54" s="389" t="str">
        <f>IFERROR(IF(VLOOKUP($A54,TableHandbook[],5,FALSE)=0,"",VLOOKUP($A54,TableHandbook[],5,FALSE)),"")</f>
        <v/>
      </c>
      <c r="H54" s="348" t="str">
        <f>IFERROR(VLOOKUP($A54,TableHandbook[],H$2,FALSE),"")</f>
        <v/>
      </c>
      <c r="I54" s="349" t="str">
        <f>IFERROR(VLOOKUP($A54,TableHandbook[],I$2,FALSE),"")</f>
        <v/>
      </c>
      <c r="J54" s="345" t="str">
        <f>IFERROR(VLOOKUP($A54,TableHandbook[],J$2,FALSE),"")</f>
        <v/>
      </c>
      <c r="K54" s="350" t="str">
        <f>IFERROR(VLOOKUP($A54,TableHandbook[],K$2,FALSE),"")</f>
        <v/>
      </c>
      <c r="L54" s="54"/>
      <c r="M54" s="351">
        <v>13</v>
      </c>
    </row>
    <row r="55" spans="1:13" x14ac:dyDescent="0.3">
      <c r="A55" s="384" t="str">
        <f t="shared" si="8"/>
        <v/>
      </c>
      <c r="B55" s="385" t="str">
        <f>IFERROR(IF(VLOOKUP($A55,TableHandbook[],2,FALSE)=0,"",VLOOKUP($A55,TableHandbook[],2,FALSE)),"")</f>
        <v/>
      </c>
      <c r="C55" s="386" t="str">
        <f>IFERROR(IF(VLOOKUP($A55,TableHandbook[],3,FALSE)=0,"",VLOOKUP($A55,TableHandbook[],3,FALSE)),"")</f>
        <v/>
      </c>
      <c r="D55" s="386" t="str">
        <f>IFERROR(IF(VLOOKUP($A55,TableHandbook[],4,FALSE)=0,"",VLOOKUP($A55,TableHandbook[],4,FALSE)),"")</f>
        <v/>
      </c>
      <c r="E55" s="387"/>
      <c r="F55" s="388" t="str">
        <f>IFERROR(IF(VLOOKUP($A55,TableHandbook[],6,FALSE)=0,"",VLOOKUP($A55,TableHandbook[],6,FALSE)),"")</f>
        <v/>
      </c>
      <c r="G55" s="389" t="str">
        <f>IFERROR(IF(VLOOKUP($A55,TableHandbook[],5,FALSE)=0,"",VLOOKUP($A55,TableHandbook[],5,FALSE)),"")</f>
        <v/>
      </c>
      <c r="H55" s="348" t="str">
        <f>IFERROR(VLOOKUP($A55,TableHandbook[],H$2,FALSE),"")</f>
        <v/>
      </c>
      <c r="I55" s="349" t="str">
        <f>IFERROR(VLOOKUP($A55,TableHandbook[],I$2,FALSE),"")</f>
        <v/>
      </c>
      <c r="J55" s="345" t="str">
        <f>IFERROR(VLOOKUP($A55,TableHandbook[],J$2,FALSE),"")</f>
        <v/>
      </c>
      <c r="K55" s="350" t="str">
        <f>IFERROR(VLOOKUP($A55,TableHandbook[],K$2,FALSE),"")</f>
        <v/>
      </c>
      <c r="L55" s="54"/>
      <c r="M55" s="351">
        <v>14</v>
      </c>
    </row>
    <row r="56" spans="1:13" x14ac:dyDescent="0.3">
      <c r="A56" s="384" t="str">
        <f t="shared" si="8"/>
        <v/>
      </c>
      <c r="B56" s="385" t="str">
        <f>IFERROR(IF(VLOOKUP($A56,TableHandbook[],2,FALSE)=0,"",VLOOKUP($A56,TableHandbook[],2,FALSE)),"")</f>
        <v/>
      </c>
      <c r="C56" s="386" t="str">
        <f>IFERROR(IF(VLOOKUP($A56,TableHandbook[],3,FALSE)=0,"",VLOOKUP($A56,TableHandbook[],3,FALSE)),"")</f>
        <v/>
      </c>
      <c r="D56" s="386" t="str">
        <f>IFERROR(IF(VLOOKUP($A56,TableHandbook[],4,FALSE)=0,"",VLOOKUP($A56,TableHandbook[],4,FALSE)),"")</f>
        <v/>
      </c>
      <c r="E56" s="387"/>
      <c r="F56" s="388" t="str">
        <f>IFERROR(IF(VLOOKUP($A56,TableHandbook[],6,FALSE)=0,"",VLOOKUP($A56,TableHandbook[],6,FALSE)),"")</f>
        <v/>
      </c>
      <c r="G56" s="389" t="str">
        <f>IFERROR(IF(VLOOKUP($A56,TableHandbook[],5,FALSE)=0,"",VLOOKUP($A56,TableHandbook[],5,FALSE)),"")</f>
        <v/>
      </c>
      <c r="H56" s="348" t="str">
        <f>IFERROR(VLOOKUP($A56,TableHandbook[],H$2,FALSE),"")</f>
        <v/>
      </c>
      <c r="I56" s="349" t="str">
        <f>IFERROR(VLOOKUP($A56,TableHandbook[],I$2,FALSE),"")</f>
        <v/>
      </c>
      <c r="J56" s="345" t="str">
        <f>IFERROR(VLOOKUP($A56,TableHandbook[],J$2,FALSE),"")</f>
        <v/>
      </c>
      <c r="K56" s="350" t="str">
        <f>IFERROR(VLOOKUP($A56,TableHandbook[],K$2,FALSE),"")</f>
        <v/>
      </c>
      <c r="L56" s="54"/>
      <c r="M56" s="351">
        <v>15</v>
      </c>
    </row>
    <row r="57" spans="1:13" x14ac:dyDescent="0.3">
      <c r="A57" s="384" t="str">
        <f t="shared" si="8"/>
        <v/>
      </c>
      <c r="B57" s="385" t="str">
        <f>IFERROR(IF(VLOOKUP($A57,TableHandbook[],2,FALSE)=0,"",VLOOKUP($A57,TableHandbook[],2,FALSE)),"")</f>
        <v/>
      </c>
      <c r="C57" s="386" t="str">
        <f>IFERROR(IF(VLOOKUP($A57,TableHandbook[],3,FALSE)=0,"",VLOOKUP($A57,TableHandbook[],3,FALSE)),"")</f>
        <v/>
      </c>
      <c r="D57" s="386" t="str">
        <f>IFERROR(IF(VLOOKUP($A57,TableHandbook[],4,FALSE)=0,"",VLOOKUP($A57,TableHandbook[],4,FALSE)),"")</f>
        <v/>
      </c>
      <c r="E57" s="386"/>
      <c r="F57" s="388" t="str">
        <f>IFERROR(IF(VLOOKUP($A57,TableHandbook[],6,FALSE)=0,"",VLOOKUP($A57,TableHandbook[],6,FALSE)),"")</f>
        <v/>
      </c>
      <c r="G57" s="385" t="str">
        <f>IFERROR(IF(VLOOKUP($A57,TableHandbook[],5,FALSE)=0,"",VLOOKUP($A57,TableHandbook[],5,FALSE)),"")</f>
        <v/>
      </c>
      <c r="H57" s="348" t="str">
        <f>IFERROR(VLOOKUP($A57,TableHandbook[],H$2,FALSE),"")</f>
        <v/>
      </c>
      <c r="I57" s="349" t="str">
        <f>IFERROR(VLOOKUP($A57,TableHandbook[],I$2,FALSE),"")</f>
        <v/>
      </c>
      <c r="J57" s="345" t="str">
        <f>IFERROR(VLOOKUP($A57,TableHandbook[],J$2,FALSE),"")</f>
        <v/>
      </c>
      <c r="K57" s="350" t="str">
        <f>IFERROR(VLOOKUP($A57,TableHandbook[],K$2,FALSE),"")</f>
        <v/>
      </c>
      <c r="L57" s="53"/>
      <c r="M57" s="351">
        <v>16</v>
      </c>
    </row>
    <row r="58" spans="1:13" x14ac:dyDescent="0.3">
      <c r="A58" s="384" t="str">
        <f t="shared" si="8"/>
        <v/>
      </c>
      <c r="B58" s="385" t="str">
        <f>IFERROR(IF(VLOOKUP($A58,TableHandbook[],2,FALSE)=0,"",VLOOKUP($A58,TableHandbook[],2,FALSE)),"")</f>
        <v/>
      </c>
      <c r="C58" s="386" t="str">
        <f>IFERROR(IF(VLOOKUP($A58,TableHandbook[],3,FALSE)=0,"",VLOOKUP($A58,TableHandbook[],3,FALSE)),"")</f>
        <v/>
      </c>
      <c r="D58" s="386" t="str">
        <f>IFERROR(IF(VLOOKUP($A58,TableHandbook[],4,FALSE)=0,"",VLOOKUP($A58,TableHandbook[],4,FALSE)),"")</f>
        <v/>
      </c>
      <c r="E58" s="387"/>
      <c r="F58" s="388" t="str">
        <f>IFERROR(IF(VLOOKUP($A58,TableHandbook[],6,FALSE)=0,"",VLOOKUP($A58,TableHandbook[],6,FALSE)),"")</f>
        <v/>
      </c>
      <c r="G58" s="389" t="str">
        <f>IFERROR(IF(VLOOKUP($A58,TableHandbook[],5,FALSE)=0,"",VLOOKUP($A58,TableHandbook[],5,FALSE)),"")</f>
        <v/>
      </c>
      <c r="H58" s="348" t="str">
        <f>IFERROR(VLOOKUP($A58,TableHandbook[],H$2,FALSE),"")</f>
        <v/>
      </c>
      <c r="I58" s="349" t="str">
        <f>IFERROR(VLOOKUP($A58,TableHandbook[],I$2,FALSE),"")</f>
        <v/>
      </c>
      <c r="J58" s="345" t="str">
        <f>IFERROR(VLOOKUP($A58,TableHandbook[],J$2,FALSE),"")</f>
        <v/>
      </c>
      <c r="K58" s="350" t="str">
        <f>IFERROR(VLOOKUP($A58,TableHandbook[],K$2,FALSE),"")</f>
        <v/>
      </c>
      <c r="L58" s="53"/>
      <c r="M58" s="351">
        <v>17</v>
      </c>
    </row>
    <row r="59" spans="1:13" x14ac:dyDescent="0.3">
      <c r="A59" s="384" t="str">
        <f t="shared" si="8"/>
        <v/>
      </c>
      <c r="B59" s="385" t="str">
        <f>IFERROR(IF(VLOOKUP($A59,TableHandbook[],2,FALSE)=0,"",VLOOKUP($A59,TableHandbook[],2,FALSE)),"")</f>
        <v/>
      </c>
      <c r="C59" s="386" t="str">
        <f>IFERROR(IF(VLOOKUP($A59,TableHandbook[],3,FALSE)=0,"",VLOOKUP($A59,TableHandbook[],3,FALSE)),"")</f>
        <v/>
      </c>
      <c r="D59" s="386" t="str">
        <f>IFERROR(IF(VLOOKUP($A59,TableHandbook[],4,FALSE)=0,"",VLOOKUP($A59,TableHandbook[],4,FALSE)),"")</f>
        <v/>
      </c>
      <c r="E59" s="387"/>
      <c r="F59" s="388" t="str">
        <f>IFERROR(IF(VLOOKUP($A59,TableHandbook[],6,FALSE)=0,"",VLOOKUP($A59,TableHandbook[],6,FALSE)),"")</f>
        <v/>
      </c>
      <c r="G59" s="389" t="str">
        <f>IFERROR(IF(VLOOKUP($A59,TableHandbook[],5,FALSE)=0,"",VLOOKUP($A59,TableHandbook[],5,FALSE)),"")</f>
        <v/>
      </c>
      <c r="H59" s="348" t="str">
        <f>IFERROR(VLOOKUP($A59,TableHandbook[],H$2,FALSE),"")</f>
        <v/>
      </c>
      <c r="I59" s="349" t="str">
        <f>IFERROR(VLOOKUP($A59,TableHandbook[],I$2,FALSE),"")</f>
        <v/>
      </c>
      <c r="J59" s="345" t="str">
        <f>IFERROR(VLOOKUP($A59,TableHandbook[],J$2,FALSE),"")</f>
        <v/>
      </c>
      <c r="K59" s="350" t="str">
        <f>IFERROR(VLOOKUP($A59,TableHandbook[],K$2,FALSE),"")</f>
        <v/>
      </c>
      <c r="L59" s="54"/>
      <c r="M59" s="351">
        <v>18</v>
      </c>
    </row>
    <row r="60" spans="1:13" x14ac:dyDescent="0.3">
      <c r="A60" s="384" t="str">
        <f t="shared" si="8"/>
        <v/>
      </c>
      <c r="B60" s="385" t="str">
        <f>IFERROR(IF(VLOOKUP($A60,TableHandbook[],2,FALSE)=0,"",VLOOKUP($A60,TableHandbook[],2,FALSE)),"")</f>
        <v/>
      </c>
      <c r="C60" s="386" t="str">
        <f>IFERROR(IF(VLOOKUP($A60,TableHandbook[],3,FALSE)=0,"",VLOOKUP($A60,TableHandbook[],3,FALSE)),"")</f>
        <v/>
      </c>
      <c r="D60" s="386" t="str">
        <f>IFERROR(IF(VLOOKUP($A60,TableHandbook[],4,FALSE)=0,"",VLOOKUP($A60,TableHandbook[],4,FALSE)),"")</f>
        <v/>
      </c>
      <c r="E60" s="387"/>
      <c r="F60" s="388" t="str">
        <f>IFERROR(IF(VLOOKUP($A60,TableHandbook[],6,FALSE)=0,"",VLOOKUP($A60,TableHandbook[],6,FALSE)),"")</f>
        <v/>
      </c>
      <c r="G60" s="389" t="str">
        <f>IFERROR(IF(VLOOKUP($A60,TableHandbook[],5,FALSE)=0,"",VLOOKUP($A60,TableHandbook[],5,FALSE)),"")</f>
        <v/>
      </c>
      <c r="H60" s="348" t="str">
        <f>IFERROR(VLOOKUP($A60,TableHandbook[],H$2,FALSE),"")</f>
        <v/>
      </c>
      <c r="I60" s="349" t="str">
        <f>IFERROR(VLOOKUP($A60,TableHandbook[],I$2,FALSE),"")</f>
        <v/>
      </c>
      <c r="J60" s="345" t="str">
        <f>IFERROR(VLOOKUP($A60,TableHandbook[],J$2,FALSE),"")</f>
        <v/>
      </c>
      <c r="K60" s="350" t="str">
        <f>IFERROR(VLOOKUP($A60,TableHandbook[],K$2,FALSE),"")</f>
        <v/>
      </c>
      <c r="L60" s="54"/>
      <c r="M60" s="351">
        <v>19</v>
      </c>
    </row>
    <row r="61" spans="1:13" x14ac:dyDescent="0.3">
      <c r="A61" s="384" t="str">
        <f t="shared" si="8"/>
        <v/>
      </c>
      <c r="B61" s="385" t="str">
        <f>IFERROR(IF(VLOOKUP($A61,TableHandbook[],2,FALSE)=0,"",VLOOKUP($A61,TableHandbook[],2,FALSE)),"")</f>
        <v/>
      </c>
      <c r="C61" s="386" t="str">
        <f>IFERROR(IF(VLOOKUP($A61,TableHandbook[],3,FALSE)=0,"",VLOOKUP($A61,TableHandbook[],3,FALSE)),"")</f>
        <v/>
      </c>
      <c r="D61" s="386" t="str">
        <f>IFERROR(IF(VLOOKUP($A61,TableHandbook[],4,FALSE)=0,"",VLOOKUP($A61,TableHandbook[],4,FALSE)),"")</f>
        <v/>
      </c>
      <c r="E61" s="386"/>
      <c r="F61" s="388" t="str">
        <f>IFERROR(IF(VLOOKUP($A61,TableHandbook[],6,FALSE)=0,"",VLOOKUP($A61,TableHandbook[],6,FALSE)),"")</f>
        <v/>
      </c>
      <c r="G61" s="389" t="str">
        <f>IFERROR(IF(VLOOKUP($A61,TableHandbook[],5,FALSE)=0,"",VLOOKUP($A61,TableHandbook[],5,FALSE)),"")</f>
        <v/>
      </c>
      <c r="H61" s="348" t="str">
        <f>IFERROR(VLOOKUP($A61,TableHandbook[],H$2,FALSE),"")</f>
        <v/>
      </c>
      <c r="I61" s="349" t="str">
        <f>IFERROR(VLOOKUP($A61,TableHandbook[],I$2,FALSE),"")</f>
        <v/>
      </c>
      <c r="J61" s="345" t="str">
        <f>IFERROR(VLOOKUP($A61,TableHandbook[],J$2,FALSE),"")</f>
        <v/>
      </c>
      <c r="K61" s="350" t="str">
        <f>IFERROR(VLOOKUP($A61,TableHandbook[],K$2,FALSE),"")</f>
        <v/>
      </c>
      <c r="L61" s="54"/>
      <c r="M61" s="351">
        <v>20</v>
      </c>
    </row>
    <row r="62" spans="1:13" x14ac:dyDescent="0.3">
      <c r="A62" s="384" t="str">
        <f t="shared" si="8"/>
        <v/>
      </c>
      <c r="B62" s="385" t="str">
        <f>IFERROR(IF(VLOOKUP($A62,TableHandbook[],2,FALSE)=0,"",VLOOKUP($A62,TableHandbook[],2,FALSE)),"")</f>
        <v/>
      </c>
      <c r="C62" s="386" t="str">
        <f>IFERROR(IF(VLOOKUP($A62,TableHandbook[],3,FALSE)=0,"",VLOOKUP($A62,TableHandbook[],3,FALSE)),"")</f>
        <v/>
      </c>
      <c r="D62" s="386" t="str">
        <f>IFERROR(IF(VLOOKUP($A62,TableHandbook[],4,FALSE)=0,"",VLOOKUP($A62,TableHandbook[],4,FALSE)),"")</f>
        <v/>
      </c>
      <c r="E62" s="386"/>
      <c r="F62" s="388" t="str">
        <f>IFERROR(IF(VLOOKUP($A62,TableHandbook[],6,FALSE)=0,"",VLOOKUP($A62,TableHandbook[],6,FALSE)),"")</f>
        <v/>
      </c>
      <c r="G62" s="389" t="str">
        <f>IFERROR(IF(VLOOKUP($A62,TableHandbook[],5,FALSE)=0,"",VLOOKUP($A62,TableHandbook[],5,FALSE)),"")</f>
        <v/>
      </c>
      <c r="H62" s="348" t="str">
        <f>IFERROR(VLOOKUP($A62,TableHandbook[],H$2,FALSE),"")</f>
        <v/>
      </c>
      <c r="I62" s="349" t="str">
        <f>IFERROR(VLOOKUP($A62,TableHandbook[],I$2,FALSE),"")</f>
        <v/>
      </c>
      <c r="J62" s="345" t="str">
        <f>IFERROR(VLOOKUP($A62,TableHandbook[],J$2,FALSE),"")</f>
        <v/>
      </c>
      <c r="K62" s="350" t="str">
        <f>IFERROR(VLOOKUP($A62,TableHandbook[],K$2,FALSE),"")</f>
        <v/>
      </c>
      <c r="L62" s="54"/>
      <c r="M62" s="351">
        <v>21</v>
      </c>
    </row>
    <row r="63" spans="1:13" x14ac:dyDescent="0.3">
      <c r="A63" s="384" t="str">
        <f t="shared" si="8"/>
        <v/>
      </c>
      <c r="B63" s="385" t="str">
        <f>IFERROR(IF(VLOOKUP($A63,TableHandbook[],2,FALSE)=0,"",VLOOKUP($A63,TableHandbook[],2,FALSE)),"")</f>
        <v/>
      </c>
      <c r="C63" s="386" t="str">
        <f>IFERROR(IF(VLOOKUP($A63,TableHandbook[],3,FALSE)=0,"",VLOOKUP($A63,TableHandbook[],3,FALSE)),"")</f>
        <v/>
      </c>
      <c r="D63" s="386" t="str">
        <f>IFERROR(IF(VLOOKUP($A63,TableHandbook[],4,FALSE)=0,"",VLOOKUP($A63,TableHandbook[],4,FALSE)),"")</f>
        <v/>
      </c>
      <c r="E63" s="386"/>
      <c r="F63" s="388" t="str">
        <f>IFERROR(IF(VLOOKUP($A63,TableHandbook[],6,FALSE)=0,"",VLOOKUP($A63,TableHandbook[],6,FALSE)),"")</f>
        <v/>
      </c>
      <c r="G63" s="389" t="str">
        <f>IFERROR(IF(VLOOKUP($A63,TableHandbook[],5,FALSE)=0,"",VLOOKUP($A63,TableHandbook[],5,FALSE)),"")</f>
        <v/>
      </c>
      <c r="H63" s="348" t="str">
        <f>IFERROR(VLOOKUP($A63,TableHandbook[],H$2,FALSE),"")</f>
        <v/>
      </c>
      <c r="I63" s="349" t="str">
        <f>IFERROR(VLOOKUP($A63,TableHandbook[],I$2,FALSE),"")</f>
        <v/>
      </c>
      <c r="J63" s="345" t="str">
        <f>IFERROR(VLOOKUP($A63,TableHandbook[],J$2,FALSE),"")</f>
        <v/>
      </c>
      <c r="K63" s="350" t="str">
        <f>IFERROR(VLOOKUP($A63,TableHandbook[],K$2,FALSE),"")</f>
        <v/>
      </c>
      <c r="L63" s="54"/>
      <c r="M63" s="351">
        <v>22</v>
      </c>
    </row>
    <row r="64" spans="1:13" x14ac:dyDescent="0.3">
      <c r="A64" s="384" t="str">
        <f t="shared" si="8"/>
        <v/>
      </c>
      <c r="B64" s="385" t="str">
        <f>IFERROR(IF(VLOOKUP($A64,TableHandbook[],2,FALSE)=0,"",VLOOKUP($A64,TableHandbook[],2,FALSE)),"")</f>
        <v/>
      </c>
      <c r="C64" s="386" t="str">
        <f>IFERROR(IF(VLOOKUP($A64,TableHandbook[],3,FALSE)=0,"",VLOOKUP($A64,TableHandbook[],3,FALSE)),"")</f>
        <v/>
      </c>
      <c r="D64" s="386" t="str">
        <f>IFERROR(IF(VLOOKUP($A64,TableHandbook[],4,FALSE)=0,"",VLOOKUP($A64,TableHandbook[],4,FALSE)),"")</f>
        <v/>
      </c>
      <c r="E64" s="386"/>
      <c r="F64" s="388" t="str">
        <f>IFERROR(IF(VLOOKUP($A64,TableHandbook[],6,FALSE)=0,"",VLOOKUP($A64,TableHandbook[],6,FALSE)),"")</f>
        <v/>
      </c>
      <c r="G64" s="389" t="str">
        <f>IFERROR(IF(VLOOKUP($A64,TableHandbook[],5,FALSE)=0,"",VLOOKUP($A64,TableHandbook[],5,FALSE)),"")</f>
        <v/>
      </c>
      <c r="H64" s="348" t="str">
        <f>IFERROR(VLOOKUP($A64,TableHandbook[],H$2,FALSE),"")</f>
        <v/>
      </c>
      <c r="I64" s="349" t="str">
        <f>IFERROR(VLOOKUP($A64,TableHandbook[],I$2,FALSE),"")</f>
        <v/>
      </c>
      <c r="J64" s="345" t="str">
        <f>IFERROR(VLOOKUP($A64,TableHandbook[],J$2,FALSE),"")</f>
        <v/>
      </c>
      <c r="K64" s="350" t="str">
        <f>IFERROR(VLOOKUP($A64,TableHandbook[],K$2,FALSE),"")</f>
        <v/>
      </c>
      <c r="L64" s="54"/>
      <c r="M64" s="351">
        <v>23</v>
      </c>
    </row>
    <row r="65" spans="1:15" x14ac:dyDescent="0.3">
      <c r="A65" s="384" t="str">
        <f t="shared" si="8"/>
        <v/>
      </c>
      <c r="B65" s="385" t="str">
        <f>IFERROR(IF(VLOOKUP($A65,TableHandbook[],2,FALSE)=0,"",VLOOKUP($A65,TableHandbook[],2,FALSE)),"")</f>
        <v/>
      </c>
      <c r="C65" s="386" t="str">
        <f>IFERROR(IF(VLOOKUP($A65,TableHandbook[],3,FALSE)=0,"",VLOOKUP($A65,TableHandbook[],3,FALSE)),"")</f>
        <v/>
      </c>
      <c r="D65" s="386" t="str">
        <f>IFERROR(IF(VLOOKUP($A65,TableHandbook[],4,FALSE)=0,"",VLOOKUP($A65,TableHandbook[],4,FALSE)),"")</f>
        <v/>
      </c>
      <c r="E65" s="386"/>
      <c r="F65" s="388" t="str">
        <f>IFERROR(IF(VLOOKUP($A65,TableHandbook[],6,FALSE)=0,"",VLOOKUP($A65,TableHandbook[],6,FALSE)),"")</f>
        <v/>
      </c>
      <c r="G65" s="389" t="str">
        <f>IFERROR(IF(VLOOKUP($A65,TableHandbook[],5,FALSE)=0,"",VLOOKUP($A65,TableHandbook[],5,FALSE)),"")</f>
        <v/>
      </c>
      <c r="H65" s="348" t="str">
        <f>IFERROR(VLOOKUP($A65,TableHandbook[],H$2,FALSE),"")</f>
        <v/>
      </c>
      <c r="I65" s="349" t="str">
        <f>IFERROR(VLOOKUP($A65,TableHandbook[],I$2,FALSE),"")</f>
        <v/>
      </c>
      <c r="J65" s="345" t="str">
        <f>IFERROR(VLOOKUP($A65,TableHandbook[],J$2,FALSE),"")</f>
        <v/>
      </c>
      <c r="K65" s="350" t="str">
        <f>IFERROR(VLOOKUP($A65,TableHandbook[],K$2,FALSE),"")</f>
        <v/>
      </c>
      <c r="L65" s="54"/>
      <c r="M65" s="351">
        <v>24</v>
      </c>
    </row>
    <row r="66" spans="1:15" x14ac:dyDescent="0.3">
      <c r="A66" s="384" t="str">
        <f t="shared" si="8"/>
        <v/>
      </c>
      <c r="B66" s="385" t="str">
        <f>IFERROR(IF(VLOOKUP($A66,TableHandbook[],2,FALSE)=0,"",VLOOKUP($A66,TableHandbook[],2,FALSE)),"")</f>
        <v/>
      </c>
      <c r="C66" s="386" t="str">
        <f>IFERROR(IF(VLOOKUP($A66,TableHandbook[],3,FALSE)=0,"",VLOOKUP($A66,TableHandbook[],3,FALSE)),"")</f>
        <v/>
      </c>
      <c r="D66" s="386" t="str">
        <f>IFERROR(IF(VLOOKUP($A66,TableHandbook[],4,FALSE)=0,"",VLOOKUP($A66,TableHandbook[],4,FALSE)),"")</f>
        <v/>
      </c>
      <c r="E66" s="386"/>
      <c r="F66" s="388" t="str">
        <f>IFERROR(IF(VLOOKUP($A66,TableHandbook[],6,FALSE)=0,"",VLOOKUP($A66,TableHandbook[],6,FALSE)),"")</f>
        <v/>
      </c>
      <c r="G66" s="389" t="str">
        <f>IFERROR(IF(VLOOKUP($A66,TableHandbook[],5,FALSE)=0,"",VLOOKUP($A66,TableHandbook[],5,FALSE)),"")</f>
        <v/>
      </c>
      <c r="H66" s="348" t="str">
        <f>IFERROR(VLOOKUP($A66,TableHandbook[],H$2,FALSE),"")</f>
        <v/>
      </c>
      <c r="I66" s="349" t="str">
        <f>IFERROR(VLOOKUP($A66,TableHandbook[],I$2,FALSE),"")</f>
        <v/>
      </c>
      <c r="J66" s="345" t="str">
        <f>IFERROR(VLOOKUP($A66,TableHandbook[],J$2,FALSE),"")</f>
        <v/>
      </c>
      <c r="K66" s="350" t="str">
        <f>IFERROR(VLOOKUP($A66,TableHandbook[],K$2,FALSE),"")</f>
        <v/>
      </c>
      <c r="L66" s="54"/>
      <c r="M66" s="351">
        <v>25</v>
      </c>
    </row>
    <row r="67" spans="1:15" x14ac:dyDescent="0.3">
      <c r="A67" s="401"/>
      <c r="B67" s="401"/>
      <c r="C67" s="402"/>
      <c r="D67" s="402"/>
      <c r="E67" s="402"/>
      <c r="F67" s="370"/>
      <c r="G67" s="370"/>
      <c r="H67" s="369"/>
      <c r="I67" s="369"/>
      <c r="J67" s="369"/>
      <c r="K67" s="369"/>
      <c r="L67" s="370"/>
      <c r="M67" s="351"/>
    </row>
    <row r="68" spans="1:15" ht="32.25" customHeight="1" x14ac:dyDescent="0.3">
      <c r="A68" s="403" t="s">
        <v>31</v>
      </c>
      <c r="B68" s="403"/>
      <c r="C68" s="403"/>
      <c r="D68" s="403"/>
      <c r="E68" s="403"/>
      <c r="F68" s="403"/>
      <c r="G68" s="403"/>
      <c r="H68" s="403"/>
      <c r="I68" s="403"/>
      <c r="J68" s="403"/>
      <c r="K68" s="403"/>
      <c r="L68" s="403"/>
    </row>
    <row r="69" spans="1:15" s="406" customFormat="1" ht="24.9" customHeight="1" x14ac:dyDescent="0.4">
      <c r="A69" s="30" t="s">
        <v>32</v>
      </c>
      <c r="B69" s="30"/>
      <c r="C69" s="30"/>
      <c r="D69" s="31"/>
      <c r="E69" s="31"/>
      <c r="F69" s="31"/>
      <c r="G69" s="31"/>
      <c r="H69" s="31"/>
      <c r="I69" s="31"/>
      <c r="J69" s="31"/>
      <c r="K69" s="31"/>
      <c r="L69" s="31"/>
      <c r="M69" s="404"/>
      <c r="N69" s="405"/>
      <c r="O69" s="405"/>
    </row>
    <row r="70" spans="1:15" ht="15" customHeight="1" x14ac:dyDescent="0.3">
      <c r="A70" s="407" t="s">
        <v>33</v>
      </c>
      <c r="B70" s="407"/>
      <c r="C70" s="407"/>
      <c r="D70" s="407"/>
      <c r="E70" s="408"/>
      <c r="F70" s="409"/>
      <c r="G70" s="410"/>
      <c r="H70" s="410"/>
      <c r="I70" s="410"/>
      <c r="J70" s="410"/>
      <c r="K70" s="410"/>
      <c r="L70" s="410" t="s">
        <v>34</v>
      </c>
    </row>
  </sheetData>
  <sheetProtection algorithmName="SHA-512" hashValue="02Z07agC2Y5EdiTbomnvJGEekf4s8vUXqHNi2BWxhxAUqALmX38mFdkA46s/jwVKUzceyeIDkjcnC6C6TxnW9g==" saltValue="o+ubyJHiLkCDt6Ze08GOvQ==" spinCount="100000" sheet="1" objects="1" scenarios="1" formatCells="0" formatColumns="0" formatRows="0"/>
  <mergeCells count="3">
    <mergeCell ref="A3:D3"/>
    <mergeCell ref="A68:L68"/>
    <mergeCell ref="B8:L8"/>
  </mergeCells>
  <conditionalFormatting sqref="A33:L39 A43:L66">
    <cfRule type="expression" dxfId="121" priority="2">
      <formula>$A33=""</formula>
    </cfRule>
  </conditionalFormatting>
  <conditionalFormatting sqref="A33:L39 A43:L67">
    <cfRule type="expression" dxfId="120" priority="4">
      <formula>OR(LEFT($D33,5)="Study",LEFT($D33,4)="Year",LEFT($D33,2)="50",LEFT($D33,2)="25")</formula>
    </cfRule>
  </conditionalFormatting>
  <conditionalFormatting sqref="D5:D7">
    <cfRule type="containsText" dxfId="119" priority="8" operator="containsText" text="Choose">
      <formula>NOT(ISERROR(SEARCH("Choose",D5)))</formula>
    </cfRule>
  </conditionalFormatting>
  <conditionalFormatting sqref="H11:K29">
    <cfRule type="expression" dxfId="118" priority="1">
      <formula>$E11=LEFT(H$10,4)</formula>
    </cfRule>
  </conditionalFormatting>
  <dataValidations count="1">
    <dataValidation type="list" allowBlank="1" showInputMessage="1" showErrorMessage="1" sqref="L25 L15" xr:uid="{00000000-0002-0000-0000-000000000000}"/>
  </dataValidations>
  <hyperlinks>
    <hyperlink ref="A69:L6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2"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Unitsets!$A$47:$A$49</xm:f>
          </x14:formula1>
          <xm:sqref>D7</xm:sqref>
        </x14:dataValidation>
        <x14:dataValidation type="list" showInputMessage="1" showErrorMessage="1" xr:uid="{00000000-0002-0000-0000-000002000000}">
          <x14:formula1>
            <xm:f>Unitsets!$A$32:$A$37</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4"/>
  <sheetViews>
    <sheetView workbookViewId="0">
      <selection activeCell="B61" sqref="B61"/>
    </sheetView>
  </sheetViews>
  <sheetFormatPr defaultRowHeight="15.6" x14ac:dyDescent="0.3"/>
  <cols>
    <col min="1" max="1" width="12.296875" bestFit="1" customWidth="1"/>
    <col min="2" max="5" width="5.3984375" bestFit="1" customWidth="1"/>
    <col min="6" max="6" width="12" bestFit="1" customWidth="1"/>
    <col min="7" max="7" width="9.5" bestFit="1" customWidth="1"/>
    <col min="8" max="8" width="11.09765625" bestFit="1" customWidth="1"/>
    <col min="9" max="12" width="1.8984375" bestFit="1" customWidth="1"/>
  </cols>
  <sheetData>
    <row r="1" spans="1:12" x14ac:dyDescent="0.3">
      <c r="A1" s="66"/>
      <c r="F1" s="150" t="s">
        <v>690</v>
      </c>
      <c r="G1" s="151">
        <v>45631</v>
      </c>
    </row>
    <row r="2" spans="1:12" ht="75" x14ac:dyDescent="0.3">
      <c r="A2" t="s">
        <v>739</v>
      </c>
      <c r="B2" s="205" t="s">
        <v>740</v>
      </c>
      <c r="C2" s="205" t="s">
        <v>741</v>
      </c>
      <c r="D2" s="205" t="s">
        <v>742</v>
      </c>
      <c r="E2" s="205" t="s">
        <v>743</v>
      </c>
    </row>
    <row r="3" spans="1:12" x14ac:dyDescent="0.3">
      <c r="A3" s="243" t="s">
        <v>118</v>
      </c>
      <c r="B3" s="244">
        <v>1</v>
      </c>
      <c r="C3" s="244">
        <v>1</v>
      </c>
      <c r="D3" s="244">
        <v>1</v>
      </c>
      <c r="E3" s="244">
        <v>1</v>
      </c>
      <c r="H3" t="s">
        <v>56</v>
      </c>
      <c r="I3">
        <v>1</v>
      </c>
      <c r="K3">
        <v>1</v>
      </c>
    </row>
    <row r="4" spans="1:12" x14ac:dyDescent="0.3">
      <c r="A4" s="243" t="s">
        <v>119</v>
      </c>
      <c r="B4" s="244">
        <v>1</v>
      </c>
      <c r="C4" s="244">
        <v>1</v>
      </c>
      <c r="D4" s="244">
        <v>1</v>
      </c>
      <c r="E4" s="244">
        <v>1</v>
      </c>
      <c r="H4" t="s">
        <v>177</v>
      </c>
      <c r="I4">
        <v>1</v>
      </c>
      <c r="J4">
        <v>1</v>
      </c>
      <c r="K4">
        <v>1</v>
      </c>
      <c r="L4">
        <v>1</v>
      </c>
    </row>
    <row r="5" spans="1:12" x14ac:dyDescent="0.3">
      <c r="A5" s="243" t="s">
        <v>120</v>
      </c>
      <c r="B5" s="244">
        <v>1</v>
      </c>
      <c r="C5" s="244">
        <v>1</v>
      </c>
      <c r="D5" s="244">
        <v>1</v>
      </c>
      <c r="E5" s="244">
        <v>1</v>
      </c>
      <c r="H5" t="s">
        <v>155</v>
      </c>
      <c r="I5">
        <v>1</v>
      </c>
      <c r="J5">
        <v>1</v>
      </c>
      <c r="K5">
        <v>1</v>
      </c>
      <c r="L5">
        <v>1</v>
      </c>
    </row>
    <row r="6" spans="1:12" x14ac:dyDescent="0.3">
      <c r="A6" s="243" t="s">
        <v>396</v>
      </c>
      <c r="B6" s="244">
        <v>1</v>
      </c>
      <c r="C6" s="244">
        <v>1</v>
      </c>
      <c r="D6" s="244">
        <v>1</v>
      </c>
      <c r="E6" s="244">
        <v>1</v>
      </c>
      <c r="H6" t="s">
        <v>84</v>
      </c>
      <c r="I6">
        <v>1</v>
      </c>
      <c r="K6">
        <v>1</v>
      </c>
    </row>
    <row r="7" spans="1:12" x14ac:dyDescent="0.3">
      <c r="A7" s="243" t="s">
        <v>398</v>
      </c>
      <c r="B7" s="244">
        <v>1</v>
      </c>
      <c r="C7" s="244">
        <v>1</v>
      </c>
      <c r="D7" s="244">
        <v>1</v>
      </c>
      <c r="E7" s="244">
        <v>1</v>
      </c>
      <c r="H7" t="s">
        <v>189</v>
      </c>
      <c r="I7">
        <v>1</v>
      </c>
    </row>
    <row r="8" spans="1:12" x14ac:dyDescent="0.3">
      <c r="A8" s="243" t="s">
        <v>280</v>
      </c>
      <c r="B8" s="244">
        <v>1</v>
      </c>
      <c r="C8" s="244">
        <v>1</v>
      </c>
      <c r="D8" s="244">
        <v>1</v>
      </c>
      <c r="E8" s="244">
        <v>1</v>
      </c>
      <c r="H8" t="s">
        <v>195</v>
      </c>
      <c r="I8">
        <v>1</v>
      </c>
    </row>
    <row r="9" spans="1:12" x14ac:dyDescent="0.3">
      <c r="A9" s="243" t="s">
        <v>284</v>
      </c>
      <c r="B9" s="244">
        <v>1</v>
      </c>
      <c r="C9" s="244">
        <v>1</v>
      </c>
      <c r="D9" s="244">
        <v>1</v>
      </c>
      <c r="E9" s="244">
        <v>1</v>
      </c>
      <c r="H9" t="s">
        <v>202</v>
      </c>
      <c r="K9">
        <v>1</v>
      </c>
    </row>
    <row r="10" spans="1:12" x14ac:dyDescent="0.3">
      <c r="A10" s="243" t="s">
        <v>285</v>
      </c>
      <c r="B10" s="244">
        <v>1</v>
      </c>
      <c r="C10" s="244">
        <v>1</v>
      </c>
      <c r="D10" s="244">
        <v>1</v>
      </c>
      <c r="E10" s="244">
        <v>1</v>
      </c>
      <c r="H10" t="s">
        <v>208</v>
      </c>
      <c r="I10">
        <v>1</v>
      </c>
    </row>
    <row r="11" spans="1:12" x14ac:dyDescent="0.3">
      <c r="A11" s="243" t="s">
        <v>286</v>
      </c>
      <c r="B11" s="244">
        <v>1</v>
      </c>
      <c r="C11" s="244">
        <v>1</v>
      </c>
      <c r="D11" s="244">
        <v>1</v>
      </c>
      <c r="E11" s="244">
        <v>1</v>
      </c>
      <c r="H11" t="s">
        <v>211</v>
      </c>
      <c r="I11">
        <v>1</v>
      </c>
    </row>
    <row r="12" spans="1:12" x14ac:dyDescent="0.3">
      <c r="A12" s="243" t="s">
        <v>358</v>
      </c>
      <c r="B12" s="244">
        <v>1</v>
      </c>
      <c r="C12" s="244">
        <v>1</v>
      </c>
      <c r="D12" s="244">
        <v>1</v>
      </c>
      <c r="E12" s="244">
        <v>1</v>
      </c>
      <c r="H12" t="s">
        <v>214</v>
      </c>
      <c r="K12">
        <v>1</v>
      </c>
    </row>
    <row r="13" spans="1:12" x14ac:dyDescent="0.3">
      <c r="A13" s="243" t="s">
        <v>359</v>
      </c>
      <c r="B13" s="244">
        <v>1</v>
      </c>
      <c r="C13" s="244">
        <v>1</v>
      </c>
      <c r="D13" s="244">
        <v>1</v>
      </c>
      <c r="E13" s="244">
        <v>1</v>
      </c>
      <c r="H13" t="s">
        <v>218</v>
      </c>
      <c r="I13">
        <v>1</v>
      </c>
    </row>
    <row r="14" spans="1:12" x14ac:dyDescent="0.3">
      <c r="A14" s="243" t="s">
        <v>356</v>
      </c>
      <c r="B14" s="244">
        <v>1</v>
      </c>
      <c r="C14" s="244">
        <v>1</v>
      </c>
      <c r="D14" s="244">
        <v>1</v>
      </c>
      <c r="E14" s="244">
        <v>1</v>
      </c>
      <c r="H14" t="s">
        <v>158</v>
      </c>
      <c r="K14">
        <v>1</v>
      </c>
    </row>
    <row r="15" spans="1:12" x14ac:dyDescent="0.3">
      <c r="A15" s="243" t="s">
        <v>357</v>
      </c>
      <c r="B15" s="244">
        <v>1</v>
      </c>
      <c r="C15" s="244">
        <v>1</v>
      </c>
      <c r="D15" s="244">
        <v>1</v>
      </c>
      <c r="E15" s="244">
        <v>1</v>
      </c>
      <c r="H15" t="s">
        <v>275</v>
      </c>
      <c r="I15">
        <v>1</v>
      </c>
      <c r="J15">
        <v>1</v>
      </c>
    </row>
    <row r="16" spans="1:12" x14ac:dyDescent="0.3">
      <c r="A16" s="243" t="s">
        <v>121</v>
      </c>
      <c r="B16" s="244">
        <v>1</v>
      </c>
      <c r="C16" s="244">
        <v>1</v>
      </c>
      <c r="D16" s="244">
        <v>1</v>
      </c>
      <c r="E16" s="244">
        <v>1</v>
      </c>
      <c r="H16" t="s">
        <v>277</v>
      </c>
      <c r="I16">
        <v>1</v>
      </c>
      <c r="J16">
        <v>1</v>
      </c>
    </row>
    <row r="17" spans="1:12" x14ac:dyDescent="0.3">
      <c r="A17" s="243" t="s">
        <v>122</v>
      </c>
      <c r="B17" s="244">
        <v>1</v>
      </c>
      <c r="C17" s="244">
        <v>1</v>
      </c>
      <c r="D17" s="244">
        <v>1</v>
      </c>
      <c r="E17" s="244">
        <v>1</v>
      </c>
      <c r="H17" t="s">
        <v>282</v>
      </c>
      <c r="I17">
        <v>1</v>
      </c>
      <c r="J17">
        <v>1</v>
      </c>
    </row>
    <row r="18" spans="1:12" x14ac:dyDescent="0.3">
      <c r="A18" t="s">
        <v>56</v>
      </c>
      <c r="B18" s="1">
        <v>1</v>
      </c>
      <c r="C18" s="1"/>
      <c r="D18" s="1">
        <v>1</v>
      </c>
      <c r="E18" s="1"/>
      <c r="H18" t="s">
        <v>283</v>
      </c>
      <c r="I18">
        <v>1</v>
      </c>
      <c r="J18">
        <v>1</v>
      </c>
    </row>
    <row r="19" spans="1:12" x14ac:dyDescent="0.3">
      <c r="A19" t="s">
        <v>177</v>
      </c>
      <c r="B19" s="1">
        <v>1</v>
      </c>
      <c r="C19" s="1">
        <v>1</v>
      </c>
      <c r="D19" s="1">
        <v>1</v>
      </c>
      <c r="E19" s="1">
        <v>1</v>
      </c>
      <c r="H19" t="s">
        <v>272</v>
      </c>
      <c r="K19">
        <v>1</v>
      </c>
      <c r="L19">
        <v>1</v>
      </c>
    </row>
    <row r="20" spans="1:12" x14ac:dyDescent="0.3">
      <c r="A20" t="s">
        <v>155</v>
      </c>
      <c r="B20" s="1">
        <v>1</v>
      </c>
      <c r="C20" s="1">
        <v>1</v>
      </c>
      <c r="D20" s="1">
        <v>1</v>
      </c>
      <c r="E20" s="1">
        <v>1</v>
      </c>
      <c r="H20" t="s">
        <v>273</v>
      </c>
      <c r="I20">
        <v>1</v>
      </c>
      <c r="J20">
        <v>1</v>
      </c>
    </row>
    <row r="21" spans="1:12" x14ac:dyDescent="0.3">
      <c r="A21" t="s">
        <v>84</v>
      </c>
      <c r="B21" s="1">
        <v>1</v>
      </c>
      <c r="C21" s="1"/>
      <c r="D21" s="1">
        <v>1</v>
      </c>
      <c r="E21" s="1"/>
      <c r="H21" t="s">
        <v>281</v>
      </c>
      <c r="K21">
        <v>1</v>
      </c>
      <c r="L21">
        <v>1</v>
      </c>
    </row>
    <row r="22" spans="1:12" x14ac:dyDescent="0.3">
      <c r="A22" t="s">
        <v>189</v>
      </c>
      <c r="B22" s="1">
        <v>1</v>
      </c>
      <c r="C22" s="1"/>
      <c r="D22" s="1"/>
      <c r="E22" s="1"/>
      <c r="H22" t="s">
        <v>274</v>
      </c>
      <c r="K22">
        <v>1</v>
      </c>
      <c r="L22">
        <v>1</v>
      </c>
    </row>
    <row r="23" spans="1:12" x14ac:dyDescent="0.3">
      <c r="A23" t="s">
        <v>195</v>
      </c>
      <c r="B23" s="1">
        <v>1</v>
      </c>
      <c r="C23" s="1"/>
      <c r="D23" s="1"/>
      <c r="E23" s="1"/>
      <c r="H23" t="s">
        <v>290</v>
      </c>
      <c r="I23">
        <v>1</v>
      </c>
      <c r="J23">
        <v>1</v>
      </c>
    </row>
    <row r="24" spans="1:12" x14ac:dyDescent="0.3">
      <c r="A24" t="s">
        <v>202</v>
      </c>
      <c r="B24" s="1"/>
      <c r="C24" s="1"/>
      <c r="D24" s="1">
        <v>1</v>
      </c>
      <c r="E24" s="1"/>
      <c r="H24" t="s">
        <v>319</v>
      </c>
      <c r="K24">
        <v>1</v>
      </c>
      <c r="L24">
        <v>1</v>
      </c>
    </row>
    <row r="25" spans="1:12" x14ac:dyDescent="0.3">
      <c r="A25" t="s">
        <v>208</v>
      </c>
      <c r="B25" s="1">
        <v>1</v>
      </c>
      <c r="C25" s="1"/>
      <c r="D25" s="1"/>
      <c r="E25" s="1"/>
      <c r="H25" t="s">
        <v>271</v>
      </c>
      <c r="I25">
        <v>1</v>
      </c>
      <c r="J25">
        <v>1</v>
      </c>
    </row>
    <row r="26" spans="1:12" x14ac:dyDescent="0.3">
      <c r="A26" t="s">
        <v>211</v>
      </c>
      <c r="B26" s="1">
        <v>1</v>
      </c>
      <c r="C26" s="1"/>
      <c r="D26" s="1"/>
      <c r="E26" s="1"/>
      <c r="H26" t="s">
        <v>270</v>
      </c>
      <c r="K26">
        <v>1</v>
      </c>
      <c r="L26">
        <v>1</v>
      </c>
    </row>
    <row r="27" spans="1:12" x14ac:dyDescent="0.3">
      <c r="A27" t="s">
        <v>214</v>
      </c>
      <c r="B27" s="1"/>
      <c r="C27" s="1"/>
      <c r="D27" s="1">
        <v>1</v>
      </c>
      <c r="E27" s="1"/>
      <c r="H27" t="s">
        <v>181</v>
      </c>
      <c r="I27">
        <v>1</v>
      </c>
      <c r="J27">
        <v>1</v>
      </c>
      <c r="K27">
        <v>1</v>
      </c>
      <c r="L27">
        <v>1</v>
      </c>
    </row>
    <row r="28" spans="1:12" x14ac:dyDescent="0.3">
      <c r="A28" t="s">
        <v>218</v>
      </c>
      <c r="B28" s="1">
        <v>1</v>
      </c>
      <c r="C28" s="1"/>
      <c r="D28" s="1"/>
      <c r="E28" s="1"/>
      <c r="H28" t="s">
        <v>161</v>
      </c>
      <c r="I28">
        <v>1</v>
      </c>
      <c r="J28">
        <v>1</v>
      </c>
      <c r="K28">
        <v>1</v>
      </c>
      <c r="L28">
        <v>1</v>
      </c>
    </row>
    <row r="29" spans="1:12" x14ac:dyDescent="0.3">
      <c r="A29" t="s">
        <v>158</v>
      </c>
      <c r="B29" s="1"/>
      <c r="C29" s="1"/>
      <c r="D29" s="1">
        <v>1</v>
      </c>
      <c r="E29" s="1">
        <v>1</v>
      </c>
      <c r="H29" t="s">
        <v>199</v>
      </c>
      <c r="K29">
        <v>1</v>
      </c>
      <c r="L29">
        <v>1</v>
      </c>
    </row>
    <row r="30" spans="1:12" x14ac:dyDescent="0.3">
      <c r="A30" t="s">
        <v>275</v>
      </c>
      <c r="B30" s="1">
        <v>1</v>
      </c>
      <c r="C30" s="1">
        <v>1</v>
      </c>
      <c r="D30" s="1"/>
      <c r="E30" s="1"/>
      <c r="H30" t="s">
        <v>178</v>
      </c>
      <c r="I30">
        <v>1</v>
      </c>
      <c r="J30">
        <v>1</v>
      </c>
    </row>
    <row r="31" spans="1:12" x14ac:dyDescent="0.3">
      <c r="A31" t="s">
        <v>277</v>
      </c>
      <c r="B31" s="1">
        <v>1</v>
      </c>
      <c r="C31" s="1">
        <v>1</v>
      </c>
      <c r="D31" s="1"/>
      <c r="E31" s="1"/>
      <c r="H31" t="s">
        <v>320</v>
      </c>
      <c r="L31">
        <v>1</v>
      </c>
    </row>
    <row r="32" spans="1:12" x14ac:dyDescent="0.3">
      <c r="A32" t="s">
        <v>282</v>
      </c>
      <c r="B32" s="1">
        <v>1</v>
      </c>
      <c r="C32" s="1">
        <v>1</v>
      </c>
      <c r="D32" s="1"/>
      <c r="E32" s="1"/>
      <c r="H32" t="s">
        <v>372</v>
      </c>
      <c r="K32">
        <v>1</v>
      </c>
      <c r="L32">
        <v>1</v>
      </c>
    </row>
    <row r="33" spans="1:12" x14ac:dyDescent="0.3">
      <c r="A33" t="s">
        <v>283</v>
      </c>
      <c r="B33" s="1">
        <v>1</v>
      </c>
      <c r="C33" s="1">
        <v>1</v>
      </c>
      <c r="D33" s="1"/>
      <c r="E33" s="1"/>
      <c r="H33" t="s">
        <v>352</v>
      </c>
      <c r="I33">
        <v>1</v>
      </c>
      <c r="J33">
        <v>1</v>
      </c>
    </row>
    <row r="34" spans="1:12" x14ac:dyDescent="0.3">
      <c r="A34" t="s">
        <v>272</v>
      </c>
      <c r="B34" s="1"/>
      <c r="C34" s="1"/>
      <c r="D34" s="1">
        <v>1</v>
      </c>
      <c r="E34" s="1">
        <v>1</v>
      </c>
      <c r="H34" t="s">
        <v>376</v>
      </c>
      <c r="I34">
        <v>1</v>
      </c>
      <c r="J34">
        <v>1</v>
      </c>
    </row>
    <row r="35" spans="1:12" x14ac:dyDescent="0.3">
      <c r="A35" t="s">
        <v>273</v>
      </c>
      <c r="B35" s="1">
        <v>1</v>
      </c>
      <c r="C35" s="1">
        <v>1</v>
      </c>
      <c r="D35" s="1"/>
      <c r="E35" s="1"/>
      <c r="H35" t="s">
        <v>321</v>
      </c>
      <c r="K35">
        <v>1</v>
      </c>
      <c r="L35">
        <v>1</v>
      </c>
    </row>
    <row r="36" spans="1:12" x14ac:dyDescent="0.3">
      <c r="A36" t="s">
        <v>281</v>
      </c>
      <c r="B36" s="1"/>
      <c r="C36" s="1"/>
      <c r="D36" s="1">
        <v>1</v>
      </c>
      <c r="E36" s="1">
        <v>1</v>
      </c>
      <c r="H36" t="s">
        <v>378</v>
      </c>
      <c r="I36">
        <v>1</v>
      </c>
      <c r="J36">
        <v>1</v>
      </c>
    </row>
    <row r="37" spans="1:12" x14ac:dyDescent="0.3">
      <c r="A37" t="s">
        <v>274</v>
      </c>
      <c r="B37" s="1"/>
      <c r="C37" s="1"/>
      <c r="D37" s="1">
        <v>1</v>
      </c>
      <c r="E37" s="1">
        <v>1</v>
      </c>
      <c r="H37" t="s">
        <v>353</v>
      </c>
      <c r="I37">
        <v>1</v>
      </c>
      <c r="J37">
        <v>1</v>
      </c>
    </row>
    <row r="38" spans="1:12" x14ac:dyDescent="0.3">
      <c r="A38" t="s">
        <v>271</v>
      </c>
      <c r="B38" s="1">
        <v>1</v>
      </c>
      <c r="C38" s="1">
        <v>1</v>
      </c>
      <c r="D38" s="1"/>
      <c r="E38" s="1"/>
      <c r="H38" t="s">
        <v>205</v>
      </c>
      <c r="I38">
        <v>1</v>
      </c>
      <c r="J38">
        <v>1</v>
      </c>
      <c r="K38">
        <v>1</v>
      </c>
      <c r="L38">
        <v>1</v>
      </c>
    </row>
    <row r="39" spans="1:12" x14ac:dyDescent="0.3">
      <c r="A39" t="s">
        <v>270</v>
      </c>
      <c r="B39" s="1"/>
      <c r="C39" s="1"/>
      <c r="D39" s="1">
        <v>1</v>
      </c>
      <c r="E39" s="1">
        <v>1</v>
      </c>
      <c r="H39" t="s">
        <v>305</v>
      </c>
      <c r="K39">
        <v>1</v>
      </c>
    </row>
    <row r="40" spans="1:12" x14ac:dyDescent="0.3">
      <c r="A40" t="s">
        <v>181</v>
      </c>
      <c r="B40" s="1">
        <v>1</v>
      </c>
      <c r="C40" s="1">
        <v>1</v>
      </c>
      <c r="D40" s="1">
        <v>1</v>
      </c>
      <c r="E40" s="1">
        <v>1</v>
      </c>
      <c r="H40" t="s">
        <v>302</v>
      </c>
      <c r="I40">
        <v>1</v>
      </c>
    </row>
    <row r="41" spans="1:12" x14ac:dyDescent="0.3">
      <c r="A41" t="s">
        <v>161</v>
      </c>
      <c r="B41" s="1">
        <v>1</v>
      </c>
      <c r="C41" s="1">
        <v>1</v>
      </c>
      <c r="D41" s="1">
        <v>1</v>
      </c>
      <c r="E41" s="1">
        <v>1</v>
      </c>
      <c r="H41" t="s">
        <v>301</v>
      </c>
      <c r="I41">
        <v>1</v>
      </c>
    </row>
    <row r="42" spans="1:12" x14ac:dyDescent="0.3">
      <c r="A42" t="s">
        <v>199</v>
      </c>
      <c r="B42" s="1"/>
      <c r="C42" s="1"/>
      <c r="D42" s="1">
        <v>1</v>
      </c>
      <c r="E42" s="1">
        <v>1</v>
      </c>
      <c r="H42" t="s">
        <v>307</v>
      </c>
      <c r="K42">
        <v>1</v>
      </c>
    </row>
    <row r="43" spans="1:12" x14ac:dyDescent="0.3">
      <c r="A43" t="s">
        <v>178</v>
      </c>
      <c r="B43" s="1">
        <v>1</v>
      </c>
      <c r="C43" s="1">
        <v>1</v>
      </c>
      <c r="D43" s="1"/>
      <c r="E43" s="1"/>
      <c r="H43" t="s">
        <v>210</v>
      </c>
      <c r="I43">
        <v>1</v>
      </c>
    </row>
    <row r="44" spans="1:12" x14ac:dyDescent="0.3">
      <c r="A44" t="s">
        <v>190</v>
      </c>
      <c r="B44" s="1"/>
      <c r="C44" s="1"/>
      <c r="D44" s="1"/>
      <c r="E44" s="1"/>
      <c r="H44" t="s">
        <v>318</v>
      </c>
      <c r="I44">
        <v>1</v>
      </c>
    </row>
    <row r="45" spans="1:12" x14ac:dyDescent="0.3">
      <c r="A45" t="s">
        <v>369</v>
      </c>
      <c r="B45" s="1">
        <v>1</v>
      </c>
      <c r="C45" s="1">
        <v>1</v>
      </c>
      <c r="D45" s="1"/>
      <c r="E45" s="1"/>
      <c r="H45" t="s">
        <v>309</v>
      </c>
      <c r="K45">
        <v>1</v>
      </c>
    </row>
    <row r="46" spans="1:12" x14ac:dyDescent="0.3">
      <c r="A46" t="s">
        <v>320</v>
      </c>
      <c r="B46" s="1"/>
      <c r="C46" s="1"/>
      <c r="D46" s="1">
        <v>1</v>
      </c>
      <c r="E46" s="1">
        <v>1</v>
      </c>
      <c r="H46" t="s">
        <v>304</v>
      </c>
      <c r="I46">
        <v>1</v>
      </c>
    </row>
    <row r="47" spans="1:12" x14ac:dyDescent="0.3">
      <c r="A47" t="s">
        <v>372</v>
      </c>
      <c r="B47" s="1"/>
      <c r="C47" s="1"/>
      <c r="D47" s="1">
        <v>1</v>
      </c>
      <c r="E47" s="1">
        <v>1</v>
      </c>
      <c r="H47" t="s">
        <v>306</v>
      </c>
      <c r="K47">
        <v>1</v>
      </c>
    </row>
    <row r="48" spans="1:12" x14ac:dyDescent="0.3">
      <c r="A48" t="s">
        <v>352</v>
      </c>
      <c r="B48" s="1"/>
      <c r="C48" s="1"/>
      <c r="D48" s="1">
        <v>1</v>
      </c>
      <c r="E48" s="1">
        <v>1</v>
      </c>
      <c r="H48" t="s">
        <v>312</v>
      </c>
      <c r="I48">
        <v>1</v>
      </c>
      <c r="K48">
        <v>1</v>
      </c>
    </row>
    <row r="49" spans="1:12" x14ac:dyDescent="0.3">
      <c r="A49" t="s">
        <v>376</v>
      </c>
      <c r="B49" s="1">
        <v>1</v>
      </c>
      <c r="C49" s="1">
        <v>1</v>
      </c>
      <c r="D49" s="1"/>
      <c r="E49" s="1"/>
      <c r="H49" t="s">
        <v>156</v>
      </c>
      <c r="I49">
        <v>1</v>
      </c>
      <c r="J49">
        <v>1</v>
      </c>
      <c r="K49">
        <v>1</v>
      </c>
      <c r="L49">
        <v>1</v>
      </c>
    </row>
    <row r="50" spans="1:12" x14ac:dyDescent="0.3">
      <c r="A50" t="s">
        <v>321</v>
      </c>
      <c r="B50" s="1"/>
      <c r="C50" s="1"/>
      <c r="D50" s="1">
        <v>1</v>
      </c>
      <c r="E50" s="1">
        <v>1</v>
      </c>
      <c r="H50" t="s">
        <v>162</v>
      </c>
      <c r="K50">
        <v>1</v>
      </c>
      <c r="L50">
        <v>1</v>
      </c>
    </row>
    <row r="51" spans="1:12" x14ac:dyDescent="0.3">
      <c r="A51" t="s">
        <v>378</v>
      </c>
      <c r="B51" s="1">
        <v>1</v>
      </c>
      <c r="C51" s="1">
        <v>1</v>
      </c>
      <c r="D51" s="1"/>
      <c r="E51" s="1"/>
      <c r="H51" t="s">
        <v>212</v>
      </c>
      <c r="L51">
        <v>1</v>
      </c>
    </row>
    <row r="52" spans="1:12" x14ac:dyDescent="0.3">
      <c r="A52" t="s">
        <v>353</v>
      </c>
      <c r="B52" s="1">
        <v>1</v>
      </c>
      <c r="C52" s="1">
        <v>1</v>
      </c>
      <c r="D52" s="1"/>
      <c r="E52" s="1"/>
      <c r="H52" t="s">
        <v>215</v>
      </c>
      <c r="I52">
        <v>1</v>
      </c>
      <c r="J52">
        <v>1</v>
      </c>
    </row>
    <row r="53" spans="1:12" x14ac:dyDescent="0.3">
      <c r="A53" t="s">
        <v>205</v>
      </c>
      <c r="B53" s="1">
        <v>1</v>
      </c>
      <c r="C53" s="1">
        <v>1</v>
      </c>
      <c r="D53" s="1">
        <v>1</v>
      </c>
      <c r="E53" s="1">
        <v>1</v>
      </c>
      <c r="H53" t="s">
        <v>182</v>
      </c>
      <c r="K53">
        <v>1</v>
      </c>
      <c r="L53">
        <v>1</v>
      </c>
    </row>
    <row r="54" spans="1:12" x14ac:dyDescent="0.3">
      <c r="A54" t="s">
        <v>305</v>
      </c>
      <c r="B54" s="1">
        <v>1</v>
      </c>
      <c r="C54" s="1"/>
      <c r="D54" s="1"/>
      <c r="E54" s="1"/>
      <c r="H54" t="s">
        <v>223</v>
      </c>
      <c r="K54">
        <v>1</v>
      </c>
      <c r="L54">
        <v>1</v>
      </c>
    </row>
    <row r="55" spans="1:12" x14ac:dyDescent="0.3">
      <c r="A55" t="s">
        <v>302</v>
      </c>
      <c r="B55" s="1">
        <v>1</v>
      </c>
      <c r="C55" s="1"/>
      <c r="D55" s="1"/>
      <c r="E55" s="1"/>
      <c r="H55" t="s">
        <v>227</v>
      </c>
      <c r="J55">
        <v>1</v>
      </c>
    </row>
    <row r="56" spans="1:12" x14ac:dyDescent="0.3">
      <c r="A56" t="s">
        <v>301</v>
      </c>
      <c r="B56" s="1">
        <v>1</v>
      </c>
      <c r="C56" s="1"/>
      <c r="D56" s="1"/>
      <c r="E56" s="1"/>
      <c r="H56" t="s">
        <v>229</v>
      </c>
      <c r="L56">
        <v>1</v>
      </c>
    </row>
    <row r="57" spans="1:12" x14ac:dyDescent="0.3">
      <c r="A57" t="s">
        <v>307</v>
      </c>
      <c r="B57" s="1"/>
      <c r="C57" s="1"/>
      <c r="D57" s="1">
        <v>1</v>
      </c>
      <c r="E57" s="1"/>
      <c r="H57" t="s">
        <v>164</v>
      </c>
      <c r="I57">
        <v>1</v>
      </c>
      <c r="J57">
        <v>1</v>
      </c>
    </row>
    <row r="58" spans="1:12" x14ac:dyDescent="0.3">
      <c r="A58" t="s">
        <v>210</v>
      </c>
      <c r="B58" s="1"/>
      <c r="C58" s="1"/>
      <c r="D58" s="1">
        <v>1</v>
      </c>
      <c r="E58" s="1"/>
      <c r="H58" t="s">
        <v>231</v>
      </c>
      <c r="I58">
        <v>1</v>
      </c>
      <c r="J58">
        <v>1</v>
      </c>
    </row>
    <row r="59" spans="1:12" x14ac:dyDescent="0.3">
      <c r="A59" t="s">
        <v>318</v>
      </c>
      <c r="B59" s="1">
        <v>1</v>
      </c>
      <c r="C59" s="1"/>
      <c r="D59" s="1"/>
      <c r="E59" s="1"/>
      <c r="H59" t="s">
        <v>322</v>
      </c>
      <c r="K59">
        <v>1</v>
      </c>
      <c r="L59">
        <v>1</v>
      </c>
    </row>
    <row r="60" spans="1:12" x14ac:dyDescent="0.3">
      <c r="A60" t="s">
        <v>309</v>
      </c>
      <c r="B60" s="1"/>
      <c r="C60" s="1"/>
      <c r="D60" s="1">
        <v>1</v>
      </c>
      <c r="E60" s="1"/>
      <c r="H60" t="s">
        <v>351</v>
      </c>
      <c r="I60">
        <v>1</v>
      </c>
      <c r="J60">
        <v>1</v>
      </c>
    </row>
    <row r="61" spans="1:12" x14ac:dyDescent="0.3">
      <c r="A61" t="s">
        <v>304</v>
      </c>
      <c r="B61" s="1">
        <v>1</v>
      </c>
      <c r="C61" s="1"/>
      <c r="D61" s="1"/>
      <c r="E61" s="1"/>
      <c r="H61" t="s">
        <v>350</v>
      </c>
      <c r="I61">
        <v>1</v>
      </c>
      <c r="J61">
        <v>1</v>
      </c>
    </row>
    <row r="62" spans="1:12" x14ac:dyDescent="0.3">
      <c r="A62" t="s">
        <v>306</v>
      </c>
      <c r="B62" s="1"/>
      <c r="C62" s="1"/>
      <c r="D62" s="1">
        <v>1</v>
      </c>
      <c r="E62" s="1"/>
      <c r="H62" t="s">
        <v>323</v>
      </c>
      <c r="K62">
        <v>1</v>
      </c>
      <c r="L62">
        <v>1</v>
      </c>
    </row>
    <row r="63" spans="1:12" x14ac:dyDescent="0.3">
      <c r="A63" t="s">
        <v>312</v>
      </c>
      <c r="B63" s="1">
        <v>1</v>
      </c>
      <c r="C63" s="1"/>
      <c r="D63" s="1"/>
      <c r="E63" s="1"/>
      <c r="H63" t="s">
        <v>239</v>
      </c>
      <c r="I63">
        <v>1</v>
      </c>
    </row>
    <row r="64" spans="1:12" x14ac:dyDescent="0.3">
      <c r="A64" t="s">
        <v>196</v>
      </c>
      <c r="B64" s="1"/>
      <c r="C64" s="1"/>
      <c r="D64" s="1">
        <v>1</v>
      </c>
      <c r="E64" s="1"/>
      <c r="H64" t="s">
        <v>184</v>
      </c>
      <c r="I64">
        <v>1</v>
      </c>
    </row>
    <row r="65" spans="1:11" x14ac:dyDescent="0.3">
      <c r="A65" t="s">
        <v>156</v>
      </c>
      <c r="B65" s="1">
        <v>1</v>
      </c>
      <c r="C65" s="1">
        <v>1</v>
      </c>
      <c r="D65" s="1">
        <v>1</v>
      </c>
      <c r="E65" s="1">
        <v>1</v>
      </c>
      <c r="H65" t="s">
        <v>187</v>
      </c>
      <c r="K65">
        <v>1</v>
      </c>
    </row>
    <row r="66" spans="1:11" x14ac:dyDescent="0.3">
      <c r="A66" t="s">
        <v>162</v>
      </c>
      <c r="B66" s="1"/>
      <c r="C66" s="1"/>
      <c r="D66" s="1">
        <v>1</v>
      </c>
      <c r="E66" s="1">
        <v>1</v>
      </c>
      <c r="H66" t="s">
        <v>230</v>
      </c>
      <c r="K66">
        <v>1</v>
      </c>
    </row>
    <row r="67" spans="1:11" x14ac:dyDescent="0.3">
      <c r="A67" t="s">
        <v>212</v>
      </c>
      <c r="B67" s="1"/>
      <c r="C67" s="1"/>
      <c r="D67" s="1"/>
      <c r="E67" s="1">
        <v>1</v>
      </c>
      <c r="H67" t="s">
        <v>192</v>
      </c>
      <c r="I67">
        <v>1</v>
      </c>
    </row>
    <row r="68" spans="1:11" x14ac:dyDescent="0.3">
      <c r="A68" t="s">
        <v>215</v>
      </c>
      <c r="B68" s="1">
        <v>1</v>
      </c>
      <c r="C68" s="1">
        <v>1</v>
      </c>
      <c r="D68" s="1"/>
      <c r="E68" s="1"/>
      <c r="H68" t="s">
        <v>198</v>
      </c>
      <c r="I68">
        <v>1</v>
      </c>
    </row>
    <row r="69" spans="1:11" x14ac:dyDescent="0.3">
      <c r="A69" t="s">
        <v>182</v>
      </c>
      <c r="B69" s="1"/>
      <c r="C69" s="1"/>
      <c r="D69" s="1">
        <v>1</v>
      </c>
      <c r="E69" s="1">
        <v>1</v>
      </c>
      <c r="H69" t="s">
        <v>204</v>
      </c>
      <c r="K69">
        <v>1</v>
      </c>
    </row>
    <row r="70" spans="1:11" x14ac:dyDescent="0.3">
      <c r="A70" t="s">
        <v>223</v>
      </c>
      <c r="B70" s="1"/>
      <c r="C70" s="1"/>
      <c r="D70" s="1">
        <v>1</v>
      </c>
      <c r="E70" s="1">
        <v>1</v>
      </c>
      <c r="H70" t="s">
        <v>209</v>
      </c>
      <c r="K70">
        <v>1</v>
      </c>
    </row>
    <row r="71" spans="1:11" x14ac:dyDescent="0.3">
      <c r="A71" t="s">
        <v>227</v>
      </c>
      <c r="B71" s="1"/>
      <c r="C71" s="1">
        <v>1</v>
      </c>
      <c r="D71" s="1"/>
      <c r="E71" s="1"/>
      <c r="H71" t="s">
        <v>244</v>
      </c>
      <c r="I71">
        <v>1</v>
      </c>
    </row>
    <row r="72" spans="1:11" x14ac:dyDescent="0.3">
      <c r="A72" t="s">
        <v>229</v>
      </c>
      <c r="B72" s="1"/>
      <c r="C72" s="1"/>
      <c r="D72" s="1"/>
      <c r="E72" s="1">
        <v>1</v>
      </c>
      <c r="H72" t="s">
        <v>80</v>
      </c>
      <c r="I72">
        <v>1</v>
      </c>
      <c r="K72">
        <v>1</v>
      </c>
    </row>
    <row r="73" spans="1:11" x14ac:dyDescent="0.3">
      <c r="A73" t="s">
        <v>164</v>
      </c>
      <c r="B73" s="1">
        <v>1</v>
      </c>
      <c r="C73" s="1">
        <v>1</v>
      </c>
      <c r="D73" s="1"/>
      <c r="E73" s="1"/>
      <c r="H73" t="s">
        <v>67</v>
      </c>
      <c r="I73">
        <v>1</v>
      </c>
    </row>
    <row r="74" spans="1:11" x14ac:dyDescent="0.3">
      <c r="A74" t="s">
        <v>231</v>
      </c>
      <c r="B74" s="1">
        <v>1</v>
      </c>
      <c r="C74" s="1">
        <v>1</v>
      </c>
      <c r="D74" s="1"/>
      <c r="E74" s="1"/>
      <c r="H74" t="s">
        <v>68</v>
      </c>
      <c r="K74">
        <v>1</v>
      </c>
    </row>
    <row r="75" spans="1:11" x14ac:dyDescent="0.3">
      <c r="A75" t="s">
        <v>322</v>
      </c>
      <c r="B75" s="1">
        <v>1</v>
      </c>
      <c r="C75" s="1">
        <v>1</v>
      </c>
      <c r="D75" s="1"/>
      <c r="E75" s="1"/>
      <c r="H75" t="s">
        <v>219</v>
      </c>
      <c r="I75">
        <v>1</v>
      </c>
    </row>
    <row r="76" spans="1:11" x14ac:dyDescent="0.3">
      <c r="A76" t="s">
        <v>351</v>
      </c>
      <c r="B76" s="1">
        <v>1</v>
      </c>
      <c r="C76" s="1">
        <v>1</v>
      </c>
      <c r="D76" s="1"/>
      <c r="E76" s="1"/>
      <c r="H76" t="s">
        <v>224</v>
      </c>
      <c r="I76">
        <v>1</v>
      </c>
    </row>
    <row r="77" spans="1:11" x14ac:dyDescent="0.3">
      <c r="A77" t="s">
        <v>350</v>
      </c>
      <c r="B77" s="1"/>
      <c r="C77" s="1"/>
      <c r="D77" s="1">
        <v>1</v>
      </c>
      <c r="E77" s="1">
        <v>1</v>
      </c>
      <c r="H77" t="s">
        <v>75</v>
      </c>
      <c r="I77">
        <v>1</v>
      </c>
      <c r="K77">
        <v>1</v>
      </c>
    </row>
    <row r="78" spans="1:11" x14ac:dyDescent="0.3">
      <c r="A78" t="s">
        <v>323</v>
      </c>
      <c r="B78" s="1"/>
      <c r="C78" s="1"/>
      <c r="D78" s="1">
        <v>1</v>
      </c>
      <c r="E78" s="1">
        <v>1</v>
      </c>
      <c r="H78" t="s">
        <v>91</v>
      </c>
      <c r="I78">
        <v>1</v>
      </c>
      <c r="K78">
        <v>1</v>
      </c>
    </row>
    <row r="79" spans="1:11" x14ac:dyDescent="0.3">
      <c r="A79" t="s">
        <v>239</v>
      </c>
      <c r="B79" s="1">
        <v>1</v>
      </c>
      <c r="C79" s="1"/>
      <c r="D79" s="1"/>
      <c r="E79" s="1"/>
      <c r="H79" t="s">
        <v>101</v>
      </c>
      <c r="I79">
        <v>1</v>
      </c>
    </row>
    <row r="80" spans="1:11" x14ac:dyDescent="0.3">
      <c r="A80" t="s">
        <v>184</v>
      </c>
      <c r="B80" s="1">
        <v>1</v>
      </c>
      <c r="C80" s="1"/>
      <c r="D80" s="1"/>
      <c r="E80" s="1"/>
      <c r="H80" t="s">
        <v>157</v>
      </c>
      <c r="I80">
        <v>1</v>
      </c>
    </row>
    <row r="81" spans="1:12" x14ac:dyDescent="0.3">
      <c r="A81" t="s">
        <v>187</v>
      </c>
      <c r="B81" s="1"/>
      <c r="C81" s="1"/>
      <c r="D81" s="1">
        <v>1</v>
      </c>
      <c r="E81" s="1"/>
      <c r="H81" t="s">
        <v>183</v>
      </c>
      <c r="I81">
        <v>1</v>
      </c>
      <c r="K81">
        <v>1</v>
      </c>
    </row>
    <row r="82" spans="1:12" x14ac:dyDescent="0.3">
      <c r="A82" t="s">
        <v>230</v>
      </c>
      <c r="B82" s="1"/>
      <c r="C82" s="1"/>
      <c r="D82" s="1">
        <v>1</v>
      </c>
      <c r="E82" s="1"/>
      <c r="H82" t="s">
        <v>163</v>
      </c>
      <c r="K82">
        <v>1</v>
      </c>
    </row>
    <row r="83" spans="1:12" x14ac:dyDescent="0.3">
      <c r="A83" t="s">
        <v>192</v>
      </c>
      <c r="B83" s="1">
        <v>1</v>
      </c>
      <c r="C83" s="1"/>
      <c r="D83" s="1"/>
      <c r="E83" s="1"/>
      <c r="H83" t="s">
        <v>191</v>
      </c>
      <c r="K83">
        <v>1</v>
      </c>
    </row>
    <row r="84" spans="1:12" x14ac:dyDescent="0.3">
      <c r="A84" t="s">
        <v>198</v>
      </c>
      <c r="B84" s="1">
        <v>1</v>
      </c>
      <c r="C84" s="1"/>
      <c r="D84" s="1"/>
      <c r="E84" s="1"/>
      <c r="H84" t="s">
        <v>197</v>
      </c>
      <c r="K84">
        <v>1</v>
      </c>
    </row>
    <row r="85" spans="1:12" x14ac:dyDescent="0.3">
      <c r="A85" t="s">
        <v>204</v>
      </c>
      <c r="B85" s="1"/>
      <c r="C85" s="1"/>
      <c r="D85" s="1">
        <v>1</v>
      </c>
      <c r="E85" s="1"/>
      <c r="H85" t="s">
        <v>203</v>
      </c>
      <c r="I85">
        <v>1</v>
      </c>
    </row>
    <row r="86" spans="1:12" x14ac:dyDescent="0.3">
      <c r="A86" t="s">
        <v>209</v>
      </c>
      <c r="B86" s="1"/>
      <c r="C86" s="1"/>
      <c r="D86" s="1">
        <v>1</v>
      </c>
      <c r="E86" s="1"/>
      <c r="H86" t="s">
        <v>233</v>
      </c>
      <c r="I86">
        <v>1</v>
      </c>
    </row>
    <row r="87" spans="1:12" x14ac:dyDescent="0.3">
      <c r="A87" t="s">
        <v>244</v>
      </c>
      <c r="B87" s="1">
        <v>1</v>
      </c>
      <c r="C87" s="1"/>
      <c r="D87" s="1"/>
      <c r="E87" s="1"/>
      <c r="H87" t="s">
        <v>235</v>
      </c>
      <c r="I87">
        <v>1</v>
      </c>
    </row>
    <row r="88" spans="1:12" x14ac:dyDescent="0.3">
      <c r="A88" t="s">
        <v>80</v>
      </c>
      <c r="B88" s="1">
        <v>1</v>
      </c>
      <c r="C88" s="1"/>
      <c r="D88" s="1">
        <v>1</v>
      </c>
      <c r="E88" s="1"/>
      <c r="H88" t="s">
        <v>237</v>
      </c>
      <c r="I88">
        <v>1</v>
      </c>
    </row>
    <row r="89" spans="1:12" x14ac:dyDescent="0.3">
      <c r="A89" t="s">
        <v>67</v>
      </c>
      <c r="B89" s="1">
        <v>1</v>
      </c>
      <c r="C89" s="1"/>
      <c r="D89" s="1"/>
      <c r="E89" s="1"/>
      <c r="H89" t="s">
        <v>118</v>
      </c>
      <c r="I89">
        <v>1</v>
      </c>
      <c r="J89">
        <v>1</v>
      </c>
      <c r="K89">
        <v>1</v>
      </c>
      <c r="L89">
        <v>1</v>
      </c>
    </row>
    <row r="90" spans="1:12" x14ac:dyDescent="0.3">
      <c r="A90" t="s">
        <v>68</v>
      </c>
      <c r="B90" s="1"/>
      <c r="C90" s="1"/>
      <c r="D90" s="1">
        <v>1</v>
      </c>
      <c r="E90" s="1"/>
      <c r="H90" t="s">
        <v>118</v>
      </c>
      <c r="I90">
        <v>1</v>
      </c>
      <c r="J90">
        <v>1</v>
      </c>
      <c r="K90">
        <v>1</v>
      </c>
      <c r="L90">
        <v>1</v>
      </c>
    </row>
    <row r="91" spans="1:12" x14ac:dyDescent="0.3">
      <c r="A91" t="s">
        <v>219</v>
      </c>
      <c r="B91" s="1">
        <v>1</v>
      </c>
      <c r="C91" s="1"/>
      <c r="D91" s="1"/>
      <c r="E91" s="1"/>
      <c r="H91" t="s">
        <v>120</v>
      </c>
      <c r="I91">
        <v>1</v>
      </c>
      <c r="J91">
        <v>1</v>
      </c>
      <c r="K91">
        <v>1</v>
      </c>
      <c r="L91">
        <v>1</v>
      </c>
    </row>
    <row r="92" spans="1:12" x14ac:dyDescent="0.3">
      <c r="A92" t="s">
        <v>224</v>
      </c>
      <c r="B92" s="1">
        <v>1</v>
      </c>
      <c r="C92" s="1"/>
      <c r="D92" s="1"/>
      <c r="E92" s="1"/>
      <c r="H92" t="s">
        <v>121</v>
      </c>
      <c r="I92">
        <v>1</v>
      </c>
      <c r="J92">
        <v>1</v>
      </c>
      <c r="K92">
        <v>1</v>
      </c>
      <c r="L92">
        <v>1</v>
      </c>
    </row>
    <row r="93" spans="1:12" x14ac:dyDescent="0.3">
      <c r="A93" t="s">
        <v>75</v>
      </c>
      <c r="B93" s="1">
        <v>1</v>
      </c>
      <c r="C93" s="1"/>
      <c r="D93" s="1">
        <v>1</v>
      </c>
      <c r="E93" s="1"/>
      <c r="H93" t="s">
        <v>122</v>
      </c>
      <c r="I93">
        <v>1</v>
      </c>
      <c r="J93">
        <v>1</v>
      </c>
      <c r="K93">
        <v>1</v>
      </c>
      <c r="L93">
        <v>1</v>
      </c>
    </row>
    <row r="94" spans="1:12" x14ac:dyDescent="0.3">
      <c r="A94" t="s">
        <v>91</v>
      </c>
      <c r="B94" s="1">
        <v>1</v>
      </c>
      <c r="C94" s="1"/>
      <c r="D94" s="1">
        <v>1</v>
      </c>
      <c r="E94" s="1"/>
      <c r="H94" t="s">
        <v>285</v>
      </c>
      <c r="I94">
        <v>1</v>
      </c>
      <c r="J94">
        <v>1</v>
      </c>
      <c r="K94">
        <v>1</v>
      </c>
      <c r="L94">
        <v>1</v>
      </c>
    </row>
    <row r="95" spans="1:12" x14ac:dyDescent="0.3">
      <c r="A95" t="s">
        <v>101</v>
      </c>
      <c r="B95" s="1">
        <v>1</v>
      </c>
      <c r="C95" s="1"/>
      <c r="D95" s="1"/>
      <c r="E95" s="1"/>
      <c r="H95" t="s">
        <v>286</v>
      </c>
      <c r="I95">
        <v>1</v>
      </c>
      <c r="J95">
        <v>1</v>
      </c>
      <c r="K95">
        <v>1</v>
      </c>
      <c r="L95">
        <v>1</v>
      </c>
    </row>
    <row r="96" spans="1:12" x14ac:dyDescent="0.3">
      <c r="A96" t="s">
        <v>157</v>
      </c>
      <c r="B96" s="1">
        <v>1</v>
      </c>
      <c r="C96" s="1"/>
      <c r="D96" s="1"/>
      <c r="E96" s="1"/>
      <c r="H96" t="s">
        <v>280</v>
      </c>
      <c r="I96">
        <v>1</v>
      </c>
      <c r="J96">
        <v>1</v>
      </c>
      <c r="K96">
        <v>1</v>
      </c>
      <c r="L96">
        <v>1</v>
      </c>
    </row>
    <row r="97" spans="1:12" x14ac:dyDescent="0.3">
      <c r="A97" t="s">
        <v>183</v>
      </c>
      <c r="B97" s="1">
        <v>1</v>
      </c>
      <c r="C97" s="1"/>
      <c r="D97" s="1">
        <v>1</v>
      </c>
      <c r="E97" s="1"/>
      <c r="H97" t="s">
        <v>284</v>
      </c>
      <c r="I97">
        <v>1</v>
      </c>
      <c r="J97">
        <v>1</v>
      </c>
      <c r="K97">
        <v>1</v>
      </c>
      <c r="L97">
        <v>1</v>
      </c>
    </row>
    <row r="98" spans="1:12" x14ac:dyDescent="0.3">
      <c r="A98" t="s">
        <v>163</v>
      </c>
      <c r="B98" s="1"/>
      <c r="C98" s="1"/>
      <c r="D98" s="1">
        <v>1</v>
      </c>
      <c r="E98" s="1"/>
      <c r="H98" t="s">
        <v>369</v>
      </c>
      <c r="I98">
        <v>1</v>
      </c>
      <c r="J98">
        <v>1</v>
      </c>
    </row>
    <row r="99" spans="1:12" x14ac:dyDescent="0.3">
      <c r="A99" t="s">
        <v>191</v>
      </c>
      <c r="B99" s="1"/>
      <c r="C99" s="1"/>
      <c r="D99" s="1">
        <v>1</v>
      </c>
      <c r="E99" s="1"/>
      <c r="H99" t="s">
        <v>358</v>
      </c>
      <c r="I99">
        <v>1</v>
      </c>
      <c r="J99">
        <v>1</v>
      </c>
      <c r="K99">
        <v>1</v>
      </c>
      <c r="L99">
        <v>1</v>
      </c>
    </row>
    <row r="100" spans="1:12" x14ac:dyDescent="0.3">
      <c r="A100" t="s">
        <v>197</v>
      </c>
      <c r="B100" s="1"/>
      <c r="C100" s="1"/>
      <c r="D100" s="1">
        <v>1</v>
      </c>
      <c r="E100" s="1"/>
      <c r="H100" t="s">
        <v>359</v>
      </c>
      <c r="I100">
        <v>1</v>
      </c>
      <c r="J100">
        <v>1</v>
      </c>
      <c r="K100">
        <v>1</v>
      </c>
      <c r="L100">
        <v>1</v>
      </c>
    </row>
    <row r="101" spans="1:12" x14ac:dyDescent="0.3">
      <c r="A101" t="s">
        <v>203</v>
      </c>
      <c r="B101" s="1">
        <v>1</v>
      </c>
      <c r="C101" s="1"/>
      <c r="D101" s="1"/>
      <c r="E101" s="1"/>
      <c r="H101" t="s">
        <v>356</v>
      </c>
      <c r="I101">
        <v>1</v>
      </c>
      <c r="J101">
        <v>1</v>
      </c>
      <c r="K101">
        <v>1</v>
      </c>
      <c r="L101">
        <v>1</v>
      </c>
    </row>
    <row r="102" spans="1:12" x14ac:dyDescent="0.3">
      <c r="A102" t="s">
        <v>233</v>
      </c>
      <c r="B102" s="1">
        <v>1</v>
      </c>
      <c r="C102" s="1"/>
      <c r="D102" s="1"/>
      <c r="E102" s="1"/>
      <c r="H102" t="s">
        <v>357</v>
      </c>
      <c r="I102">
        <v>1</v>
      </c>
      <c r="J102">
        <v>1</v>
      </c>
      <c r="K102">
        <v>1</v>
      </c>
      <c r="L102">
        <v>1</v>
      </c>
    </row>
    <row r="103" spans="1:12" x14ac:dyDescent="0.3">
      <c r="A103" t="s">
        <v>235</v>
      </c>
      <c r="B103" s="1">
        <v>1</v>
      </c>
      <c r="C103" s="1"/>
      <c r="D103" s="1"/>
      <c r="E103" s="1"/>
      <c r="H103" t="s">
        <v>396</v>
      </c>
      <c r="I103">
        <v>1</v>
      </c>
      <c r="J103">
        <v>1</v>
      </c>
      <c r="K103">
        <v>1</v>
      </c>
      <c r="L103">
        <v>1</v>
      </c>
    </row>
    <row r="104" spans="1:12" x14ac:dyDescent="0.3">
      <c r="A104" t="s">
        <v>237</v>
      </c>
      <c r="B104" s="1">
        <v>1</v>
      </c>
      <c r="C104" s="1"/>
      <c r="D104" s="1"/>
      <c r="E104" s="1"/>
      <c r="H104" t="s">
        <v>398</v>
      </c>
      <c r="I104">
        <v>1</v>
      </c>
      <c r="J104">
        <v>1</v>
      </c>
      <c r="K104">
        <v>1</v>
      </c>
      <c r="L104">
        <v>1</v>
      </c>
    </row>
  </sheetData>
  <conditionalFormatting sqref="A3:A104">
    <cfRule type="duplicateValues" dxfId="4" priority="555"/>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W43"/>
  <sheetViews>
    <sheetView showGridLines="0" topLeftCell="A3" zoomScaleNormal="100" workbookViewId="0">
      <selection activeCell="B61" sqref="B61"/>
    </sheetView>
  </sheetViews>
  <sheetFormatPr defaultColWidth="9" defaultRowHeight="14.4" x14ac:dyDescent="0.3"/>
  <cols>
    <col min="1" max="1" width="11.19921875" style="9" customWidth="1"/>
    <col min="2" max="2" width="3.19921875" style="9" customWidth="1"/>
    <col min="3" max="3" width="5.8984375" style="9" customWidth="1"/>
    <col min="4" max="4" width="49.8984375" style="8" bestFit="1" customWidth="1"/>
    <col min="5" max="5" width="7.19921875" style="8" customWidth="1"/>
    <col min="6" max="6" width="23.5" style="8" customWidth="1"/>
    <col min="7" max="7" width="5.59765625" style="8" customWidth="1"/>
    <col min="8" max="11" width="4.59765625" style="8" customWidth="1"/>
    <col min="12" max="12" width="18.59765625" style="8" customWidth="1"/>
    <col min="13" max="13" width="2.5" style="8" hidden="1" customWidth="1"/>
    <col min="14" max="16384" width="9" style="8"/>
  </cols>
  <sheetData>
    <row r="1" spans="1:23" hidden="1" x14ac:dyDescent="0.3">
      <c r="A1" s="4" t="s">
        <v>0</v>
      </c>
      <c r="B1" s="5" t="s">
        <v>1</v>
      </c>
      <c r="C1" s="5" t="s">
        <v>2</v>
      </c>
      <c r="D1" s="6" t="s">
        <v>3</v>
      </c>
      <c r="E1" s="6"/>
      <c r="F1" s="6" t="s">
        <v>4</v>
      </c>
      <c r="G1" s="6" t="s">
        <v>5</v>
      </c>
      <c r="H1" s="7" t="s">
        <v>6</v>
      </c>
      <c r="I1" s="6"/>
      <c r="J1" s="6"/>
      <c r="K1" s="6"/>
      <c r="L1" s="6" t="s">
        <v>7</v>
      </c>
      <c r="M1" s="118"/>
    </row>
    <row r="2" spans="1:23" hidden="1" x14ac:dyDescent="0.3">
      <c r="A2" s="105"/>
      <c r="B2" s="142">
        <v>2</v>
      </c>
      <c r="C2" s="142">
        <v>3</v>
      </c>
      <c r="D2" s="142">
        <v>4</v>
      </c>
      <c r="E2" s="142"/>
      <c r="F2" s="142">
        <v>6</v>
      </c>
      <c r="G2" s="142">
        <v>5</v>
      </c>
      <c r="H2" s="142">
        <v>7</v>
      </c>
      <c r="I2" s="142">
        <v>8</v>
      </c>
      <c r="J2" s="142">
        <v>9</v>
      </c>
      <c r="K2" s="142">
        <v>10</v>
      </c>
      <c r="L2" s="106"/>
      <c r="M2" s="118"/>
    </row>
    <row r="3" spans="1:23" ht="39.9" customHeight="1" x14ac:dyDescent="0.3">
      <c r="A3" s="295" t="s">
        <v>8</v>
      </c>
      <c r="B3" s="295"/>
      <c r="C3" s="295"/>
      <c r="D3" s="295"/>
      <c r="E3" s="121"/>
      <c r="F3" s="121"/>
      <c r="G3" s="121"/>
      <c r="H3" s="121"/>
      <c r="I3" s="121"/>
      <c r="J3" s="121"/>
      <c r="K3" s="121"/>
      <c r="L3" s="121"/>
      <c r="M3" s="118"/>
    </row>
    <row r="4" spans="1:23" ht="24.6" x14ac:dyDescent="0.3">
      <c r="A4" s="182"/>
      <c r="B4" s="183"/>
      <c r="C4" s="183"/>
      <c r="D4" s="187"/>
      <c r="E4" s="185" t="s">
        <v>9</v>
      </c>
      <c r="F4" s="183"/>
      <c r="G4" s="186"/>
      <c r="H4" s="186"/>
      <c r="I4" s="186"/>
      <c r="J4" s="186"/>
      <c r="K4" s="186"/>
      <c r="L4" s="186"/>
      <c r="M4" s="118"/>
    </row>
    <row r="5" spans="1:23" ht="20.100000000000001" customHeight="1" x14ac:dyDescent="0.3">
      <c r="B5" s="10"/>
      <c r="C5" s="104" t="s">
        <v>10</v>
      </c>
      <c r="D5" s="201" t="s">
        <v>105</v>
      </c>
      <c r="E5" s="11"/>
      <c r="F5" s="104" t="s">
        <v>12</v>
      </c>
      <c r="G5" s="11" t="str">
        <f>IFERROR(CONCATENATE(VLOOKUP(D5,TableCourses[],2,FALSE)," ",VLOOKUP(D5,TableCourses[],3,FALSE)),"")</f>
        <v>GC-NETSCM v.2</v>
      </c>
      <c r="H5" s="11"/>
      <c r="I5" s="11"/>
      <c r="J5" s="11"/>
      <c r="K5" s="11"/>
      <c r="L5" s="122" t="str">
        <f>CONCATENATE(VLOOKUP(D5,TableCourses[],2,FALSE),VLOOKUP(D6,TableStudyPeriods[],2,FALSE))</f>
        <v>GC-NETSCMSem2</v>
      </c>
      <c r="M5" s="118"/>
    </row>
    <row r="6" spans="1:23" ht="20.100000000000001" customHeight="1" x14ac:dyDescent="0.3">
      <c r="A6" s="12"/>
      <c r="B6" s="13"/>
      <c r="C6" s="104" t="s">
        <v>16</v>
      </c>
      <c r="D6" s="11" t="s">
        <v>228</v>
      </c>
      <c r="E6" s="14"/>
      <c r="F6" s="104" t="s">
        <v>18</v>
      </c>
      <c r="G6" s="11" t="str">
        <f>IFERROR(VLOOKUP($D$5,TableCourses[],7,FALSE),"")</f>
        <v>100 credit points required</v>
      </c>
      <c r="H6" s="61"/>
      <c r="I6" s="61"/>
      <c r="J6" s="61"/>
      <c r="K6" s="61"/>
      <c r="L6" s="61"/>
      <c r="M6" s="119"/>
      <c r="N6" s="15"/>
      <c r="O6" s="15"/>
      <c r="P6" s="15"/>
      <c r="Q6" s="15"/>
      <c r="R6" s="15"/>
      <c r="S6" s="15"/>
      <c r="T6" s="15"/>
      <c r="U6" s="15"/>
      <c r="V6" s="15"/>
      <c r="W6" s="15"/>
    </row>
    <row r="7" spans="1:23" s="18" customFormat="1" ht="14.1" customHeight="1" x14ac:dyDescent="0.3">
      <c r="A7" s="132"/>
      <c r="B7" s="132"/>
      <c r="C7" s="132"/>
      <c r="D7" s="133"/>
      <c r="E7" s="134"/>
      <c r="F7" s="132"/>
      <c r="G7" s="132"/>
      <c r="H7" s="159" t="s">
        <v>20</v>
      </c>
      <c r="I7" s="135"/>
      <c r="J7" s="135"/>
      <c r="K7" s="136"/>
      <c r="L7" s="137"/>
      <c r="M7" s="116"/>
      <c r="N7" s="16"/>
      <c r="O7" s="16"/>
      <c r="P7" s="17"/>
      <c r="Q7" s="17"/>
      <c r="R7" s="17"/>
      <c r="S7" s="17"/>
      <c r="T7" s="17"/>
      <c r="U7" s="17"/>
      <c r="V7" s="17"/>
      <c r="W7" s="17"/>
    </row>
    <row r="8" spans="1:23" s="18" customFormat="1" ht="22.8" x14ac:dyDescent="0.3">
      <c r="A8" s="132" t="s">
        <v>21</v>
      </c>
      <c r="B8" s="132"/>
      <c r="C8" s="132"/>
      <c r="D8" s="133" t="s">
        <v>3</v>
      </c>
      <c r="E8" s="138" t="s">
        <v>22</v>
      </c>
      <c r="F8" s="132" t="s">
        <v>23</v>
      </c>
      <c r="G8" s="132" t="s">
        <v>24</v>
      </c>
      <c r="H8" s="139" t="s">
        <v>25</v>
      </c>
      <c r="I8" s="214" t="s">
        <v>26</v>
      </c>
      <c r="J8" s="138" t="s">
        <v>27</v>
      </c>
      <c r="K8" s="140" t="s">
        <v>28</v>
      </c>
      <c r="L8" s="141" t="s">
        <v>29</v>
      </c>
      <c r="M8" s="116"/>
      <c r="N8" s="16"/>
      <c r="O8" s="16"/>
      <c r="P8" s="17"/>
      <c r="Q8" s="17"/>
      <c r="R8" s="17"/>
      <c r="S8" s="17"/>
      <c r="T8" s="17"/>
      <c r="U8" s="17"/>
      <c r="V8" s="17"/>
      <c r="W8" s="17"/>
    </row>
    <row r="9" spans="1:23" s="21" customFormat="1" ht="20.100000000000001" customHeight="1" x14ac:dyDescent="0.25">
      <c r="A9" s="51" t="str">
        <f>IFERROR(IF(HLOOKUP($L$5,RangeNETSCMUnitsets,M9,FALSE)=0,"",HLOOKUP($L$5,RangeNETSCMUnitsets,M9,FALSE)),"")</f>
        <v>AC-NETSCM</v>
      </c>
      <c r="B9" s="45" t="str">
        <f>IFERROR(IF(VLOOKUP($A9,TableHandbook[],2,FALSE)=0,"",VLOOKUP($A9,TableHandbook[],2,FALSE)),"")</f>
        <v/>
      </c>
      <c r="C9" s="45" t="str">
        <f>IFERROR(IF(VLOOKUP($A9,TableHandbook[],3,FALSE)=0,"",VLOOKUP($A9,TableHandbook[],3,FALSE)),"")</f>
        <v/>
      </c>
      <c r="D9" s="52" t="str">
        <f>IFERROR(IF(VLOOKUP($A9,TableHandbook[],4,FALSE)=0,"",VLOOKUP($A9,TableHandbook[],4,FALSE)),"")</f>
        <v>Study either NETS5000 or NETS5001 (see below)</v>
      </c>
      <c r="E9" s="45" t="str">
        <f>IF(A9="","",VLOOKUP($D$6,TableStudyPeriods[],2,FALSE))</f>
        <v>Sem2</v>
      </c>
      <c r="F9" s="44" t="str">
        <f>IFERROR(IF(VLOOKUP($A9,TableHandbook[],6,FALSE)=0,"",VLOOKUP($A9,TableHandbook[],6,FALSE)),"")</f>
        <v>See below</v>
      </c>
      <c r="G9" s="45">
        <f>IFERROR(IF(VLOOKUP($A9,TableHandbook[],5,FALSE)=0,"",VLOOKUP($A9,TableHandbook[],5,FALSE)),"")</f>
        <v>25</v>
      </c>
      <c r="H9" s="55" t="str">
        <f>IFERROR(VLOOKUP($A9,TableHandbook[],H$2,FALSE),"")</f>
        <v/>
      </c>
      <c r="I9" s="215" t="str">
        <f>IFERROR(VLOOKUP($A9,TableHandbook[],I$2,FALSE),"")</f>
        <v/>
      </c>
      <c r="J9" s="45" t="str">
        <f>IFERROR(VLOOKUP($A9,TableHandbook[],J$2,FALSE),"")</f>
        <v/>
      </c>
      <c r="K9" s="56" t="str">
        <f>IFERROR(VLOOKUP($A9,TableHandbook[],K$2,FALSE),"")</f>
        <v/>
      </c>
      <c r="L9" s="53"/>
      <c r="M9" s="117">
        <v>2</v>
      </c>
      <c r="N9" s="19"/>
      <c r="O9" s="19"/>
      <c r="P9" s="20"/>
      <c r="Q9" s="20"/>
      <c r="R9" s="20"/>
      <c r="S9" s="20"/>
      <c r="T9" s="20"/>
      <c r="U9" s="20"/>
      <c r="V9" s="20"/>
      <c r="W9" s="20"/>
    </row>
    <row r="10" spans="1:23" s="21" customFormat="1" ht="20.100000000000001" customHeight="1" x14ac:dyDescent="0.25">
      <c r="A10" s="51" t="str">
        <f>IFERROR(IF(HLOOKUP($L$5,RangeNETSCMUnitsets,M10,FALSE)=0,"",HLOOKUP($L$5,RangeNETSCMUnitsets,M10,FALSE)),"")</f>
        <v>Opt-NETSCM</v>
      </c>
      <c r="B10" s="45" t="str">
        <f>IFERROR(IF(VLOOKUP($A10,TableHandbook[],2,FALSE)=0,"",VLOOKUP($A10,TableHandbook[],2,FALSE)),"")</f>
        <v/>
      </c>
      <c r="C10" s="45" t="str">
        <f>IFERROR(IF(VLOOKUP($A10,TableHandbook[],3,FALSE)=0,"",VLOOKUP($A10,TableHandbook[],3,FALSE)),"")</f>
        <v/>
      </c>
      <c r="D10" s="52" t="str">
        <f>IFERROR(IF(VLOOKUP($A10,TableHandbook[],4,FALSE)=0,"",VLOOKUP($A10,TableHandbook[],4,FALSE)),"")</f>
        <v>Study an Option unit from the list below</v>
      </c>
      <c r="E10" s="45" t="str">
        <f>IF(OR(A10="",A10="-"),"",E9)</f>
        <v>Sem2</v>
      </c>
      <c r="F10" s="44" t="str">
        <f>IFERROR(IF(VLOOKUP($A10,TableHandbook[],6,FALSE)=0,"",VLOOKUP($A10,TableHandbook[],6,FALSE)),"")</f>
        <v>See below</v>
      </c>
      <c r="G10" s="45">
        <f>IFERROR(IF(VLOOKUP($A10,TableHandbook[],5,FALSE)=0,"",VLOOKUP($A10,TableHandbook[],5,FALSE)),"")</f>
        <v>25</v>
      </c>
      <c r="H10" s="55" t="str">
        <f>IFERROR(VLOOKUP($A10,TableHandbook[],H$2,FALSE),"")</f>
        <v/>
      </c>
      <c r="I10" s="215" t="str">
        <f>IFERROR(VLOOKUP($A10,TableHandbook[],I$2,FALSE),"")</f>
        <v/>
      </c>
      <c r="J10" s="45" t="str">
        <f>IFERROR(VLOOKUP($A10,TableHandbook[],J$2,FALSE),"")</f>
        <v/>
      </c>
      <c r="K10" s="56" t="str">
        <f>IFERROR(VLOOKUP($A10,TableHandbook[],K$2,FALSE),"")</f>
        <v/>
      </c>
      <c r="L10" s="53"/>
      <c r="M10" s="117">
        <v>3</v>
      </c>
      <c r="N10" s="19"/>
      <c r="O10" s="19"/>
      <c r="P10" s="20"/>
      <c r="Q10" s="20"/>
      <c r="R10" s="20"/>
      <c r="S10" s="20"/>
      <c r="T10" s="20"/>
      <c r="U10" s="20"/>
      <c r="V10" s="20"/>
      <c r="W10" s="20"/>
    </row>
    <row r="11" spans="1:23" s="21" customFormat="1" ht="20.100000000000001" customHeight="1" x14ac:dyDescent="0.25">
      <c r="A11" s="51" t="str">
        <f>IFERROR(IF(HLOOKUP($L$5,RangeNETSCMUnitsets,M11,FALSE)=0,"",HLOOKUP($L$5,RangeNETSCMUnitsets,M11,FALSE)),"")</f>
        <v>Opt-NETSCM</v>
      </c>
      <c r="B11" s="45" t="str">
        <f>IFERROR(IF(VLOOKUP($A11,TableHandbook[],2,FALSE)=0,"",VLOOKUP($A11,TableHandbook[],2,FALSE)),"")</f>
        <v/>
      </c>
      <c r="C11" s="45" t="str">
        <f>IFERROR(IF(VLOOKUP($A11,TableHandbook[],3,FALSE)=0,"",VLOOKUP($A11,TableHandbook[],3,FALSE)),"")</f>
        <v/>
      </c>
      <c r="D11" s="52" t="str">
        <f>IFERROR(IF(VLOOKUP($A11,TableHandbook[],4,FALSE)=0,"",VLOOKUP($A11,TableHandbook[],4,FALSE)),"")</f>
        <v>Study an Option unit from the list below</v>
      </c>
      <c r="E11" s="45" t="str">
        <f t="shared" ref="E11:E12" si="0">IF(OR(A11="",A11="-"),"",E10)</f>
        <v>Sem2</v>
      </c>
      <c r="F11" s="44" t="str">
        <f>IFERROR(IF(VLOOKUP($A11,TableHandbook[],6,FALSE)=0,"",VLOOKUP($A11,TableHandbook[],6,FALSE)),"")</f>
        <v>See below</v>
      </c>
      <c r="G11" s="45">
        <f>IFERROR(IF(VLOOKUP($A11,TableHandbook[],5,FALSE)=0,"",VLOOKUP($A11,TableHandbook[],5,FALSE)),"")</f>
        <v>25</v>
      </c>
      <c r="H11" s="55" t="str">
        <f>IFERROR(VLOOKUP($A11,TableHandbook[],H$2,FALSE),"")</f>
        <v/>
      </c>
      <c r="I11" s="215" t="str">
        <f>IFERROR(VLOOKUP($A11,TableHandbook[],I$2,FALSE),"")</f>
        <v/>
      </c>
      <c r="J11" s="45" t="str">
        <f>IFERROR(VLOOKUP($A11,TableHandbook[],J$2,FALSE),"")</f>
        <v/>
      </c>
      <c r="K11" s="56" t="str">
        <f>IFERROR(VLOOKUP($A11,TableHandbook[],K$2,FALSE),"")</f>
        <v/>
      </c>
      <c r="L11" s="54"/>
      <c r="M11" s="117">
        <v>4</v>
      </c>
      <c r="N11" s="19"/>
      <c r="O11" s="19"/>
      <c r="P11" s="20"/>
      <c r="Q11" s="20"/>
      <c r="R11" s="20"/>
      <c r="S11" s="20"/>
      <c r="T11" s="20"/>
      <c r="U11" s="20"/>
      <c r="V11" s="20"/>
      <c r="W11" s="20"/>
    </row>
    <row r="12" spans="1:23" s="21" customFormat="1" ht="20.100000000000001" customHeight="1" x14ac:dyDescent="0.25">
      <c r="A12" s="51" t="str">
        <f>IFERROR(IF(HLOOKUP($L$5,RangeNETSCMUnitsets,M12,FALSE)=0,"",HLOOKUP($L$5,RangeNETSCMUnitsets,M12,FALSE)),"")</f>
        <v>Opt-NETSCM</v>
      </c>
      <c r="B12" s="45" t="str">
        <f>IFERROR(IF(VLOOKUP($A12,TableHandbook[],2,FALSE)=0,"",VLOOKUP($A12,TableHandbook[],2,FALSE)),"")</f>
        <v/>
      </c>
      <c r="C12" s="45" t="str">
        <f>IFERROR(IF(VLOOKUP($A12,TableHandbook[],3,FALSE)=0,"",VLOOKUP($A12,TableHandbook[],3,FALSE)),"")</f>
        <v/>
      </c>
      <c r="D12" s="52" t="str">
        <f>IFERROR(IF(VLOOKUP($A12,TableHandbook[],4,FALSE)=0,"",VLOOKUP($A12,TableHandbook[],4,FALSE)),"")</f>
        <v>Study an Option unit from the list below</v>
      </c>
      <c r="E12" s="45" t="str">
        <f t="shared" si="0"/>
        <v>Sem2</v>
      </c>
      <c r="F12" s="44" t="str">
        <f>IFERROR(IF(VLOOKUP($A12,TableHandbook[],6,FALSE)=0,"",VLOOKUP($A12,TableHandbook[],6,FALSE)),"")</f>
        <v>See below</v>
      </c>
      <c r="G12" s="45">
        <f>IFERROR(IF(VLOOKUP($A12,TableHandbook[],5,FALSE)=0,"",VLOOKUP($A12,TableHandbook[],5,FALSE)),"")</f>
        <v>25</v>
      </c>
      <c r="H12" s="55" t="str">
        <f>IFERROR(VLOOKUP($A12,TableHandbook[],H$2,FALSE),"")</f>
        <v/>
      </c>
      <c r="I12" s="215" t="str">
        <f>IFERROR(VLOOKUP($A12,TableHandbook[],I$2,FALSE),"")</f>
        <v/>
      </c>
      <c r="J12" s="45" t="str">
        <f>IFERROR(VLOOKUP($A12,TableHandbook[],J$2,FALSE),"")</f>
        <v/>
      </c>
      <c r="K12" s="56" t="str">
        <f>IFERROR(VLOOKUP($A12,TableHandbook[],K$2,FALSE),"")</f>
        <v/>
      </c>
      <c r="L12" s="53"/>
      <c r="M12" s="117">
        <v>5</v>
      </c>
      <c r="N12" s="19"/>
      <c r="O12" s="19"/>
      <c r="P12" s="20"/>
      <c r="Q12" s="20"/>
      <c r="R12" s="20"/>
      <c r="S12" s="20"/>
      <c r="T12" s="20"/>
      <c r="U12" s="20"/>
      <c r="V12" s="20"/>
      <c r="W12" s="20"/>
    </row>
    <row r="13" spans="1:23" s="21" customFormat="1" ht="5.0999999999999996" customHeight="1" x14ac:dyDescent="0.25">
      <c r="A13" s="22"/>
      <c r="B13" s="23"/>
      <c r="C13" s="23"/>
      <c r="D13" s="24"/>
      <c r="E13" s="23"/>
      <c r="F13" s="25"/>
      <c r="G13" s="23"/>
      <c r="H13" s="57"/>
      <c r="I13" s="218"/>
      <c r="J13" s="23"/>
      <c r="K13" s="58"/>
      <c r="L13" s="26"/>
      <c r="M13" s="117"/>
      <c r="N13" s="19"/>
      <c r="O13" s="19"/>
      <c r="P13" s="19"/>
      <c r="Q13" s="20"/>
      <c r="R13" s="20"/>
      <c r="S13" s="20"/>
      <c r="T13" s="20"/>
      <c r="U13" s="20"/>
      <c r="V13" s="20"/>
      <c r="W13" s="20"/>
    </row>
    <row r="14" spans="1:23" s="21" customFormat="1" ht="20.100000000000001" customHeight="1" x14ac:dyDescent="0.25">
      <c r="A14" s="51" t="str">
        <f>IFERROR(IF(HLOOKUP($L$5,RangeNETSCMUnitsets,M14,FALSE)=0,"",HLOOKUP($L$5,RangeNETSCMUnitsets,M14,FALSE)),"")</f>
        <v/>
      </c>
      <c r="B14" s="47" t="str">
        <f>IFERROR(IF(VLOOKUP($A14,TableHandbook[],2,FALSE)=0,"",VLOOKUP($A14,TableHandbook[],2,FALSE)),"")</f>
        <v/>
      </c>
      <c r="C14" s="47" t="str">
        <f>IFERROR(IF(VLOOKUP($A14,TableHandbook[],3,FALSE)=0,"",VLOOKUP($A14,TableHandbook[],3,FALSE)),"")</f>
        <v/>
      </c>
      <c r="D14" s="52" t="str">
        <f>IFERROR(IF(VLOOKUP($A14,TableHandbook[],4,FALSE)=0,"",VLOOKUP($A14,TableHandbook[],4,FALSE)),"")</f>
        <v/>
      </c>
      <c r="E14" s="45" t="str">
        <f>IF(A14="","",VLOOKUP($D$6,TableStudyPeriods[],3,FALSE))</f>
        <v/>
      </c>
      <c r="F14" s="44" t="str">
        <f>IFERROR(IF(VLOOKUP($A14,TableHandbook[],6,FALSE)=0,"",VLOOKUP($A14,TableHandbook[],6,FALSE)),"")</f>
        <v/>
      </c>
      <c r="G14" s="47" t="str">
        <f>IFERROR(IF(VLOOKUP($A14,TableHandbook[],5,FALSE)=0,"",VLOOKUP($A14,TableHandbook[],5,FALSE)),"")</f>
        <v/>
      </c>
      <c r="H14" s="59" t="str">
        <f>IFERROR(VLOOKUP($A14,TableHandbook[],H$2,FALSE),"")</f>
        <v/>
      </c>
      <c r="I14" s="216" t="str">
        <f>IFERROR(VLOOKUP($A14,TableHandbook[],I$2,FALSE),"")</f>
        <v/>
      </c>
      <c r="J14" s="47" t="str">
        <f>IFERROR(VLOOKUP($A14,TableHandbook[],J$2,FALSE),"")</f>
        <v/>
      </c>
      <c r="K14" s="60" t="str">
        <f>IFERROR(VLOOKUP($A14,TableHandbook[],K$2,FALSE),"")</f>
        <v/>
      </c>
      <c r="L14" s="54"/>
      <c r="M14" s="117">
        <v>6</v>
      </c>
      <c r="N14" s="19"/>
      <c r="O14" s="19"/>
      <c r="P14" s="20"/>
      <c r="Q14" s="20"/>
      <c r="R14" s="20"/>
      <c r="S14" s="20"/>
      <c r="T14" s="20"/>
      <c r="U14" s="20"/>
      <c r="V14" s="20"/>
      <c r="W14" s="20"/>
    </row>
    <row r="15" spans="1:23" s="29" customFormat="1" ht="20.100000000000001" customHeight="1" x14ac:dyDescent="0.25">
      <c r="A15" s="51" t="str">
        <f>IFERROR(IF(HLOOKUP($L$5,RangeNETSCMUnitsets,M15,FALSE)=0,"",HLOOKUP($L$5,RangeNETSCMUnitsets,M15,FALSE)),"")</f>
        <v/>
      </c>
      <c r="B15" s="47" t="str">
        <f>IFERROR(IF(VLOOKUP($A15,TableHandbook[],2,FALSE)=0,"",VLOOKUP($A15,TableHandbook[],2,FALSE)),"")</f>
        <v/>
      </c>
      <c r="C15" s="47" t="str">
        <f>IFERROR(IF(VLOOKUP($A15,TableHandbook[],3,FALSE)=0,"",VLOOKUP($A15,TableHandbook[],3,FALSE)),"")</f>
        <v/>
      </c>
      <c r="D15" s="52" t="str">
        <f>IFERROR(IF(VLOOKUP($A15,TableHandbook[],4,FALSE)=0,"",VLOOKUP($A15,TableHandbook[],4,FALSE)),"")</f>
        <v/>
      </c>
      <c r="E15" s="45" t="str">
        <f>IF(OR(A15="",A15="-"),"",E14)</f>
        <v/>
      </c>
      <c r="F15" s="44" t="str">
        <f>IFERROR(IF(VLOOKUP($A15,TableHandbook[],6,FALSE)=0,"",VLOOKUP($A15,TableHandbook[],6,FALSE)),"")</f>
        <v/>
      </c>
      <c r="G15" s="47" t="str">
        <f>IFERROR(IF(VLOOKUP($A15,TableHandbook[],5,FALSE)=0,"",VLOOKUP($A15,TableHandbook[],5,FALSE)),"")</f>
        <v/>
      </c>
      <c r="H15" s="59" t="str">
        <f>IFERROR(VLOOKUP($A15,TableHandbook[],H$2,FALSE),"")</f>
        <v/>
      </c>
      <c r="I15" s="216" t="str">
        <f>IFERROR(VLOOKUP($A15,TableHandbook[],I$2,FALSE),"")</f>
        <v/>
      </c>
      <c r="J15" s="47" t="str">
        <f>IFERROR(VLOOKUP($A15,TableHandbook[],J$2,FALSE),"")</f>
        <v/>
      </c>
      <c r="K15" s="60" t="str">
        <f>IFERROR(VLOOKUP($A15,TableHandbook[],K$2,FALSE),"")</f>
        <v/>
      </c>
      <c r="L15" s="54"/>
      <c r="M15" s="117">
        <v>7</v>
      </c>
      <c r="N15" s="27"/>
      <c r="O15" s="27"/>
      <c r="P15" s="28"/>
      <c r="Q15" s="28"/>
      <c r="R15" s="28"/>
      <c r="S15" s="28"/>
      <c r="T15" s="28"/>
      <c r="U15" s="28"/>
      <c r="V15" s="28"/>
      <c r="W15" s="28"/>
    </row>
    <row r="16" spans="1:23" s="29" customFormat="1" ht="20.100000000000001" customHeight="1" x14ac:dyDescent="0.25">
      <c r="A16" s="51" t="str">
        <f>IFERROR(IF(HLOOKUP($L$5,RangeNETSCMUnitsets,M16,FALSE)=0,"",HLOOKUP($L$5,RangeNETSCMUnitsets,M16,FALSE)),"")</f>
        <v/>
      </c>
      <c r="B16" s="47" t="str">
        <f>IFERROR(IF(VLOOKUP($A16,TableHandbook[],2,FALSE)=0,"",VLOOKUP($A16,TableHandbook[],2,FALSE)),"")</f>
        <v/>
      </c>
      <c r="C16" s="47" t="str">
        <f>IFERROR(IF(VLOOKUP($A16,TableHandbook[],3,FALSE)=0,"",VLOOKUP($A16,TableHandbook[],3,FALSE)),"")</f>
        <v/>
      </c>
      <c r="D16" s="52" t="str">
        <f>IFERROR(IF(VLOOKUP($A16,TableHandbook[],4,FALSE)=0,"",VLOOKUP($A16,TableHandbook[],4,FALSE)),"")</f>
        <v/>
      </c>
      <c r="E16" s="45" t="str">
        <f t="shared" ref="E16:E17" si="1">IF(OR(A16="",A16="-"),"",E15)</f>
        <v/>
      </c>
      <c r="F16" s="44" t="str">
        <f>IFERROR(IF(VLOOKUP($A16,TableHandbook[],6,FALSE)=0,"",VLOOKUP($A16,TableHandbook[],6,FALSE)),"")</f>
        <v/>
      </c>
      <c r="G16" s="47" t="str">
        <f>IFERROR(IF(VLOOKUP($A16,TableHandbook[],5,FALSE)=0,"",VLOOKUP($A16,TableHandbook[],5,FALSE)),"")</f>
        <v/>
      </c>
      <c r="H16" s="59" t="str">
        <f>IFERROR(VLOOKUP($A16,TableHandbook[],H$2,FALSE),"")</f>
        <v/>
      </c>
      <c r="I16" s="216" t="str">
        <f>IFERROR(VLOOKUP($A16,TableHandbook[],I$2,FALSE),"")</f>
        <v/>
      </c>
      <c r="J16" s="47" t="str">
        <f>IFERROR(VLOOKUP($A16,TableHandbook[],J$2,FALSE),"")</f>
        <v/>
      </c>
      <c r="K16" s="60" t="str">
        <f>IFERROR(VLOOKUP($A16,TableHandbook[],K$2,FALSE),"")</f>
        <v/>
      </c>
      <c r="L16" s="54"/>
      <c r="M16" s="117">
        <v>8</v>
      </c>
      <c r="N16" s="27"/>
      <c r="O16" s="27"/>
      <c r="P16" s="28"/>
      <c r="Q16" s="28"/>
      <c r="R16" s="28"/>
      <c r="S16" s="28"/>
      <c r="T16" s="28"/>
      <c r="U16" s="28"/>
      <c r="V16" s="28"/>
      <c r="W16" s="28"/>
    </row>
    <row r="17" spans="1:23" s="29" customFormat="1" ht="20.100000000000001" customHeight="1" x14ac:dyDescent="0.25">
      <c r="A17" s="51" t="str">
        <f>IFERROR(IF(HLOOKUP($L$5,RangeNETSCMUnitsets,M17,FALSE)=0,"",HLOOKUP($L$5,RangeNETSCMUnitsets,M17,FALSE)),"")</f>
        <v/>
      </c>
      <c r="B17" s="47" t="str">
        <f>IFERROR(IF(VLOOKUP($A17,TableHandbook[],2,FALSE)=0,"",VLOOKUP($A17,TableHandbook[],2,FALSE)),"")</f>
        <v/>
      </c>
      <c r="C17" s="47" t="str">
        <f>IFERROR(IF(VLOOKUP($A17,TableHandbook[],3,FALSE)=0,"",VLOOKUP($A17,TableHandbook[],3,FALSE)),"")</f>
        <v/>
      </c>
      <c r="D17" s="50" t="str">
        <f>IFERROR(IF(VLOOKUP($A17,TableHandbook[],4,FALSE)=0,"",VLOOKUP($A17,TableHandbook[],4,FALSE)),"")</f>
        <v/>
      </c>
      <c r="E17" s="47" t="str">
        <f t="shared" si="1"/>
        <v/>
      </c>
      <c r="F17" s="44" t="str">
        <f>IFERROR(IF(VLOOKUP($A17,TableHandbook[],6,FALSE)=0,"",VLOOKUP($A17,TableHandbook[],6,FALSE)),"")</f>
        <v/>
      </c>
      <c r="G17" s="47" t="str">
        <f>IFERROR(IF(VLOOKUP($A17,TableHandbook[],5,FALSE)=0,"",VLOOKUP($A17,TableHandbook[],5,FALSE)),"")</f>
        <v/>
      </c>
      <c r="H17" s="59" t="str">
        <f>IFERROR(VLOOKUP($A17,TableHandbook[],H$2,FALSE),"")</f>
        <v/>
      </c>
      <c r="I17" s="216" t="str">
        <f>IFERROR(VLOOKUP($A17,TableHandbook[],I$2,FALSE),"")</f>
        <v/>
      </c>
      <c r="J17" s="47" t="str">
        <f>IFERROR(VLOOKUP($A17,TableHandbook[],J$2,FALSE),"")</f>
        <v/>
      </c>
      <c r="K17" s="60" t="str">
        <f>IFERROR(VLOOKUP($A17,TableHandbook[],K$2,FALSE),"")</f>
        <v/>
      </c>
      <c r="L17" s="54"/>
      <c r="M17" s="117">
        <v>9</v>
      </c>
      <c r="N17" s="27"/>
      <c r="O17" s="27"/>
      <c r="P17" s="28"/>
      <c r="Q17" s="28"/>
      <c r="R17" s="28"/>
      <c r="S17" s="28"/>
      <c r="T17" s="28"/>
      <c r="U17" s="28"/>
      <c r="V17" s="28"/>
      <c r="W17" s="28"/>
    </row>
    <row r="18" spans="1:23" s="18" customFormat="1" ht="22.8" x14ac:dyDescent="0.3">
      <c r="A18" s="132" t="s">
        <v>30</v>
      </c>
      <c r="B18" s="132"/>
      <c r="C18" s="132"/>
      <c r="D18" s="133" t="s">
        <v>3</v>
      </c>
      <c r="E18" s="138" t="s">
        <v>22</v>
      </c>
      <c r="F18" s="132" t="s">
        <v>23</v>
      </c>
      <c r="G18" s="132" t="s">
        <v>24</v>
      </c>
      <c r="H18" s="139" t="str">
        <f>H$8</f>
        <v>Sem1 BEN</v>
      </c>
      <c r="I18" s="214" t="str">
        <f t="shared" ref="I18:L18" si="2">I$8</f>
        <v>Sem1 FO</v>
      </c>
      <c r="J18" s="138" t="str">
        <f t="shared" si="2"/>
        <v>Sem2 BEN</v>
      </c>
      <c r="K18" s="140" t="str">
        <f t="shared" si="2"/>
        <v>Sem2 FO</v>
      </c>
      <c r="L18" s="141" t="str">
        <f t="shared" si="2"/>
        <v>Notes / Progress</v>
      </c>
      <c r="M18" s="116"/>
      <c r="N18" s="16"/>
      <c r="O18" s="16"/>
      <c r="P18" s="17"/>
      <c r="Q18" s="17"/>
      <c r="R18" s="17"/>
      <c r="S18" s="17"/>
      <c r="T18" s="17"/>
      <c r="U18" s="17"/>
      <c r="V18" s="17"/>
      <c r="W18" s="17"/>
    </row>
    <row r="19" spans="1:23" s="21" customFormat="1" ht="20.100000000000001" customHeight="1" x14ac:dyDescent="0.25">
      <c r="A19" s="51" t="str">
        <f>IFERROR(IF(HLOOKUP($L$5,RangeNETSCMUnitsets,M19,FALSE)=0,"",HLOOKUP($L$5,RangeNETSCMUnitsets,M19,FALSE)),"")</f>
        <v/>
      </c>
      <c r="B19" s="47" t="str">
        <f>IFERROR(IF(VLOOKUP($A19,TableHandbook[],2,FALSE)=0,"",VLOOKUP($A19,TableHandbook[],2,FALSE)),"")</f>
        <v/>
      </c>
      <c r="C19" s="47" t="str">
        <f>IFERROR(IF(VLOOKUP($A19,TableHandbook[],3,FALSE)=0,"",VLOOKUP($A19,TableHandbook[],3,FALSE)),"")</f>
        <v/>
      </c>
      <c r="D19" s="48" t="str">
        <f>IFERROR(IF(VLOOKUP($A19,TableHandbook[],4,FALSE)=0,"",VLOOKUP($A19,TableHandbook[],4,FALSE)),"")</f>
        <v/>
      </c>
      <c r="E19" s="47" t="str">
        <f>IF(A19="","",VLOOKUP($D$6,TableStudyPeriods[],2,FALSE))</f>
        <v/>
      </c>
      <c r="F19" s="44" t="str">
        <f>IFERROR(IF(VLOOKUP($A19,TableHandbook[],6,FALSE)=0,"",VLOOKUP($A19,TableHandbook[],6,FALSE)),"")</f>
        <v/>
      </c>
      <c r="G19" s="45" t="str">
        <f>IFERROR(IF(VLOOKUP($A19,TableHandbook[],5,FALSE)=0,"",VLOOKUP($A19,TableHandbook[],5,FALSE)),"")</f>
        <v/>
      </c>
      <c r="H19" s="55" t="str">
        <f>IFERROR(VLOOKUP($A19,TableHandbook[],H$2,FALSE),"")</f>
        <v/>
      </c>
      <c r="I19" s="215" t="str">
        <f>IFERROR(VLOOKUP($A19,TableHandbook[],I$2,FALSE),"")</f>
        <v/>
      </c>
      <c r="J19" s="45" t="str">
        <f>IFERROR(VLOOKUP($A19,TableHandbook[],J$2,FALSE),"")</f>
        <v/>
      </c>
      <c r="K19" s="56" t="str">
        <f>IFERROR(VLOOKUP($A19,TableHandbook[],K$2,FALSE),"")</f>
        <v/>
      </c>
      <c r="L19" s="53"/>
      <c r="M19" s="117">
        <v>10</v>
      </c>
      <c r="N19" s="19"/>
      <c r="O19" s="19"/>
      <c r="P19" s="20"/>
      <c r="Q19" s="20"/>
      <c r="R19" s="20"/>
      <c r="S19" s="20"/>
      <c r="T19" s="20"/>
      <c r="U19" s="20"/>
      <c r="V19" s="20"/>
      <c r="W19" s="20"/>
    </row>
    <row r="20" spans="1:23" s="21" customFormat="1" ht="20.100000000000001" customHeight="1" x14ac:dyDescent="0.25">
      <c r="A20" s="51" t="str">
        <f>IFERROR(IF(HLOOKUP($L$5,RangeNETSCMUnitsets,M20,FALSE)=0,"",HLOOKUP($L$5,RangeNETSCMUnitsets,M20,FALSE)),"")</f>
        <v/>
      </c>
      <c r="B20" s="47" t="str">
        <f>IFERROR(IF(VLOOKUP($A20,TableHandbook[],2,FALSE)=0,"",VLOOKUP($A20,TableHandbook[],2,FALSE)),"")</f>
        <v/>
      </c>
      <c r="C20" s="47" t="str">
        <f>IFERROR(IF(VLOOKUP($A20,TableHandbook[],3,FALSE)=0,"",VLOOKUP($A20,TableHandbook[],3,FALSE)),"")</f>
        <v/>
      </c>
      <c r="D20" s="50" t="str">
        <f>IFERROR(IF(VLOOKUP($A20,TableHandbook[],4,FALSE)=0,"",VLOOKUP($A20,TableHandbook[],4,FALSE)),"")</f>
        <v/>
      </c>
      <c r="E20" s="47" t="str">
        <f>IF(OR(A20="",A20="-"),"",E19)</f>
        <v/>
      </c>
      <c r="F20" s="44" t="str">
        <f>IFERROR(IF(VLOOKUP($A20,TableHandbook[],6,FALSE)=0,"",VLOOKUP($A20,TableHandbook[],6,FALSE)),"")</f>
        <v/>
      </c>
      <c r="G20" s="45" t="str">
        <f>IFERROR(IF(VLOOKUP($A20,TableHandbook[],5,FALSE)=0,"",VLOOKUP($A20,TableHandbook[],5,FALSE)),"")</f>
        <v/>
      </c>
      <c r="H20" s="55" t="str">
        <f>IFERROR(VLOOKUP($A20,TableHandbook[],H$2,FALSE),"")</f>
        <v/>
      </c>
      <c r="I20" s="215" t="str">
        <f>IFERROR(VLOOKUP($A20,TableHandbook[],I$2,FALSE),"")</f>
        <v/>
      </c>
      <c r="J20" s="45" t="str">
        <f>IFERROR(VLOOKUP($A20,TableHandbook[],J$2,FALSE),"")</f>
        <v/>
      </c>
      <c r="K20" s="56" t="str">
        <f>IFERROR(VLOOKUP($A20,TableHandbook[],K$2,FALSE),"")</f>
        <v/>
      </c>
      <c r="L20" s="53"/>
      <c r="M20" s="117">
        <v>11</v>
      </c>
      <c r="N20" s="19"/>
      <c r="O20" s="19"/>
      <c r="P20" s="20"/>
      <c r="Q20" s="20"/>
      <c r="R20" s="20"/>
      <c r="S20" s="20"/>
      <c r="T20" s="20"/>
      <c r="U20" s="20"/>
      <c r="V20" s="20"/>
      <c r="W20" s="20"/>
    </row>
    <row r="21" spans="1:23" s="21" customFormat="1" ht="20.100000000000001" customHeight="1" x14ac:dyDescent="0.25">
      <c r="A21" s="51" t="str">
        <f>IFERROR(IF(HLOOKUP($L$5,RangeNETSCMUnitsets,M21,FALSE)=0,"",HLOOKUP($L$5,RangeNETSCMUnitsets,M21,FALSE)),"")</f>
        <v/>
      </c>
      <c r="B21" s="47" t="str">
        <f>IFERROR(IF(VLOOKUP($A21,TableHandbook[],2,FALSE)=0,"",VLOOKUP($A21,TableHandbook[],2,FALSE)),"")</f>
        <v/>
      </c>
      <c r="C21" s="47" t="str">
        <f>IFERROR(IF(VLOOKUP($A21,TableHandbook[],3,FALSE)=0,"",VLOOKUP($A21,TableHandbook[],3,FALSE)),"")</f>
        <v/>
      </c>
      <c r="D21" s="50" t="str">
        <f>IFERROR(IF(VLOOKUP($A21,TableHandbook[],4,FALSE)=0,"",VLOOKUP($A21,TableHandbook[],4,FALSE)),"")</f>
        <v/>
      </c>
      <c r="E21" s="47" t="str">
        <f t="shared" ref="E21:E22" si="3">IF(OR(A21="",A21="-"),"",E20)</f>
        <v/>
      </c>
      <c r="F21" s="44" t="str">
        <f>IFERROR(IF(VLOOKUP($A21,TableHandbook[],6,FALSE)=0,"",VLOOKUP($A21,TableHandbook[],6,FALSE)),"")</f>
        <v/>
      </c>
      <c r="G21" s="45" t="str">
        <f>IFERROR(IF(VLOOKUP($A21,TableHandbook[],5,FALSE)=0,"",VLOOKUP($A21,TableHandbook[],5,FALSE)),"")</f>
        <v/>
      </c>
      <c r="H21" s="55" t="str">
        <f>IFERROR(VLOOKUP($A21,TableHandbook[],H$2,FALSE),"")</f>
        <v/>
      </c>
      <c r="I21" s="215" t="str">
        <f>IFERROR(VLOOKUP($A21,TableHandbook[],I$2,FALSE),"")</f>
        <v/>
      </c>
      <c r="J21" s="45" t="str">
        <f>IFERROR(VLOOKUP($A21,TableHandbook[],J$2,FALSE),"")</f>
        <v/>
      </c>
      <c r="K21" s="56" t="str">
        <f>IFERROR(VLOOKUP($A21,TableHandbook[],K$2,FALSE),"")</f>
        <v/>
      </c>
      <c r="L21" s="53"/>
      <c r="M21" s="117">
        <v>12</v>
      </c>
      <c r="N21" s="19"/>
      <c r="O21" s="19"/>
      <c r="P21" s="20"/>
      <c r="Q21" s="20"/>
      <c r="R21" s="20"/>
      <c r="S21" s="20"/>
      <c r="T21" s="20"/>
      <c r="U21" s="20"/>
      <c r="V21" s="20"/>
      <c r="W21" s="20"/>
    </row>
    <row r="22" spans="1:23" s="21" customFormat="1" ht="20.100000000000001" customHeight="1" x14ac:dyDescent="0.25">
      <c r="A22" s="51" t="str">
        <f>IFERROR(IF(HLOOKUP($L$5,RangeNETSCMUnitsets,M22,FALSE)=0,"",HLOOKUP($L$5,RangeNETSCMUnitsets,M22,FALSE)),"")</f>
        <v/>
      </c>
      <c r="B22" s="47" t="str">
        <f>IFERROR(IF(VLOOKUP($A22,TableHandbook[],2,FALSE)=0,"",VLOOKUP($A22,TableHandbook[],2,FALSE)),"")</f>
        <v/>
      </c>
      <c r="C22" s="47" t="str">
        <f>IFERROR(IF(VLOOKUP($A22,TableHandbook[],3,FALSE)=0,"",VLOOKUP($A22,TableHandbook[],3,FALSE)),"")</f>
        <v/>
      </c>
      <c r="D22" s="50" t="str">
        <f>IFERROR(IF(VLOOKUP($A22,TableHandbook[],4,FALSE)=0,"",VLOOKUP($A22,TableHandbook[],4,FALSE)),"")</f>
        <v/>
      </c>
      <c r="E22" s="47" t="str">
        <f t="shared" si="3"/>
        <v/>
      </c>
      <c r="F22" s="44" t="str">
        <f>IFERROR(IF(VLOOKUP($A22,TableHandbook[],6,FALSE)=0,"",VLOOKUP($A22,TableHandbook[],6,FALSE)),"")</f>
        <v/>
      </c>
      <c r="G22" s="45" t="str">
        <f>IFERROR(IF(VLOOKUP($A22,TableHandbook[],5,FALSE)=0,"",VLOOKUP($A22,TableHandbook[],5,FALSE)),"")</f>
        <v/>
      </c>
      <c r="H22" s="55" t="str">
        <f>IFERROR(VLOOKUP($A22,TableHandbook[],H$2,FALSE),"")</f>
        <v/>
      </c>
      <c r="I22" s="215" t="str">
        <f>IFERROR(VLOOKUP($A22,TableHandbook[],I$2,FALSE),"")</f>
        <v/>
      </c>
      <c r="J22" s="45" t="str">
        <f>IFERROR(VLOOKUP($A22,TableHandbook[],J$2,FALSE),"")</f>
        <v/>
      </c>
      <c r="K22" s="56" t="str">
        <f>IFERROR(VLOOKUP($A22,TableHandbook[],K$2,FALSE),"")</f>
        <v/>
      </c>
      <c r="L22" s="53"/>
      <c r="M22" s="117">
        <v>13</v>
      </c>
      <c r="N22" s="19"/>
      <c r="O22" s="19"/>
      <c r="P22" s="20"/>
      <c r="Q22" s="20"/>
      <c r="R22" s="20"/>
      <c r="S22" s="20"/>
      <c r="T22" s="20"/>
      <c r="U22" s="20"/>
      <c r="V22" s="20"/>
      <c r="W22" s="20"/>
    </row>
    <row r="23" spans="1:23" s="29" customFormat="1" ht="20.100000000000001" customHeight="1" x14ac:dyDescent="0.25">
      <c r="A23" s="123"/>
      <c r="B23" s="124"/>
      <c r="C23" s="124"/>
      <c r="D23" s="143"/>
      <c r="E23" s="123"/>
      <c r="F23" s="144"/>
      <c r="G23" s="123"/>
      <c r="H23" s="123"/>
      <c r="I23" s="123"/>
      <c r="J23" s="123"/>
      <c r="K23" s="123"/>
      <c r="L23" s="145"/>
      <c r="M23" s="117"/>
      <c r="N23" s="27"/>
      <c r="O23" s="27"/>
      <c r="P23" s="28"/>
      <c r="Q23" s="28"/>
      <c r="R23" s="28"/>
      <c r="S23" s="28"/>
      <c r="T23" s="28"/>
      <c r="U23" s="28"/>
      <c r="V23" s="28"/>
      <c r="W23" s="28"/>
    </row>
    <row r="24" spans="1:23" ht="20.399999999999999" x14ac:dyDescent="0.3">
      <c r="A24" s="161" t="s">
        <v>744</v>
      </c>
      <c r="B24" s="125"/>
      <c r="C24" s="125"/>
      <c r="D24" s="126"/>
      <c r="E24" s="127"/>
      <c r="F24" s="127"/>
      <c r="G24" s="127"/>
      <c r="H24" s="160" t="str">
        <f>H7</f>
        <v>2025 Availabilities</v>
      </c>
      <c r="I24" s="128"/>
      <c r="J24" s="129"/>
      <c r="K24" s="130"/>
      <c r="L24" s="162" t="str">
        <f>VLOOKUP(D5,TableCourses[],2,FALSE)</f>
        <v>GC-NETSCM</v>
      </c>
      <c r="M24" s="119"/>
      <c r="N24" s="15"/>
      <c r="O24" s="15"/>
      <c r="P24" s="15"/>
      <c r="Q24" s="15"/>
      <c r="R24" s="15"/>
      <c r="S24" s="15"/>
      <c r="T24" s="15"/>
      <c r="U24" s="15"/>
      <c r="V24" s="15"/>
      <c r="W24" s="15"/>
    </row>
    <row r="25" spans="1:23" s="38" customFormat="1" ht="22.8" x14ac:dyDescent="0.3">
      <c r="A25" s="132"/>
      <c r="B25" s="132"/>
      <c r="C25" s="132"/>
      <c r="D25" s="133" t="s">
        <v>3</v>
      </c>
      <c r="E25" s="138"/>
      <c r="F25" s="192" t="s">
        <v>23</v>
      </c>
      <c r="G25" s="132" t="s">
        <v>24</v>
      </c>
      <c r="H25" s="139" t="str">
        <f>H$8</f>
        <v>Sem1 BEN</v>
      </c>
      <c r="I25" s="214" t="str">
        <f t="shared" ref="I25:L25" si="4">I$8</f>
        <v>Sem1 FO</v>
      </c>
      <c r="J25" s="138" t="str">
        <f t="shared" si="4"/>
        <v>Sem2 BEN</v>
      </c>
      <c r="K25" s="140" t="str">
        <f t="shared" si="4"/>
        <v>Sem2 FO</v>
      </c>
      <c r="L25" s="141" t="str">
        <f t="shared" si="4"/>
        <v>Notes / Progress</v>
      </c>
      <c r="M25" s="119"/>
      <c r="N25" s="37"/>
      <c r="O25" s="37"/>
      <c r="P25" s="37"/>
      <c r="Q25" s="37"/>
      <c r="R25" s="37"/>
      <c r="S25" s="37"/>
      <c r="T25" s="37"/>
      <c r="U25" s="37"/>
      <c r="V25" s="37"/>
      <c r="W25" s="37"/>
    </row>
    <row r="26" spans="1:23" x14ac:dyDescent="0.3">
      <c r="A26" s="158" t="str">
        <f t="shared" ref="A26:A40" si="5">IFERROR(IF(HLOOKUP($L$24,RangeNETSCMOptions,$M26,FALSE)=0,"",HLOOKUP($L$24,RangeNETSCMOptions,$M26,FALSE)),"")</f>
        <v>AC-NETSCM</v>
      </c>
      <c r="B26" s="100" t="str">
        <f>IFERROR(IF(VLOOKUP($A26,TableHandbook[],2,FALSE)=0,"",VLOOKUP($A26,TableHandbook[],2,FALSE)),"")</f>
        <v/>
      </c>
      <c r="C26" s="100" t="str">
        <f>IFERROR(IF(VLOOKUP($A26,TableHandbook[],3,FALSE)=0,"",VLOOKUP($A26,TableHandbook[],3,FALSE)),"")</f>
        <v/>
      </c>
      <c r="D26" s="39" t="str">
        <f>IFERROR(IF(VLOOKUP($A26,TableHandbook[],4,FALSE)=0,"",VLOOKUP($A26,TableHandbook[],4,FALSE)),"")</f>
        <v>Study either NETS5000 or NETS5001 (see below)</v>
      </c>
      <c r="E26" s="40"/>
      <c r="F26" s="193" t="str">
        <f>IFERROR(IF(VLOOKUP($A26,TableHandbook[],6,FALSE)=0,"",VLOOKUP($A26,TableHandbook[],6,FALSE)),"")</f>
        <v>See below</v>
      </c>
      <c r="G26" s="41">
        <f>IFERROR(IF(VLOOKUP($A26,TableHandbook[],5,FALSE)=0,"",VLOOKUP($A26,TableHandbook[],5,FALSE)),"")</f>
        <v>25</v>
      </c>
      <c r="H26" s="55" t="str">
        <f>IFERROR(VLOOKUP($A26,TableHandbook[],H$2,FALSE),"")</f>
        <v/>
      </c>
      <c r="I26" s="215" t="str">
        <f>IFERROR(VLOOKUP($A26,TableHandbook[],I$2,FALSE),"")</f>
        <v/>
      </c>
      <c r="J26" s="45" t="str">
        <f>IFERROR(VLOOKUP($A26,TableHandbook[],J$2,FALSE),"")</f>
        <v/>
      </c>
      <c r="K26" s="56" t="str">
        <f>IFERROR(VLOOKUP($A26,TableHandbook[],K$2,FALSE),"")</f>
        <v/>
      </c>
      <c r="L26" s="46"/>
      <c r="M26" s="117">
        <v>2</v>
      </c>
      <c r="N26" s="15"/>
      <c r="O26" s="15"/>
      <c r="P26" s="15"/>
      <c r="Q26" s="15"/>
      <c r="R26" s="15"/>
      <c r="S26" s="15"/>
      <c r="T26" s="15"/>
      <c r="U26" s="15"/>
      <c r="V26" s="15"/>
      <c r="W26" s="15"/>
    </row>
    <row r="27" spans="1:23" x14ac:dyDescent="0.3">
      <c r="A27" s="158" t="str">
        <f t="shared" si="5"/>
        <v>NETS5000</v>
      </c>
      <c r="B27" s="100">
        <f>IFERROR(IF(VLOOKUP($A27,TableHandbook[],2,FALSE)=0,"",VLOOKUP($A27,TableHandbook[],2,FALSE)),"")</f>
        <v>2</v>
      </c>
      <c r="C27" s="100" t="str">
        <f>IFERROR(IF(VLOOKUP($A27,TableHandbook[],3,FALSE)=0,"",VLOOKUP($A27,TableHandbook[],3,FALSE)),"")</f>
        <v/>
      </c>
      <c r="D27" s="39" t="str">
        <f>IFERROR(IF(VLOOKUP($A27,TableHandbook[],4,FALSE)=0,"",VLOOKUP($A27,TableHandbook[],4,FALSE)),"")</f>
        <v>Graduate Web Communications</v>
      </c>
      <c r="E27" s="40"/>
      <c r="F27" s="193" t="str">
        <f>IFERROR(IF(VLOOKUP($A27,TableHandbook[],6,FALSE)=0,"",VLOOKUP($A27,TableHandbook[],6,FALSE)),"")</f>
        <v>None</v>
      </c>
      <c r="G27" s="41">
        <f>IFERROR(IF(VLOOKUP($A27,TableHandbook[],5,FALSE)=0,"",VLOOKUP($A27,TableHandbook[],5,FALSE)),"")</f>
        <v>25</v>
      </c>
      <c r="H27" s="55" t="str">
        <f>IFERROR(VLOOKUP($A27,TableHandbook[],H$2,FALSE),"")</f>
        <v>Y</v>
      </c>
      <c r="I27" s="215" t="str">
        <f>IFERROR(VLOOKUP($A27,TableHandbook[],I$2,FALSE),"")</f>
        <v>Y</v>
      </c>
      <c r="J27" s="45" t="str">
        <f>IFERROR(VLOOKUP($A27,TableHandbook[],J$2,FALSE),"")</f>
        <v>Y</v>
      </c>
      <c r="K27" s="56" t="str">
        <f>IFERROR(VLOOKUP($A27,TableHandbook[],K$2,FALSE),"")</f>
        <v>Y</v>
      </c>
      <c r="L27" s="46"/>
      <c r="M27" s="117">
        <v>3</v>
      </c>
      <c r="N27" s="15"/>
      <c r="O27" s="15"/>
      <c r="P27" s="15"/>
      <c r="Q27" s="15"/>
      <c r="R27" s="15"/>
      <c r="S27" s="15"/>
      <c r="T27" s="15"/>
      <c r="U27" s="15"/>
      <c r="V27" s="15"/>
      <c r="W27" s="15"/>
    </row>
    <row r="28" spans="1:23" x14ac:dyDescent="0.3">
      <c r="A28" s="158" t="str">
        <f t="shared" si="5"/>
        <v>NETS5001</v>
      </c>
      <c r="B28" s="100">
        <f>IFERROR(IF(VLOOKUP($A28,TableHandbook[],2,FALSE)=0,"",VLOOKUP($A28,TableHandbook[],2,FALSE)),"")</f>
        <v>3</v>
      </c>
      <c r="C28" s="100" t="str">
        <f>IFERROR(IF(VLOOKUP($A28,TableHandbook[],3,FALSE)=0,"",VLOOKUP($A28,TableHandbook[],3,FALSE)),"")</f>
        <v/>
      </c>
      <c r="D28" s="39" t="str">
        <f>IFERROR(IF(VLOOKUP($A28,TableHandbook[],4,FALSE)=0,"",VLOOKUP($A28,TableHandbook[],4,FALSE)),"")</f>
        <v>Graduate Digital Culture and Everyday Life</v>
      </c>
      <c r="E28" s="40"/>
      <c r="F28" s="193" t="str">
        <f>IFERROR(IF(VLOOKUP($A28,TableHandbook[],6,FALSE)=0,"",VLOOKUP($A28,TableHandbook[],6,FALSE)),"")</f>
        <v>None</v>
      </c>
      <c r="G28" s="41">
        <f>IFERROR(IF(VLOOKUP($A28,TableHandbook[],5,FALSE)=0,"",VLOOKUP($A28,TableHandbook[],5,FALSE)),"")</f>
        <v>25</v>
      </c>
      <c r="H28" s="55" t="str">
        <f>IFERROR(VLOOKUP($A28,TableHandbook[],H$2,FALSE),"")</f>
        <v/>
      </c>
      <c r="I28" s="215" t="str">
        <f>IFERROR(VLOOKUP($A28,TableHandbook[],I$2,FALSE),"")</f>
        <v/>
      </c>
      <c r="J28" s="45" t="str">
        <f>IFERROR(VLOOKUP($A28,TableHandbook[],J$2,FALSE),"")</f>
        <v>Y</v>
      </c>
      <c r="K28" s="56" t="str">
        <f>IFERROR(VLOOKUP($A28,TableHandbook[],K$2,FALSE),"")</f>
        <v>Y</v>
      </c>
      <c r="L28" s="46"/>
      <c r="M28" s="117">
        <v>4</v>
      </c>
      <c r="N28" s="15"/>
      <c r="O28" s="15"/>
      <c r="P28" s="15"/>
      <c r="Q28" s="15"/>
      <c r="R28" s="15"/>
      <c r="S28" s="15"/>
      <c r="T28" s="15"/>
      <c r="U28" s="15"/>
      <c r="V28" s="15"/>
      <c r="W28" s="15"/>
    </row>
    <row r="29" spans="1:23" x14ac:dyDescent="0.3">
      <c r="A29" s="158" t="str">
        <f t="shared" si="5"/>
        <v xml:space="preserve"> </v>
      </c>
      <c r="B29" s="100" t="str">
        <f>IFERROR(IF(VLOOKUP($A29,TableHandbook[],2,FALSE)=0,"",VLOOKUP($A29,TableHandbook[],2,FALSE)),"")</f>
        <v/>
      </c>
      <c r="C29" s="100" t="str">
        <f>IFERROR(IF(VLOOKUP($A29,TableHandbook[],3,FALSE)=0,"",VLOOKUP($A29,TableHandbook[],3,FALSE)),"")</f>
        <v/>
      </c>
      <c r="D29" s="39" t="str">
        <f>IFERROR(IF(VLOOKUP($A29,TableHandbook[],4,FALSE)=0,"",VLOOKUP($A29,TableHandbook[],4,FALSE)),"")</f>
        <v/>
      </c>
      <c r="E29" s="40"/>
      <c r="F29" s="193" t="str">
        <f>IFERROR(IF(VLOOKUP($A29,TableHandbook[],6,FALSE)=0,"",VLOOKUP($A29,TableHandbook[],6,FALSE)),"")</f>
        <v/>
      </c>
      <c r="G29" s="41" t="str">
        <f>IFERROR(IF(VLOOKUP($A29,TableHandbook[],5,FALSE)=0,"",VLOOKUP($A29,TableHandbook[],5,FALSE)),"")</f>
        <v/>
      </c>
      <c r="H29" s="55" t="str">
        <f>IFERROR(VLOOKUP($A29,TableHandbook[],H$2,FALSE),"")</f>
        <v/>
      </c>
      <c r="I29" s="215" t="str">
        <f>IFERROR(VLOOKUP($A29,TableHandbook[],I$2,FALSE),"")</f>
        <v/>
      </c>
      <c r="J29" s="45" t="str">
        <f>IFERROR(VLOOKUP($A29,TableHandbook[],J$2,FALSE),"")</f>
        <v/>
      </c>
      <c r="K29" s="56" t="str">
        <f>IFERROR(VLOOKUP($A29,TableHandbook[],K$2,FALSE),"")</f>
        <v/>
      </c>
      <c r="L29" s="46"/>
      <c r="M29" s="117">
        <v>5</v>
      </c>
      <c r="N29" s="15"/>
      <c r="O29" s="15"/>
      <c r="P29" s="15"/>
      <c r="Q29" s="15"/>
      <c r="R29" s="15"/>
      <c r="S29" s="15"/>
      <c r="T29" s="15"/>
      <c r="U29" s="15"/>
      <c r="V29" s="15"/>
      <c r="W29" s="15"/>
    </row>
    <row r="30" spans="1:23" x14ac:dyDescent="0.3">
      <c r="A30" s="158" t="str">
        <f t="shared" si="5"/>
        <v>Opt-NETSCM</v>
      </c>
      <c r="B30" s="100" t="str">
        <f>IFERROR(IF(VLOOKUP($A30,TableHandbook[],2,FALSE)=0,"",VLOOKUP($A30,TableHandbook[],2,FALSE)),"")</f>
        <v/>
      </c>
      <c r="C30" s="100" t="str">
        <f>IFERROR(IF(VLOOKUP($A30,TableHandbook[],3,FALSE)=0,"",VLOOKUP($A30,TableHandbook[],3,FALSE)),"")</f>
        <v/>
      </c>
      <c r="D30" s="39" t="str">
        <f>IFERROR(IF(VLOOKUP($A30,TableHandbook[],4,FALSE)=0,"",VLOOKUP($A30,TableHandbook[],4,FALSE)),"")</f>
        <v>Study an Option unit from the list below</v>
      </c>
      <c r="E30" s="40"/>
      <c r="F30" s="193" t="str">
        <f>IFERROR(IF(VLOOKUP($A30,TableHandbook[],6,FALSE)=0,"",VLOOKUP($A30,TableHandbook[],6,FALSE)),"")</f>
        <v>See below</v>
      </c>
      <c r="G30" s="41">
        <f>IFERROR(IF(VLOOKUP($A30,TableHandbook[],5,FALSE)=0,"",VLOOKUP($A30,TableHandbook[],5,FALSE)),"")</f>
        <v>25</v>
      </c>
      <c r="H30" s="55" t="str">
        <f>IFERROR(VLOOKUP($A30,TableHandbook[],H$2,FALSE),"")</f>
        <v/>
      </c>
      <c r="I30" s="215" t="str">
        <f>IFERROR(VLOOKUP($A30,TableHandbook[],I$2,FALSE),"")</f>
        <v/>
      </c>
      <c r="J30" s="45" t="str">
        <f>IFERROR(VLOOKUP($A30,TableHandbook[],J$2,FALSE),"")</f>
        <v/>
      </c>
      <c r="K30" s="56" t="str">
        <f>IFERROR(VLOOKUP($A30,TableHandbook[],K$2,FALSE),"")</f>
        <v/>
      </c>
      <c r="L30" s="46"/>
      <c r="M30" s="117">
        <v>6</v>
      </c>
      <c r="N30" s="15"/>
      <c r="O30" s="15"/>
      <c r="P30" s="15"/>
      <c r="Q30" s="15"/>
      <c r="R30" s="15"/>
      <c r="S30" s="15"/>
      <c r="T30" s="15"/>
      <c r="U30" s="15"/>
      <c r="V30" s="15"/>
      <c r="W30" s="15"/>
    </row>
    <row r="31" spans="1:23" x14ac:dyDescent="0.3">
      <c r="A31" s="158" t="str">
        <f t="shared" si="5"/>
        <v>NETS5000</v>
      </c>
      <c r="B31" s="100">
        <f>IFERROR(IF(VLOOKUP($A31,TableHandbook[],2,FALSE)=0,"",VLOOKUP($A31,TableHandbook[],2,FALSE)),"")</f>
        <v>2</v>
      </c>
      <c r="C31" s="100" t="str">
        <f>IFERROR(IF(VLOOKUP($A31,TableHandbook[],3,FALSE)=0,"",VLOOKUP($A31,TableHandbook[],3,FALSE)),"")</f>
        <v/>
      </c>
      <c r="D31" s="39" t="str">
        <f>IFERROR(IF(VLOOKUP($A31,TableHandbook[],4,FALSE)=0,"",VLOOKUP($A31,TableHandbook[],4,FALSE)),"")</f>
        <v>Graduate Web Communications</v>
      </c>
      <c r="E31" s="40"/>
      <c r="F31" s="193" t="str">
        <f>IFERROR(IF(VLOOKUP($A31,TableHandbook[],6,FALSE)=0,"",VLOOKUP($A31,TableHandbook[],6,FALSE)),"")</f>
        <v>None</v>
      </c>
      <c r="G31" s="41">
        <f>IFERROR(IF(VLOOKUP($A31,TableHandbook[],5,FALSE)=0,"",VLOOKUP($A31,TableHandbook[],5,FALSE)),"")</f>
        <v>25</v>
      </c>
      <c r="H31" s="55" t="str">
        <f>IFERROR(VLOOKUP($A31,TableHandbook[],H$2,FALSE),"")</f>
        <v>Y</v>
      </c>
      <c r="I31" s="215" t="str">
        <f>IFERROR(VLOOKUP($A31,TableHandbook[],I$2,FALSE),"")</f>
        <v>Y</v>
      </c>
      <c r="J31" s="45" t="str">
        <f>IFERROR(VLOOKUP($A31,TableHandbook[],J$2,FALSE),"")</f>
        <v>Y</v>
      </c>
      <c r="K31" s="56" t="str">
        <f>IFERROR(VLOOKUP($A31,TableHandbook[],K$2,FALSE),"")</f>
        <v>Y</v>
      </c>
      <c r="L31" s="46"/>
      <c r="M31" s="117">
        <v>7</v>
      </c>
      <c r="N31" s="15"/>
      <c r="O31" s="15"/>
      <c r="P31" s="15"/>
      <c r="Q31" s="15"/>
      <c r="R31" s="15"/>
      <c r="S31" s="15"/>
      <c r="T31" s="15"/>
      <c r="U31" s="15"/>
      <c r="V31" s="15"/>
      <c r="W31" s="15"/>
    </row>
    <row r="32" spans="1:23" x14ac:dyDescent="0.3">
      <c r="A32" s="158" t="str">
        <f t="shared" si="5"/>
        <v>NETS5001</v>
      </c>
      <c r="B32" s="100">
        <f>IFERROR(IF(VLOOKUP($A32,TableHandbook[],2,FALSE)=0,"",VLOOKUP($A32,TableHandbook[],2,FALSE)),"")</f>
        <v>3</v>
      </c>
      <c r="C32" s="100" t="str">
        <f>IFERROR(IF(VLOOKUP($A32,TableHandbook[],3,FALSE)=0,"",VLOOKUP($A32,TableHandbook[],3,FALSE)),"")</f>
        <v/>
      </c>
      <c r="D32" s="39" t="str">
        <f>IFERROR(IF(VLOOKUP($A32,TableHandbook[],4,FALSE)=0,"",VLOOKUP($A32,TableHandbook[],4,FALSE)),"")</f>
        <v>Graduate Digital Culture and Everyday Life</v>
      </c>
      <c r="E32" s="40"/>
      <c r="F32" s="193" t="str">
        <f>IFERROR(IF(VLOOKUP($A32,TableHandbook[],6,FALSE)=0,"",VLOOKUP($A32,TableHandbook[],6,FALSE)),"")</f>
        <v>None</v>
      </c>
      <c r="G32" s="41">
        <f>IFERROR(IF(VLOOKUP($A32,TableHandbook[],5,FALSE)=0,"",VLOOKUP($A32,TableHandbook[],5,FALSE)),"")</f>
        <v>25</v>
      </c>
      <c r="H32" s="55" t="str">
        <f>IFERROR(VLOOKUP($A32,TableHandbook[],H$2,FALSE),"")</f>
        <v/>
      </c>
      <c r="I32" s="215" t="str">
        <f>IFERROR(VLOOKUP($A32,TableHandbook[],I$2,FALSE),"")</f>
        <v/>
      </c>
      <c r="J32" s="45" t="str">
        <f>IFERROR(VLOOKUP($A32,TableHandbook[],J$2,FALSE),"")</f>
        <v>Y</v>
      </c>
      <c r="K32" s="56" t="str">
        <f>IFERROR(VLOOKUP($A32,TableHandbook[],K$2,FALSE),"")</f>
        <v>Y</v>
      </c>
      <c r="L32" s="46"/>
      <c r="M32" s="117">
        <v>8</v>
      </c>
      <c r="N32" s="15"/>
      <c r="O32" s="15"/>
      <c r="P32" s="15"/>
      <c r="Q32" s="15"/>
      <c r="R32" s="15"/>
      <c r="S32" s="15"/>
      <c r="T32" s="15"/>
      <c r="U32" s="15"/>
      <c r="V32" s="15"/>
      <c r="W32" s="15"/>
    </row>
    <row r="33" spans="1:23" x14ac:dyDescent="0.3">
      <c r="A33" s="158" t="str">
        <f t="shared" si="5"/>
        <v>NETS5003</v>
      </c>
      <c r="B33" s="100">
        <f>IFERROR(IF(VLOOKUP($A33,TableHandbook[],2,FALSE)=0,"",VLOOKUP($A33,TableHandbook[],2,FALSE)),"")</f>
        <v>4</v>
      </c>
      <c r="C33" s="100" t="str">
        <f>IFERROR(IF(VLOOKUP($A33,TableHandbook[],3,FALSE)=0,"",VLOOKUP($A33,TableHandbook[],3,FALSE)),"")</f>
        <v/>
      </c>
      <c r="D33" s="39" t="str">
        <f>IFERROR(IF(VLOOKUP($A33,TableHandbook[],4,FALSE)=0,"",VLOOKUP($A33,TableHandbook[],4,FALSE)),"")</f>
        <v>Graduate Online Power and Resistance</v>
      </c>
      <c r="E33" s="40"/>
      <c r="F33" s="193" t="str">
        <f>IFERROR(IF(VLOOKUP($A33,TableHandbook[],6,FALSE)=0,"",VLOOKUP($A33,TableHandbook[],6,FALSE)),"")</f>
        <v>None</v>
      </c>
      <c r="G33" s="41">
        <f>IFERROR(IF(VLOOKUP($A33,TableHandbook[],5,FALSE)=0,"",VLOOKUP($A33,TableHandbook[],5,FALSE)),"")</f>
        <v>25</v>
      </c>
      <c r="H33" s="55" t="str">
        <f>IFERROR(VLOOKUP($A33,TableHandbook[],H$2,FALSE),"")</f>
        <v/>
      </c>
      <c r="I33" s="215" t="str">
        <f>IFERROR(VLOOKUP($A33,TableHandbook[],I$2,FALSE),"")</f>
        <v/>
      </c>
      <c r="J33" s="45" t="str">
        <f>IFERROR(VLOOKUP($A33,TableHandbook[],J$2,FALSE),"")</f>
        <v/>
      </c>
      <c r="K33" s="56" t="str">
        <f>IFERROR(VLOOKUP($A33,TableHandbook[],K$2,FALSE),"")</f>
        <v>Y</v>
      </c>
      <c r="L33" s="46"/>
      <c r="M33" s="117">
        <v>9</v>
      </c>
      <c r="N33" s="15"/>
      <c r="O33" s="15"/>
      <c r="P33" s="15"/>
      <c r="Q33" s="15"/>
      <c r="R33" s="15"/>
      <c r="S33" s="15"/>
      <c r="T33" s="15"/>
      <c r="U33" s="15"/>
      <c r="V33" s="15"/>
      <c r="W33" s="15"/>
    </row>
    <row r="34" spans="1:23" x14ac:dyDescent="0.3">
      <c r="A34" s="158" t="str">
        <f t="shared" si="5"/>
        <v>NETS5004</v>
      </c>
      <c r="B34" s="100">
        <f>IFERROR(IF(VLOOKUP($A34,TableHandbook[],2,FALSE)=0,"",VLOOKUP($A34,TableHandbook[],2,FALSE)),"")</f>
        <v>3</v>
      </c>
      <c r="C34" s="100" t="str">
        <f>IFERROR(IF(VLOOKUP($A34,TableHandbook[],3,FALSE)=0,"",VLOOKUP($A34,TableHandbook[],3,FALSE)),"")</f>
        <v/>
      </c>
      <c r="D34" s="39" t="str">
        <f>IFERROR(IF(VLOOKUP($A34,TableHandbook[],4,FALSE)=0,"",VLOOKUP($A34,TableHandbook[],4,FALSE)),"")</f>
        <v>Graduate Social Media, Communities and Networks</v>
      </c>
      <c r="E34" s="40"/>
      <c r="F34" s="193" t="str">
        <f>IFERROR(IF(VLOOKUP($A34,TableHandbook[],6,FALSE)=0,"",VLOOKUP($A34,TableHandbook[],6,FALSE)),"")</f>
        <v>None</v>
      </c>
      <c r="G34" s="41">
        <f>IFERROR(IF(VLOOKUP($A34,TableHandbook[],5,FALSE)=0,"",VLOOKUP($A34,TableHandbook[],5,FALSE)),"")</f>
        <v>25</v>
      </c>
      <c r="H34" s="55" t="str">
        <f>IFERROR(VLOOKUP($A34,TableHandbook[],H$2,FALSE),"")</f>
        <v>Y</v>
      </c>
      <c r="I34" s="215" t="str">
        <f>IFERROR(VLOOKUP($A34,TableHandbook[],I$2,FALSE),"")</f>
        <v>Y</v>
      </c>
      <c r="J34" s="45" t="str">
        <f>IFERROR(VLOOKUP($A34,TableHandbook[],J$2,FALSE),"")</f>
        <v/>
      </c>
      <c r="K34" s="56" t="str">
        <f>IFERROR(VLOOKUP($A34,TableHandbook[],K$2,FALSE),"")</f>
        <v/>
      </c>
      <c r="L34" s="46"/>
      <c r="M34" s="117">
        <v>10</v>
      </c>
      <c r="N34" s="15"/>
      <c r="O34" s="15"/>
      <c r="P34" s="15"/>
      <c r="Q34" s="15"/>
      <c r="R34" s="15"/>
      <c r="S34" s="15"/>
      <c r="T34" s="15"/>
      <c r="U34" s="15"/>
      <c r="V34" s="15"/>
      <c r="W34" s="15"/>
    </row>
    <row r="35" spans="1:23" x14ac:dyDescent="0.3">
      <c r="A35" s="158" t="str">
        <f t="shared" si="5"/>
        <v>NETS5005</v>
      </c>
      <c r="B35" s="100">
        <f>IFERROR(IF(VLOOKUP($A35,TableHandbook[],2,FALSE)=0,"",VLOOKUP($A35,TableHandbook[],2,FALSE)),"")</f>
        <v>3</v>
      </c>
      <c r="C35" s="100" t="str">
        <f>IFERROR(IF(VLOOKUP($A35,TableHandbook[],3,FALSE)=0,"",VLOOKUP($A35,TableHandbook[],3,FALSE)),"")</f>
        <v/>
      </c>
      <c r="D35" s="39" t="str">
        <f>IFERROR(IF(VLOOKUP($A35,TableHandbook[],4,FALSE)=0,"",VLOOKUP($A35,TableHandbook[],4,FALSE)),"")</f>
        <v>Graduate Writing on the Web</v>
      </c>
      <c r="E35" s="40"/>
      <c r="F35" s="193" t="str">
        <f>IFERROR(IF(VLOOKUP($A35,TableHandbook[],6,FALSE)=0,"",VLOOKUP($A35,TableHandbook[],6,FALSE)),"")</f>
        <v>None</v>
      </c>
      <c r="G35" s="41">
        <f>IFERROR(IF(VLOOKUP($A35,TableHandbook[],5,FALSE)=0,"",VLOOKUP($A35,TableHandbook[],5,FALSE)),"")</f>
        <v>25</v>
      </c>
      <c r="H35" s="55" t="str">
        <f>IFERROR(VLOOKUP($A35,TableHandbook[],H$2,FALSE),"")</f>
        <v/>
      </c>
      <c r="I35" s="215" t="str">
        <f>IFERROR(VLOOKUP($A35,TableHandbook[],I$2,FALSE),"")</f>
        <v/>
      </c>
      <c r="J35" s="45" t="str">
        <f>IFERROR(VLOOKUP($A35,TableHandbook[],J$2,FALSE),"")</f>
        <v>Y</v>
      </c>
      <c r="K35" s="56" t="str">
        <f>IFERROR(VLOOKUP($A35,TableHandbook[],K$2,FALSE),"")</f>
        <v>Y</v>
      </c>
      <c r="L35" s="46"/>
      <c r="M35" s="117">
        <v>11</v>
      </c>
      <c r="N35" s="15"/>
      <c r="O35" s="15"/>
      <c r="P35" s="15"/>
      <c r="Q35" s="15"/>
      <c r="R35" s="15"/>
      <c r="S35" s="15"/>
      <c r="T35" s="15"/>
      <c r="U35" s="15"/>
      <c r="V35" s="15"/>
      <c r="W35" s="15"/>
    </row>
    <row r="36" spans="1:23" x14ac:dyDescent="0.3">
      <c r="A36" s="158" t="str">
        <f t="shared" si="5"/>
        <v>NETS5006</v>
      </c>
      <c r="B36" s="100">
        <f>IFERROR(IF(VLOOKUP($A36,TableHandbook[],2,FALSE)=0,"",VLOOKUP($A36,TableHandbook[],2,FALSE)),"")</f>
        <v>3</v>
      </c>
      <c r="C36" s="100" t="str">
        <f>IFERROR(IF(VLOOKUP($A36,TableHandbook[],3,FALSE)=0,"",VLOOKUP($A36,TableHandbook[],3,FALSE)),"")</f>
        <v/>
      </c>
      <c r="D36" s="39" t="str">
        <f>IFERROR(IF(VLOOKUP($A36,TableHandbook[],4,FALSE)=0,"",VLOOKUP($A36,TableHandbook[],4,FALSE)),"")</f>
        <v>Graduate The Digital Economy</v>
      </c>
      <c r="E36" s="40"/>
      <c r="F36" s="193" t="str">
        <f>IFERROR(IF(VLOOKUP($A36,TableHandbook[],6,FALSE)=0,"",VLOOKUP($A36,TableHandbook[],6,FALSE)),"")</f>
        <v>(Recommend NETS5000 / NETS5001)</v>
      </c>
      <c r="G36" s="41">
        <f>IFERROR(IF(VLOOKUP($A36,TableHandbook[],5,FALSE)=0,"",VLOOKUP($A36,TableHandbook[],5,FALSE)),"")</f>
        <v>25</v>
      </c>
      <c r="H36" s="55" t="str">
        <f>IFERROR(VLOOKUP($A36,TableHandbook[],H$2,FALSE),"")</f>
        <v/>
      </c>
      <c r="I36" s="215" t="str">
        <f>IFERROR(VLOOKUP($A36,TableHandbook[],I$2,FALSE),"")</f>
        <v/>
      </c>
      <c r="J36" s="45" t="str">
        <f>IFERROR(VLOOKUP($A36,TableHandbook[],J$2,FALSE),"")</f>
        <v>Y</v>
      </c>
      <c r="K36" s="56" t="str">
        <f>IFERROR(VLOOKUP($A36,TableHandbook[],K$2,FALSE),"")</f>
        <v>Y</v>
      </c>
      <c r="L36" s="46"/>
      <c r="M36" s="117">
        <v>12</v>
      </c>
      <c r="N36" s="15"/>
      <c r="O36" s="15"/>
      <c r="P36" s="15"/>
      <c r="Q36" s="15"/>
      <c r="R36" s="15"/>
      <c r="S36" s="15"/>
      <c r="T36" s="15"/>
      <c r="U36" s="15"/>
      <c r="V36" s="15"/>
      <c r="W36" s="15"/>
    </row>
    <row r="37" spans="1:23" x14ac:dyDescent="0.3">
      <c r="A37" s="158" t="str">
        <f t="shared" si="5"/>
        <v>NETS5007</v>
      </c>
      <c r="B37" s="100">
        <f>IFERROR(IF(VLOOKUP($A37,TableHandbook[],2,FALSE)=0,"",VLOOKUP($A37,TableHandbook[],2,FALSE)),"")</f>
        <v>3</v>
      </c>
      <c r="C37" s="100" t="str">
        <f>IFERROR(IF(VLOOKUP($A37,TableHandbook[],3,FALSE)=0,"",VLOOKUP($A37,TableHandbook[],3,FALSE)),"")</f>
        <v/>
      </c>
      <c r="D37" s="39" t="str">
        <f>IFERROR(IF(VLOOKUP($A37,TableHandbook[],4,FALSE)=0,"",VLOOKUP($A37,TableHandbook[],4,FALSE)),"")</f>
        <v>Graduate Technology, Innovation and Societies</v>
      </c>
      <c r="E37" s="40"/>
      <c r="F37" s="193" t="str">
        <f>IFERROR(IF(VLOOKUP($A37,TableHandbook[],6,FALSE)=0,"",VLOOKUP($A37,TableHandbook[],6,FALSE)),"")</f>
        <v>None</v>
      </c>
      <c r="G37" s="41">
        <f>IFERROR(IF(VLOOKUP($A37,TableHandbook[],5,FALSE)=0,"",VLOOKUP($A37,TableHandbook[],5,FALSE)),"")</f>
        <v>25</v>
      </c>
      <c r="H37" s="55" t="str">
        <f>IFERROR(VLOOKUP($A37,TableHandbook[],H$2,FALSE),"")</f>
        <v/>
      </c>
      <c r="I37" s="215" t="str">
        <f>IFERROR(VLOOKUP($A37,TableHandbook[],I$2,FALSE),"")</f>
        <v>Y</v>
      </c>
      <c r="J37" s="45" t="str">
        <f>IFERROR(VLOOKUP($A37,TableHandbook[],J$2,FALSE),"")</f>
        <v/>
      </c>
      <c r="K37" s="56" t="str">
        <f>IFERROR(VLOOKUP($A37,TableHandbook[],K$2,FALSE),"")</f>
        <v/>
      </c>
      <c r="L37" s="46"/>
      <c r="M37" s="117">
        <v>13</v>
      </c>
      <c r="N37" s="15"/>
      <c r="O37" s="15"/>
      <c r="P37" s="15"/>
      <c r="Q37" s="15"/>
      <c r="R37" s="15"/>
      <c r="S37" s="15"/>
      <c r="T37" s="15"/>
      <c r="U37" s="15"/>
      <c r="V37" s="15"/>
      <c r="W37" s="15"/>
    </row>
    <row r="38" spans="1:23" x14ac:dyDescent="0.3">
      <c r="A38" s="158" t="str">
        <f t="shared" si="5"/>
        <v>NETS5009</v>
      </c>
      <c r="B38" s="100">
        <f>IFERROR(IF(VLOOKUP($A38,TableHandbook[],2,FALSE)=0,"",VLOOKUP($A38,TableHandbook[],2,FALSE)),"")</f>
        <v>4</v>
      </c>
      <c r="C38" s="100" t="str">
        <f>IFERROR(IF(VLOOKUP($A38,TableHandbook[],3,FALSE)=0,"",VLOOKUP($A38,TableHandbook[],3,FALSE)),"")</f>
        <v/>
      </c>
      <c r="D38" s="39" t="str">
        <f>IFERROR(IF(VLOOKUP($A38,TableHandbook[],4,FALSE)=0,"",VLOOKUP($A38,TableHandbook[],4,FALSE)),"")</f>
        <v>Graduate Digital Creation Capstone</v>
      </c>
      <c r="E38" s="40"/>
      <c r="F38" s="193" t="str">
        <f>IFERROR(IF(VLOOKUP($A38,TableHandbook[],6,FALSE)=0,"",VLOOKUP($A38,TableHandbook[],6,FALSE)),"")</f>
        <v>None</v>
      </c>
      <c r="G38" s="41">
        <f>IFERROR(IF(VLOOKUP($A38,TableHandbook[],5,FALSE)=0,"",VLOOKUP($A38,TableHandbook[],5,FALSE)),"")</f>
        <v>25</v>
      </c>
      <c r="H38" s="55" t="str">
        <f>IFERROR(VLOOKUP($A38,TableHandbook[],H$2,FALSE),"")</f>
        <v/>
      </c>
      <c r="I38" s="215" t="str">
        <f>IFERROR(VLOOKUP($A38,TableHandbook[],I$2,FALSE),"")</f>
        <v/>
      </c>
      <c r="J38" s="45" t="str">
        <f>IFERROR(VLOOKUP($A38,TableHandbook[],J$2,FALSE),"")</f>
        <v/>
      </c>
      <c r="K38" s="56" t="str">
        <f>IFERROR(VLOOKUP($A38,TableHandbook[],K$2,FALSE),"")</f>
        <v>Y</v>
      </c>
      <c r="L38" s="46"/>
      <c r="M38" s="117">
        <v>14</v>
      </c>
      <c r="N38" s="15"/>
      <c r="O38" s="15"/>
      <c r="P38" s="15"/>
      <c r="Q38" s="15"/>
      <c r="R38" s="15"/>
      <c r="S38" s="15"/>
      <c r="T38" s="15"/>
      <c r="U38" s="15"/>
      <c r="V38" s="15"/>
      <c r="W38" s="15"/>
    </row>
    <row r="39" spans="1:23" x14ac:dyDescent="0.3">
      <c r="A39" s="158" t="str">
        <f t="shared" si="5"/>
        <v>NETS5010</v>
      </c>
      <c r="B39" s="100">
        <f>IFERROR(IF(VLOOKUP($A39,TableHandbook[],2,FALSE)=0,"",VLOOKUP($A39,TableHandbook[],2,FALSE)),"")</f>
        <v>2</v>
      </c>
      <c r="C39" s="100" t="str">
        <f>IFERROR(IF(VLOOKUP($A39,TableHandbook[],3,FALSE)=0,"",VLOOKUP($A39,TableHandbook[],3,FALSE)),"")</f>
        <v/>
      </c>
      <c r="D39" s="39" t="str">
        <f>IFERROR(IF(VLOOKUP($A39,TableHandbook[],4,FALSE)=0,"",VLOOKUP($A39,TableHandbook[],4,FALSE)),"")</f>
        <v>Graduate Web Media</v>
      </c>
      <c r="E39" s="40"/>
      <c r="F39" s="193" t="str">
        <f>IFERROR(IF(VLOOKUP($A39,TableHandbook[],6,FALSE)=0,"",VLOOKUP($A39,TableHandbook[],6,FALSE)),"")</f>
        <v>None</v>
      </c>
      <c r="G39" s="41">
        <f>IFERROR(IF(VLOOKUP($A39,TableHandbook[],5,FALSE)=0,"",VLOOKUP($A39,TableHandbook[],5,FALSE)),"")</f>
        <v>25</v>
      </c>
      <c r="H39" s="55" t="str">
        <f>IFERROR(VLOOKUP($A39,TableHandbook[],H$2,FALSE),"")</f>
        <v>Y</v>
      </c>
      <c r="I39" s="215" t="str">
        <f>IFERROR(VLOOKUP($A39,TableHandbook[],I$2,FALSE),"")</f>
        <v>Y</v>
      </c>
      <c r="J39" s="45" t="str">
        <f>IFERROR(VLOOKUP($A39,TableHandbook[],J$2,FALSE),"")</f>
        <v/>
      </c>
      <c r="K39" s="56" t="str">
        <f>IFERROR(VLOOKUP($A39,TableHandbook[],K$2,FALSE),"")</f>
        <v/>
      </c>
      <c r="L39" s="46"/>
      <c r="M39" s="117">
        <v>15</v>
      </c>
      <c r="N39" s="15"/>
      <c r="O39" s="15"/>
      <c r="P39" s="15"/>
      <c r="Q39" s="15"/>
      <c r="R39" s="15"/>
      <c r="S39" s="15"/>
      <c r="T39" s="15"/>
      <c r="U39" s="15"/>
      <c r="V39" s="15"/>
      <c r="W39" s="15"/>
    </row>
    <row r="40" spans="1:23" x14ac:dyDescent="0.3">
      <c r="A40" s="158" t="str">
        <f t="shared" si="5"/>
        <v>NETS5011</v>
      </c>
      <c r="B40" s="100">
        <f>IFERROR(IF(VLOOKUP($A40,TableHandbook[],2,FALSE)=0,"",VLOOKUP($A40,TableHandbook[],2,FALSE)),"")</f>
        <v>4</v>
      </c>
      <c r="C40" s="100" t="str">
        <f>IFERROR(IF(VLOOKUP($A40,TableHandbook[],3,FALSE)=0,"",VLOOKUP($A40,TableHandbook[],3,FALSE)),"")</f>
        <v/>
      </c>
      <c r="D40" s="39" t="str">
        <f>IFERROR(IF(VLOOKUP($A40,TableHandbook[],4,FALSE)=0,"",VLOOKUP($A40,TableHandbook[],4,FALSE)),"")</f>
        <v>Graduate Online Games and Play</v>
      </c>
      <c r="E40" s="40"/>
      <c r="F40" s="193" t="str">
        <f>IFERROR(IF(VLOOKUP($A40,TableHandbook[],6,FALSE)=0,"",VLOOKUP($A40,TableHandbook[],6,FALSE)),"")</f>
        <v>None</v>
      </c>
      <c r="G40" s="41">
        <f>IFERROR(IF(VLOOKUP($A40,TableHandbook[],5,FALSE)=0,"",VLOOKUP($A40,TableHandbook[],5,FALSE)),"")</f>
        <v>25</v>
      </c>
      <c r="H40" s="55" t="str">
        <f>IFERROR(VLOOKUP($A40,TableHandbook[],H$2,FALSE),"")</f>
        <v>Y</v>
      </c>
      <c r="I40" s="215" t="str">
        <f>IFERROR(VLOOKUP($A40,TableHandbook[],I$2,FALSE),"")</f>
        <v>Y</v>
      </c>
      <c r="J40" s="45" t="str">
        <f>IFERROR(VLOOKUP($A40,TableHandbook[],J$2,FALSE),"")</f>
        <v/>
      </c>
      <c r="K40" s="56" t="str">
        <f>IFERROR(VLOOKUP($A40,TableHandbook[],K$2,FALSE),"")</f>
        <v/>
      </c>
      <c r="L40" s="46"/>
      <c r="M40" s="117">
        <v>16</v>
      </c>
      <c r="N40" s="15"/>
      <c r="O40" s="15"/>
      <c r="P40" s="15"/>
      <c r="Q40" s="15"/>
      <c r="R40" s="15"/>
      <c r="S40" s="15"/>
      <c r="T40" s="15"/>
      <c r="U40" s="15"/>
      <c r="V40" s="15"/>
      <c r="W40" s="15"/>
    </row>
    <row r="41" spans="1:23" s="15" customFormat="1" ht="32.25" customHeight="1" x14ac:dyDescent="0.3">
      <c r="A41" s="299" t="s">
        <v>31</v>
      </c>
      <c r="B41" s="299"/>
      <c r="C41" s="299"/>
      <c r="D41" s="299"/>
      <c r="E41" s="299"/>
      <c r="F41" s="299"/>
      <c r="G41" s="299"/>
      <c r="H41" s="299"/>
      <c r="I41" s="299"/>
      <c r="J41" s="299"/>
      <c r="K41" s="299"/>
      <c r="L41" s="299"/>
    </row>
    <row r="42" spans="1:23" s="34" customFormat="1" ht="24.9" customHeight="1" x14ac:dyDescent="0.4">
      <c r="A42" s="30" t="s">
        <v>32</v>
      </c>
      <c r="B42" s="30"/>
      <c r="C42" s="30"/>
      <c r="D42" s="31"/>
      <c r="E42" s="31"/>
      <c r="F42" s="31"/>
      <c r="G42" s="31"/>
      <c r="H42" s="31"/>
      <c r="I42" s="31"/>
      <c r="J42" s="31"/>
      <c r="K42" s="31"/>
      <c r="L42" s="31"/>
      <c r="M42" s="120"/>
      <c r="N42" s="32"/>
      <c r="O42" s="32"/>
      <c r="P42" s="33"/>
      <c r="Q42" s="33"/>
      <c r="R42" s="33"/>
      <c r="S42" s="33"/>
      <c r="T42" s="33"/>
      <c r="U42" s="33"/>
      <c r="V42" s="33"/>
      <c r="W42" s="33"/>
    </row>
    <row r="43" spans="1:23" s="15" customFormat="1" ht="15" customHeight="1" x14ac:dyDescent="0.3">
      <c r="A43" s="35" t="s">
        <v>33</v>
      </c>
      <c r="B43" s="35"/>
      <c r="C43" s="35"/>
      <c r="D43" s="35"/>
      <c r="E43" s="42"/>
      <c r="F43" s="36"/>
      <c r="G43" s="43"/>
      <c r="H43" s="43"/>
      <c r="I43" s="43"/>
      <c r="J43" s="43"/>
      <c r="K43" s="43"/>
      <c r="L43" s="43" t="s">
        <v>34</v>
      </c>
    </row>
  </sheetData>
  <sheetProtection formatCells="0"/>
  <mergeCells count="2">
    <mergeCell ref="A3:D3"/>
    <mergeCell ref="A41:L41"/>
  </mergeCells>
  <conditionalFormatting sqref="A9:L17 A19:L22 A26:L40">
    <cfRule type="expression" dxfId="3" priority="3">
      <formula>$A9=""</formula>
    </cfRule>
  </conditionalFormatting>
  <conditionalFormatting sqref="A26:L40">
    <cfRule type="expression" dxfId="2" priority="4">
      <formula>LEFT($D26,5)="Study"</formula>
    </cfRule>
  </conditionalFormatting>
  <conditionalFormatting sqref="D5:D6">
    <cfRule type="containsText" dxfId="1" priority="2" operator="containsText" text="Choose">
      <formula>NOT(ISERROR(SEARCH("Choose",D5)))</formula>
    </cfRule>
  </conditionalFormatting>
  <conditionalFormatting sqref="H9:K22">
    <cfRule type="expression" dxfId="0" priority="1">
      <formula>$E9=LEFT(H$8,4)</formula>
    </cfRule>
  </conditionalFormatting>
  <dataValidations count="1">
    <dataValidation type="list" allowBlank="1" showInputMessage="1" showErrorMessage="1" sqref="L13" xr:uid="{00000000-0002-0000-0400-000000000000}"/>
  </dataValidations>
  <hyperlinks>
    <hyperlink ref="A42:L4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62"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Unitsets!$A$47:$A$49</xm:f>
          </x14:formula1>
          <xm:sqref>D6</xm:sqref>
        </x14:dataValidation>
        <x14:dataValidation type="list" showInputMessage="1" showErrorMessage="1" xr:uid="{00000000-0002-0000-0400-000002000000}">
          <x14:formula1>
            <xm:f>'Unitsets Other'!$A$68:$A$71</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AL67"/>
  <sheetViews>
    <sheetView topLeftCell="A36" zoomScale="85" zoomScaleNormal="85" workbookViewId="0">
      <selection activeCell="B61" sqref="B61"/>
    </sheetView>
  </sheetViews>
  <sheetFormatPr defaultColWidth="9" defaultRowHeight="15.6" x14ac:dyDescent="0.3"/>
  <cols>
    <col min="1" max="1" width="61.8984375" style="67" bestFit="1" customWidth="1"/>
    <col min="2" max="2" width="12.5" style="64" bestFit="1" customWidth="1"/>
    <col min="3" max="3" width="12.69921875" style="64" bestFit="1" customWidth="1"/>
    <col min="4" max="4" width="17.3984375" style="64" bestFit="1" customWidth="1"/>
    <col min="5" max="5" width="14.8984375" style="64" bestFit="1" customWidth="1"/>
    <col min="6" max="6" width="19.09765625" style="64" bestFit="1" customWidth="1"/>
    <col min="7" max="7" width="19.3984375" style="64" bestFit="1" customWidth="1"/>
    <col min="8" max="8" width="32.59765625" style="64" customWidth="1"/>
    <col min="9" max="9" width="13.09765625" style="64" customWidth="1"/>
    <col min="10" max="10" width="19.69921875" style="64" bestFit="1" customWidth="1"/>
    <col min="11" max="11" width="3.59765625" style="65" customWidth="1"/>
    <col min="12" max="12" width="7.59765625" style="65" bestFit="1" customWidth="1"/>
    <col min="13" max="13" width="15.69921875" style="65" bestFit="1" customWidth="1"/>
    <col min="14" max="14" width="10.8984375" style="65" bestFit="1" customWidth="1"/>
    <col min="15" max="15" width="16" style="65" bestFit="1" customWidth="1"/>
    <col min="16" max="16" width="10" style="65" bestFit="1" customWidth="1"/>
    <col min="17" max="17" width="16.59765625" style="65" bestFit="1" customWidth="1"/>
    <col min="18" max="18" width="6.09765625" style="65" bestFit="1" customWidth="1"/>
    <col min="19" max="19" width="16.8984375" style="65" bestFit="1" customWidth="1"/>
    <col min="20" max="20" width="6.09765625" style="65" bestFit="1" customWidth="1"/>
    <col min="21" max="21" width="15.59765625" style="65" bestFit="1" customWidth="1"/>
    <col min="22" max="22" width="6.09765625" style="65" bestFit="1" customWidth="1"/>
    <col min="23" max="23" width="15.8984375" style="65" bestFit="1" customWidth="1"/>
    <col min="24" max="24" width="6.09765625" style="65" bestFit="1" customWidth="1"/>
    <col min="25" max="25" width="15.69921875" style="65" bestFit="1" customWidth="1"/>
    <col min="26" max="26" width="6.09765625" style="65" bestFit="1" customWidth="1"/>
    <col min="27" max="27" width="16" style="65" bestFit="1" customWidth="1"/>
    <col min="28" max="28" width="6.09765625" style="65" bestFit="1" customWidth="1"/>
    <col min="29" max="29" width="16.19921875" style="65" bestFit="1" customWidth="1"/>
    <col min="30" max="30" width="6.09765625" style="65" bestFit="1" customWidth="1"/>
    <col min="31" max="31" width="16.59765625" style="65" bestFit="1" customWidth="1"/>
    <col min="32" max="34" width="5.59765625" style="65" customWidth="1"/>
    <col min="35" max="35" width="9" style="65"/>
    <col min="36" max="36" width="4.3984375" style="65" customWidth="1"/>
    <col min="37" max="37" width="34.5" style="65" bestFit="1" customWidth="1"/>
    <col min="38" max="38" width="9" style="65"/>
    <col min="39" max="39" width="20.8984375" style="65" bestFit="1" customWidth="1"/>
    <col min="40" max="16384" width="9" style="65"/>
  </cols>
  <sheetData>
    <row r="1" spans="1:38" x14ac:dyDescent="0.3">
      <c r="A1" s="62" t="s">
        <v>35</v>
      </c>
      <c r="B1" s="63"/>
      <c r="C1" s="63"/>
      <c r="D1" s="63"/>
      <c r="L1" s="66"/>
    </row>
    <row r="2" spans="1:38" x14ac:dyDescent="0.3">
      <c r="L2" s="68"/>
      <c r="M2" s="69"/>
      <c r="N2" s="70"/>
      <c r="O2" s="69"/>
      <c r="P2" s="71"/>
      <c r="Q2" s="69"/>
      <c r="R2" s="70"/>
      <c r="S2" s="69"/>
      <c r="T2" s="72"/>
      <c r="U2" s="69"/>
      <c r="X2" s="71"/>
      <c r="Y2" s="69"/>
      <c r="Z2" s="70"/>
      <c r="AA2" s="70"/>
      <c r="AB2" s="70"/>
      <c r="AC2" s="73"/>
      <c r="AD2" s="73"/>
      <c r="AE2" s="73"/>
      <c r="AF2" s="73"/>
      <c r="AG2" s="73"/>
      <c r="AH2" s="73"/>
    </row>
    <row r="3" spans="1:38" x14ac:dyDescent="0.3">
      <c r="A3" s="148" t="s">
        <v>36</v>
      </c>
      <c r="H3"/>
      <c r="J3" s="101" t="s">
        <v>37</v>
      </c>
      <c r="K3" s="74">
        <v>1</v>
      </c>
      <c r="L3" s="76"/>
      <c r="M3" s="75" t="s">
        <v>38</v>
      </c>
      <c r="N3" s="76"/>
      <c r="O3" s="75" t="s">
        <v>39</v>
      </c>
      <c r="P3" s="76"/>
      <c r="Q3" s="75" t="s">
        <v>40</v>
      </c>
      <c r="R3" s="76"/>
      <c r="S3" s="75" t="s">
        <v>41</v>
      </c>
      <c r="T3" s="76"/>
      <c r="U3" s="75" t="s">
        <v>42</v>
      </c>
      <c r="V3" s="76"/>
      <c r="W3" s="75" t="s">
        <v>43</v>
      </c>
      <c r="X3" s="76"/>
      <c r="Y3" s="75" t="s">
        <v>44</v>
      </c>
      <c r="Z3" s="76"/>
      <c r="AA3" s="75" t="s">
        <v>45</v>
      </c>
      <c r="AB3" s="76"/>
      <c r="AC3" s="75" t="s">
        <v>46</v>
      </c>
      <c r="AD3" s="76"/>
      <c r="AE3" s="75" t="s">
        <v>47</v>
      </c>
      <c r="AF3" s="77"/>
      <c r="AG3" s="73"/>
      <c r="AH3" s="73"/>
      <c r="AI3" s="73"/>
      <c r="AJ3" s="73"/>
      <c r="AK3" s="73"/>
      <c r="AL3" s="73"/>
    </row>
    <row r="4" spans="1:38" x14ac:dyDescent="0.3">
      <c r="A4" s="64" t="s">
        <v>48</v>
      </c>
      <c r="B4" s="67" t="s">
        <v>0</v>
      </c>
      <c r="C4" s="64" t="s">
        <v>49</v>
      </c>
      <c r="D4" s="64" t="s">
        <v>50</v>
      </c>
      <c r="E4" s="90" t="s">
        <v>51</v>
      </c>
      <c r="F4" s="90" t="s">
        <v>52</v>
      </c>
      <c r="G4" s="64" t="s">
        <v>53</v>
      </c>
      <c r="H4" s="64" t="s">
        <v>54</v>
      </c>
      <c r="K4" s="78">
        <v>2</v>
      </c>
      <c r="L4" s="97" t="s">
        <v>55</v>
      </c>
      <c r="M4" s="79" t="s">
        <v>56</v>
      </c>
      <c r="N4" s="97" t="s">
        <v>57</v>
      </c>
      <c r="O4" s="79" t="s">
        <v>56</v>
      </c>
      <c r="P4" s="97" t="s">
        <v>55</v>
      </c>
      <c r="Q4" s="79" t="s">
        <v>56</v>
      </c>
      <c r="R4" s="97" t="s">
        <v>57</v>
      </c>
      <c r="S4" s="79" t="s">
        <v>56</v>
      </c>
      <c r="T4" s="97" t="s">
        <v>55</v>
      </c>
      <c r="U4" s="79" t="s">
        <v>56</v>
      </c>
      <c r="V4" s="97" t="s">
        <v>57</v>
      </c>
      <c r="W4" s="79" t="s">
        <v>56</v>
      </c>
      <c r="X4" s="97" t="s">
        <v>55</v>
      </c>
      <c r="Y4" s="79" t="s">
        <v>56</v>
      </c>
      <c r="Z4" s="97" t="s">
        <v>57</v>
      </c>
      <c r="AA4" s="79" t="s">
        <v>56</v>
      </c>
      <c r="AB4" s="97" t="s">
        <v>55</v>
      </c>
      <c r="AC4" s="79" t="s">
        <v>56</v>
      </c>
      <c r="AD4" s="97" t="s">
        <v>57</v>
      </c>
      <c r="AE4" s="79" t="s">
        <v>56</v>
      </c>
      <c r="AF4" s="74"/>
      <c r="AG4" s="73"/>
      <c r="AH4" s="73"/>
      <c r="AI4" s="73"/>
      <c r="AJ4" s="73"/>
      <c r="AK4" s="73"/>
      <c r="AL4" s="73"/>
    </row>
    <row r="5" spans="1:38" x14ac:dyDescent="0.3">
      <c r="A5" s="90" t="s">
        <v>11</v>
      </c>
      <c r="B5" s="220" t="s">
        <v>58</v>
      </c>
      <c r="C5" s="222" t="s">
        <v>59</v>
      </c>
      <c r="D5" s="223">
        <v>45658</v>
      </c>
      <c r="E5" s="222">
        <v>4</v>
      </c>
      <c r="F5" s="223">
        <v>45658</v>
      </c>
      <c r="G5" s="188" t="s">
        <v>60</v>
      </c>
      <c r="H5" s="220" t="s">
        <v>61</v>
      </c>
      <c r="K5" s="78">
        <v>3</v>
      </c>
      <c r="L5" s="98" t="s">
        <v>55</v>
      </c>
      <c r="M5" s="80" t="s">
        <v>62</v>
      </c>
      <c r="N5" s="98" t="s">
        <v>57</v>
      </c>
      <c r="O5" s="80" t="s">
        <v>62</v>
      </c>
      <c r="P5" s="98" t="s">
        <v>55</v>
      </c>
      <c r="Q5" s="80" t="s">
        <v>63</v>
      </c>
      <c r="R5" s="98" t="s">
        <v>57</v>
      </c>
      <c r="S5" s="80" t="s">
        <v>64</v>
      </c>
      <c r="T5" s="98" t="s">
        <v>55</v>
      </c>
      <c r="U5" s="102" t="s">
        <v>65</v>
      </c>
      <c r="V5" s="98" t="s">
        <v>57</v>
      </c>
      <c r="W5" s="102" t="s">
        <v>65</v>
      </c>
      <c r="X5" s="98" t="s">
        <v>55</v>
      </c>
      <c r="Y5" s="80" t="s">
        <v>66</v>
      </c>
      <c r="Z5" s="98" t="s">
        <v>57</v>
      </c>
      <c r="AA5" s="80" t="s">
        <v>66</v>
      </c>
      <c r="AB5" s="98" t="s">
        <v>55</v>
      </c>
      <c r="AC5" s="80" t="s">
        <v>67</v>
      </c>
      <c r="AD5" s="98" t="s">
        <v>57</v>
      </c>
      <c r="AE5" s="80" t="s">
        <v>68</v>
      </c>
      <c r="AF5" s="74"/>
      <c r="AG5" s="73"/>
      <c r="AH5" s="73"/>
      <c r="AI5" s="73"/>
      <c r="AJ5" s="73"/>
      <c r="AK5" s="73"/>
      <c r="AL5" s="73"/>
    </row>
    <row r="6" spans="1:38" x14ac:dyDescent="0.3">
      <c r="A6" s="179" t="s">
        <v>69</v>
      </c>
      <c r="B6" s="220" t="s">
        <v>70</v>
      </c>
      <c r="C6" s="220" t="s">
        <v>71</v>
      </c>
      <c r="D6" s="221">
        <v>45292</v>
      </c>
      <c r="E6" s="220">
        <v>2</v>
      </c>
      <c r="F6" s="221">
        <v>45292</v>
      </c>
      <c r="G6" s="188" t="s">
        <v>72</v>
      </c>
      <c r="H6" s="220" t="s">
        <v>73</v>
      </c>
      <c r="K6" s="78">
        <v>4</v>
      </c>
      <c r="L6" s="98" t="s">
        <v>55</v>
      </c>
      <c r="M6" s="80" t="s">
        <v>62</v>
      </c>
      <c r="N6" s="98" t="s">
        <v>57</v>
      </c>
      <c r="O6" s="80" t="s">
        <v>62</v>
      </c>
      <c r="P6" s="98" t="s">
        <v>55</v>
      </c>
      <c r="Q6" s="80" t="s">
        <v>63</v>
      </c>
      <c r="R6" s="98" t="s">
        <v>57</v>
      </c>
      <c r="S6" s="80" t="s">
        <v>63</v>
      </c>
      <c r="T6" s="98" t="s">
        <v>55</v>
      </c>
      <c r="U6" s="80" t="s">
        <v>74</v>
      </c>
      <c r="V6" s="98" t="s">
        <v>57</v>
      </c>
      <c r="W6" s="80" t="s">
        <v>74</v>
      </c>
      <c r="X6" s="98" t="s">
        <v>55</v>
      </c>
      <c r="Y6" s="80" t="s">
        <v>66</v>
      </c>
      <c r="Z6" s="98" t="s">
        <v>57</v>
      </c>
      <c r="AA6" s="80" t="s">
        <v>66</v>
      </c>
      <c r="AB6" s="98" t="s">
        <v>55</v>
      </c>
      <c r="AC6" s="80" t="s">
        <v>75</v>
      </c>
      <c r="AD6" s="98" t="s">
        <v>57</v>
      </c>
      <c r="AE6" s="80" t="s">
        <v>75</v>
      </c>
      <c r="AF6" s="74"/>
      <c r="AG6" s="73"/>
      <c r="AH6" s="73"/>
      <c r="AI6" s="73"/>
      <c r="AJ6" s="73"/>
      <c r="AK6" s="73"/>
      <c r="AL6" s="73"/>
    </row>
    <row r="7" spans="1:38" x14ac:dyDescent="0.3">
      <c r="A7" s="179" t="s">
        <v>76</v>
      </c>
      <c r="B7" s="220" t="s">
        <v>77</v>
      </c>
      <c r="C7" s="220" t="s">
        <v>71</v>
      </c>
      <c r="D7" s="221">
        <v>45292</v>
      </c>
      <c r="E7" s="220">
        <v>2</v>
      </c>
      <c r="F7" s="221">
        <v>45292</v>
      </c>
      <c r="G7" s="188" t="s">
        <v>78</v>
      </c>
      <c r="H7" s="220" t="s">
        <v>79</v>
      </c>
      <c r="K7" s="78">
        <v>5</v>
      </c>
      <c r="L7" s="98" t="s">
        <v>55</v>
      </c>
      <c r="M7" s="80" t="s">
        <v>62</v>
      </c>
      <c r="N7" s="98" t="s">
        <v>57</v>
      </c>
      <c r="O7" s="80" t="s">
        <v>62</v>
      </c>
      <c r="P7" s="98" t="s">
        <v>55</v>
      </c>
      <c r="Q7" s="80" t="s">
        <v>63</v>
      </c>
      <c r="R7" s="98" t="s">
        <v>57</v>
      </c>
      <c r="S7" s="80" t="s">
        <v>63</v>
      </c>
      <c r="T7" s="98" t="s">
        <v>55</v>
      </c>
      <c r="U7" s="80" t="s">
        <v>74</v>
      </c>
      <c r="V7" s="98" t="s">
        <v>57</v>
      </c>
      <c r="W7" s="80" t="s">
        <v>74</v>
      </c>
      <c r="X7" s="98" t="s">
        <v>55</v>
      </c>
      <c r="Y7" s="80" t="s">
        <v>66</v>
      </c>
      <c r="Z7" s="98" t="s">
        <v>57</v>
      </c>
      <c r="AA7" s="80" t="s">
        <v>66</v>
      </c>
      <c r="AB7" s="98" t="s">
        <v>55</v>
      </c>
      <c r="AC7" s="80" t="s">
        <v>80</v>
      </c>
      <c r="AD7" s="98" t="s">
        <v>57</v>
      </c>
      <c r="AE7" s="80" t="s">
        <v>80</v>
      </c>
      <c r="AF7" s="74"/>
      <c r="AG7" s="82"/>
      <c r="AH7" s="81"/>
      <c r="AI7" s="82"/>
      <c r="AJ7" s="81"/>
      <c r="AK7" s="81"/>
    </row>
    <row r="8" spans="1:38" x14ac:dyDescent="0.3">
      <c r="A8" s="179" t="s">
        <v>81</v>
      </c>
      <c r="B8" s="220" t="s">
        <v>82</v>
      </c>
      <c r="C8" s="220" t="s">
        <v>71</v>
      </c>
      <c r="D8" s="221">
        <v>45292</v>
      </c>
      <c r="E8" s="220">
        <v>3</v>
      </c>
      <c r="F8" s="221">
        <v>45292</v>
      </c>
      <c r="G8" s="188" t="s">
        <v>83</v>
      </c>
      <c r="H8" s="220" t="s">
        <v>73</v>
      </c>
      <c r="K8" s="78">
        <v>6</v>
      </c>
      <c r="L8" s="98" t="s">
        <v>57</v>
      </c>
      <c r="M8" s="80" t="s">
        <v>84</v>
      </c>
      <c r="N8" s="98" t="s">
        <v>55</v>
      </c>
      <c r="O8" s="80" t="s">
        <v>84</v>
      </c>
      <c r="P8" s="98" t="s">
        <v>57</v>
      </c>
      <c r="Q8" s="80" t="s">
        <v>84</v>
      </c>
      <c r="R8" s="98" t="s">
        <v>55</v>
      </c>
      <c r="S8" s="80" t="s">
        <v>84</v>
      </c>
      <c r="T8" s="98" t="s">
        <v>57</v>
      </c>
      <c r="U8" s="80" t="s">
        <v>84</v>
      </c>
      <c r="V8" s="98" t="s">
        <v>55</v>
      </c>
      <c r="W8" s="80" t="s">
        <v>84</v>
      </c>
      <c r="X8" s="98" t="s">
        <v>57</v>
      </c>
      <c r="Y8" s="80" t="s">
        <v>84</v>
      </c>
      <c r="Z8" s="98" t="s">
        <v>55</v>
      </c>
      <c r="AA8" s="80" t="s">
        <v>84</v>
      </c>
      <c r="AB8" s="98" t="s">
        <v>57</v>
      </c>
      <c r="AC8" s="80" t="s">
        <v>84</v>
      </c>
      <c r="AD8" s="98" t="s">
        <v>55</v>
      </c>
      <c r="AE8" s="80" t="s">
        <v>84</v>
      </c>
      <c r="AF8" s="74"/>
      <c r="AG8" s="82"/>
      <c r="AH8" s="81"/>
      <c r="AI8" s="82"/>
      <c r="AJ8" s="83"/>
      <c r="AK8" s="81"/>
    </row>
    <row r="9" spans="1:38" x14ac:dyDescent="0.3">
      <c r="A9" s="179" t="s">
        <v>85</v>
      </c>
      <c r="B9" s="220" t="s">
        <v>86</v>
      </c>
      <c r="C9" s="220" t="s">
        <v>87</v>
      </c>
      <c r="D9" s="221">
        <v>45292</v>
      </c>
      <c r="E9" s="220">
        <v>1</v>
      </c>
      <c r="F9" s="221">
        <v>45292</v>
      </c>
      <c r="G9" s="188" t="s">
        <v>60</v>
      </c>
      <c r="H9" s="220" t="s">
        <v>61</v>
      </c>
      <c r="K9" s="78">
        <v>7</v>
      </c>
      <c r="L9" s="98" t="s">
        <v>57</v>
      </c>
      <c r="M9" s="80" t="s">
        <v>62</v>
      </c>
      <c r="N9" s="98" t="s">
        <v>55</v>
      </c>
      <c r="O9" s="80" t="s">
        <v>62</v>
      </c>
      <c r="P9" s="98" t="s">
        <v>57</v>
      </c>
      <c r="Q9" s="80" t="s">
        <v>64</v>
      </c>
      <c r="R9" s="98" t="s">
        <v>55</v>
      </c>
      <c r="S9" s="80" t="s">
        <v>63</v>
      </c>
      <c r="T9" s="98" t="s">
        <v>57</v>
      </c>
      <c r="U9" s="80" t="s">
        <v>74</v>
      </c>
      <c r="V9" s="98" t="s">
        <v>55</v>
      </c>
      <c r="W9" s="80" t="s">
        <v>74</v>
      </c>
      <c r="X9" s="98" t="s">
        <v>57</v>
      </c>
      <c r="Y9" s="80" t="s">
        <v>66</v>
      </c>
      <c r="Z9" s="98" t="s">
        <v>55</v>
      </c>
      <c r="AA9" s="80" t="s">
        <v>66</v>
      </c>
      <c r="AB9" s="98" t="s">
        <v>57</v>
      </c>
      <c r="AC9" s="80" t="s">
        <v>68</v>
      </c>
      <c r="AD9" s="98" t="s">
        <v>55</v>
      </c>
      <c r="AE9" s="80" t="s">
        <v>67</v>
      </c>
      <c r="AF9" s="74"/>
      <c r="AJ9" s="81"/>
      <c r="AK9" s="81"/>
    </row>
    <row r="10" spans="1:38" x14ac:dyDescent="0.3">
      <c r="A10" s="179" t="s">
        <v>88</v>
      </c>
      <c r="B10" s="220" t="s">
        <v>89</v>
      </c>
      <c r="C10" s="220" t="s">
        <v>87</v>
      </c>
      <c r="D10" s="221">
        <v>42005</v>
      </c>
      <c r="E10" s="220">
        <v>2</v>
      </c>
      <c r="F10" s="221">
        <v>44197</v>
      </c>
      <c r="G10" s="188" t="s">
        <v>72</v>
      </c>
      <c r="H10" s="220" t="s">
        <v>90</v>
      </c>
      <c r="K10" s="78">
        <v>8</v>
      </c>
      <c r="L10" s="98" t="s">
        <v>57</v>
      </c>
      <c r="M10" s="80" t="s">
        <v>62</v>
      </c>
      <c r="N10" s="98" t="s">
        <v>55</v>
      </c>
      <c r="O10" s="80" t="s">
        <v>62</v>
      </c>
      <c r="P10" s="98" t="s">
        <v>57</v>
      </c>
      <c r="Q10" s="80" t="s">
        <v>63</v>
      </c>
      <c r="R10" s="98" t="s">
        <v>55</v>
      </c>
      <c r="S10" s="80" t="s">
        <v>63</v>
      </c>
      <c r="T10" s="98" t="s">
        <v>57</v>
      </c>
      <c r="U10" s="80" t="s">
        <v>74</v>
      </c>
      <c r="V10" s="98" t="s">
        <v>55</v>
      </c>
      <c r="W10" s="80" t="s">
        <v>74</v>
      </c>
      <c r="X10" s="98" t="s">
        <v>57</v>
      </c>
      <c r="Y10" s="80" t="s">
        <v>66</v>
      </c>
      <c r="Z10" s="98" t="s">
        <v>55</v>
      </c>
      <c r="AA10" s="80" t="s">
        <v>66</v>
      </c>
      <c r="AB10" s="98" t="s">
        <v>57</v>
      </c>
      <c r="AC10" s="80" t="s">
        <v>91</v>
      </c>
      <c r="AD10" s="98" t="s">
        <v>55</v>
      </c>
      <c r="AE10" s="80" t="s">
        <v>91</v>
      </c>
      <c r="AF10" s="74"/>
      <c r="AJ10" s="81"/>
      <c r="AK10" s="81"/>
    </row>
    <row r="11" spans="1:38" x14ac:dyDescent="0.3">
      <c r="A11" s="179" t="s">
        <v>92</v>
      </c>
      <c r="B11" s="220" t="s">
        <v>93</v>
      </c>
      <c r="C11" s="220" t="s">
        <v>87</v>
      </c>
      <c r="D11" s="221">
        <v>42005</v>
      </c>
      <c r="E11" s="220">
        <v>1</v>
      </c>
      <c r="F11" s="221">
        <v>42005</v>
      </c>
      <c r="G11" s="188" t="s">
        <v>78</v>
      </c>
      <c r="H11" s="220" t="s">
        <v>79</v>
      </c>
      <c r="K11" s="78">
        <v>9</v>
      </c>
      <c r="L11" s="98" t="s">
        <v>57</v>
      </c>
      <c r="M11" s="80" t="s">
        <v>62</v>
      </c>
      <c r="N11" s="99" t="s">
        <v>55</v>
      </c>
      <c r="O11" s="80" t="s">
        <v>62</v>
      </c>
      <c r="P11" s="98" t="s">
        <v>57</v>
      </c>
      <c r="Q11" s="80" t="s">
        <v>63</v>
      </c>
      <c r="R11" s="99" t="s">
        <v>55</v>
      </c>
      <c r="S11" s="80" t="s">
        <v>63</v>
      </c>
      <c r="T11" s="98" t="s">
        <v>57</v>
      </c>
      <c r="U11" s="80" t="s">
        <v>74</v>
      </c>
      <c r="V11" s="99" t="s">
        <v>55</v>
      </c>
      <c r="W11" s="80" t="s">
        <v>74</v>
      </c>
      <c r="X11" s="98" t="s">
        <v>57</v>
      </c>
      <c r="Y11" s="80" t="s">
        <v>66</v>
      </c>
      <c r="Z11" s="99" t="s">
        <v>55</v>
      </c>
      <c r="AA11" s="80" t="s">
        <v>66</v>
      </c>
      <c r="AB11" s="98" t="s">
        <v>57</v>
      </c>
      <c r="AC11" s="102" t="s">
        <v>94</v>
      </c>
      <c r="AD11" s="99" t="s">
        <v>55</v>
      </c>
      <c r="AE11" s="102" t="s">
        <v>94</v>
      </c>
      <c r="AF11" s="74"/>
      <c r="AJ11" s="81"/>
      <c r="AK11" s="81"/>
    </row>
    <row r="12" spans="1:38" x14ac:dyDescent="0.3">
      <c r="A12" s="179" t="s">
        <v>95</v>
      </c>
      <c r="B12" s="220" t="s">
        <v>96</v>
      </c>
      <c r="C12" s="220" t="s">
        <v>71</v>
      </c>
      <c r="D12" s="221">
        <v>45292</v>
      </c>
      <c r="E12" s="220">
        <v>2</v>
      </c>
      <c r="F12" s="221">
        <v>45292</v>
      </c>
      <c r="G12" s="188" t="s">
        <v>83</v>
      </c>
      <c r="H12" s="220" t="s">
        <v>90</v>
      </c>
      <c r="K12" s="78">
        <v>10</v>
      </c>
      <c r="L12" s="97" t="s">
        <v>97</v>
      </c>
      <c r="M12" s="79" t="s">
        <v>62</v>
      </c>
      <c r="N12" s="98" t="s">
        <v>98</v>
      </c>
      <c r="O12" s="79" t="s">
        <v>62</v>
      </c>
      <c r="P12" s="97" t="s">
        <v>97</v>
      </c>
      <c r="Q12" s="79" t="s">
        <v>63</v>
      </c>
      <c r="R12" s="98" t="s">
        <v>98</v>
      </c>
      <c r="S12" s="79" t="s">
        <v>63</v>
      </c>
      <c r="T12" s="97" t="s">
        <v>97</v>
      </c>
      <c r="U12" s="79" t="s">
        <v>99</v>
      </c>
      <c r="V12" s="98" t="s">
        <v>98</v>
      </c>
      <c r="W12" s="79" t="s">
        <v>99</v>
      </c>
      <c r="X12" s="97" t="s">
        <v>97</v>
      </c>
      <c r="Y12" s="79" t="s">
        <v>100</v>
      </c>
      <c r="Z12" s="98" t="s">
        <v>98</v>
      </c>
      <c r="AA12" s="79" t="s">
        <v>100</v>
      </c>
      <c r="AB12" s="97" t="s">
        <v>97</v>
      </c>
      <c r="AC12" s="79" t="s">
        <v>101</v>
      </c>
      <c r="AD12" s="98" t="s">
        <v>98</v>
      </c>
      <c r="AE12" s="79" t="s">
        <v>102</v>
      </c>
      <c r="AF12" s="84"/>
      <c r="AJ12" s="81"/>
      <c r="AK12" s="81"/>
    </row>
    <row r="13" spans="1:38" x14ac:dyDescent="0.3">
      <c r="A13" s="179" t="s">
        <v>103</v>
      </c>
      <c r="B13" s="220" t="s">
        <v>104</v>
      </c>
      <c r="C13" s="220" t="s">
        <v>87</v>
      </c>
      <c r="D13" s="221">
        <v>45292</v>
      </c>
      <c r="E13" s="220">
        <v>2</v>
      </c>
      <c r="F13" s="221">
        <v>45292</v>
      </c>
      <c r="G13" s="188" t="s">
        <v>60</v>
      </c>
      <c r="H13" s="220" t="s">
        <v>90</v>
      </c>
      <c r="K13" s="78">
        <v>11</v>
      </c>
      <c r="L13" s="98" t="s">
        <v>97</v>
      </c>
      <c r="M13" s="80" t="s">
        <v>62</v>
      </c>
      <c r="N13" s="98" t="s">
        <v>98</v>
      </c>
      <c r="O13" s="80" t="s">
        <v>62</v>
      </c>
      <c r="P13" s="98" t="s">
        <v>97</v>
      </c>
      <c r="Q13" s="80" t="s">
        <v>63</v>
      </c>
      <c r="R13" s="98" t="s">
        <v>98</v>
      </c>
      <c r="S13" s="80" t="s">
        <v>63</v>
      </c>
      <c r="T13" s="98" t="s">
        <v>97</v>
      </c>
      <c r="U13" s="80" t="s">
        <v>99</v>
      </c>
      <c r="V13" s="98" t="s">
        <v>98</v>
      </c>
      <c r="W13" s="80" t="s">
        <v>99</v>
      </c>
      <c r="X13" s="98" t="s">
        <v>97</v>
      </c>
      <c r="Y13" s="80" t="s">
        <v>100</v>
      </c>
      <c r="Z13" s="98" t="s">
        <v>98</v>
      </c>
      <c r="AA13" s="80" t="s">
        <v>100</v>
      </c>
      <c r="AB13" s="98" t="s">
        <v>97</v>
      </c>
      <c r="AC13" s="80" t="s">
        <v>102</v>
      </c>
      <c r="AD13" s="98" t="s">
        <v>98</v>
      </c>
      <c r="AE13" s="80" t="s">
        <v>102</v>
      </c>
      <c r="AF13" s="84"/>
      <c r="AJ13" s="81"/>
      <c r="AK13" s="81"/>
    </row>
    <row r="14" spans="1:38" x14ac:dyDescent="0.3">
      <c r="A14" s="179" t="s">
        <v>105</v>
      </c>
      <c r="B14" s="83" t="s">
        <v>106</v>
      </c>
      <c r="C14" s="83" t="s">
        <v>71</v>
      </c>
      <c r="D14" s="219">
        <v>43831</v>
      </c>
      <c r="E14" s="83">
        <v>6</v>
      </c>
      <c r="F14" s="219" t="s">
        <v>107</v>
      </c>
      <c r="G14" s="188" t="s">
        <v>72</v>
      </c>
      <c r="H14" s="220" t="s">
        <v>108</v>
      </c>
      <c r="K14" s="78">
        <v>12</v>
      </c>
      <c r="L14" s="98" t="s">
        <v>97</v>
      </c>
      <c r="M14" s="80" t="s">
        <v>62</v>
      </c>
      <c r="N14" s="98" t="s">
        <v>98</v>
      </c>
      <c r="O14" s="80" t="s">
        <v>62</v>
      </c>
      <c r="P14" s="98" t="s">
        <v>97</v>
      </c>
      <c r="Q14" s="80" t="s">
        <v>63</v>
      </c>
      <c r="R14" s="98" t="s">
        <v>98</v>
      </c>
      <c r="S14" s="80" t="s">
        <v>63</v>
      </c>
      <c r="T14" s="98" t="s">
        <v>97</v>
      </c>
      <c r="U14" s="80" t="s">
        <v>99</v>
      </c>
      <c r="V14" s="98" t="s">
        <v>98</v>
      </c>
      <c r="W14" s="80" t="s">
        <v>99</v>
      </c>
      <c r="X14" s="98" t="s">
        <v>97</v>
      </c>
      <c r="Y14" s="80" t="s">
        <v>100</v>
      </c>
      <c r="Z14" s="98" t="s">
        <v>98</v>
      </c>
      <c r="AA14" s="80" t="s">
        <v>100</v>
      </c>
      <c r="AB14" s="98" t="s">
        <v>97</v>
      </c>
      <c r="AC14" s="80" t="s">
        <v>102</v>
      </c>
      <c r="AD14" s="98" t="s">
        <v>98</v>
      </c>
      <c r="AE14" s="80" t="s">
        <v>102</v>
      </c>
      <c r="AF14" s="84"/>
      <c r="AJ14" s="81"/>
      <c r="AK14" s="81"/>
    </row>
    <row r="15" spans="1:38" x14ac:dyDescent="0.3">
      <c r="A15" s="179" t="s">
        <v>109</v>
      </c>
      <c r="B15" s="83" t="s">
        <v>110</v>
      </c>
      <c r="C15" s="83" t="s">
        <v>71</v>
      </c>
      <c r="D15" s="219">
        <v>43831</v>
      </c>
      <c r="E15" s="83">
        <v>5</v>
      </c>
      <c r="F15" s="219" t="s">
        <v>107</v>
      </c>
      <c r="G15" s="188" t="s">
        <v>78</v>
      </c>
      <c r="H15" s="220" t="s">
        <v>108</v>
      </c>
      <c r="K15" s="78">
        <v>13</v>
      </c>
      <c r="L15" s="98" t="s">
        <v>97</v>
      </c>
      <c r="M15" s="80" t="s">
        <v>62</v>
      </c>
      <c r="N15" s="98" t="s">
        <v>98</v>
      </c>
      <c r="O15" s="80" t="s">
        <v>62</v>
      </c>
      <c r="P15" s="98" t="s">
        <v>97</v>
      </c>
      <c r="Q15" s="80" t="s">
        <v>63</v>
      </c>
      <c r="R15" s="98" t="s">
        <v>98</v>
      </c>
      <c r="S15" s="80" t="s">
        <v>63</v>
      </c>
      <c r="T15" s="98" t="s">
        <v>97</v>
      </c>
      <c r="U15" s="80" t="s">
        <v>99</v>
      </c>
      <c r="V15" s="98" t="s">
        <v>98</v>
      </c>
      <c r="W15" s="80" t="s">
        <v>99</v>
      </c>
      <c r="X15" s="98" t="s">
        <v>97</v>
      </c>
      <c r="Y15" s="80" t="s">
        <v>100</v>
      </c>
      <c r="Z15" s="98" t="s">
        <v>98</v>
      </c>
      <c r="AA15" s="80" t="s">
        <v>100</v>
      </c>
      <c r="AB15" s="98" t="s">
        <v>97</v>
      </c>
      <c r="AC15" s="80" t="s">
        <v>102</v>
      </c>
      <c r="AD15" s="98" t="s">
        <v>98</v>
      </c>
      <c r="AE15" s="80" t="s">
        <v>102</v>
      </c>
      <c r="AF15" s="84"/>
      <c r="AJ15" s="81"/>
      <c r="AK15" s="81"/>
    </row>
    <row r="16" spans="1:38" x14ac:dyDescent="0.3">
      <c r="A16" s="179" t="s">
        <v>111</v>
      </c>
      <c r="B16" s="83" t="s">
        <v>112</v>
      </c>
      <c r="C16" s="83" t="s">
        <v>113</v>
      </c>
      <c r="D16" s="219">
        <v>45292</v>
      </c>
      <c r="E16" s="83">
        <v>6</v>
      </c>
      <c r="F16" s="219" t="s">
        <v>107</v>
      </c>
      <c r="G16" s="188" t="s">
        <v>83</v>
      </c>
      <c r="H16" s="220" t="s">
        <v>108</v>
      </c>
      <c r="K16" s="78">
        <v>14</v>
      </c>
      <c r="L16" s="98" t="s">
        <v>98</v>
      </c>
      <c r="M16" s="80" t="s">
        <v>62</v>
      </c>
      <c r="N16" s="98" t="s">
        <v>97</v>
      </c>
      <c r="O16" s="80" t="s">
        <v>62</v>
      </c>
      <c r="P16" s="98" t="s">
        <v>98</v>
      </c>
      <c r="Q16" s="80" t="s">
        <v>63</v>
      </c>
      <c r="R16" s="98" t="s">
        <v>97</v>
      </c>
      <c r="S16" s="80" t="s">
        <v>63</v>
      </c>
      <c r="T16" s="98" t="s">
        <v>98</v>
      </c>
      <c r="U16" s="80" t="s">
        <v>99</v>
      </c>
      <c r="V16" s="98" t="s">
        <v>97</v>
      </c>
      <c r="W16" s="80" t="s">
        <v>99</v>
      </c>
      <c r="X16" s="98" t="s">
        <v>98</v>
      </c>
      <c r="Y16" s="80" t="s">
        <v>100</v>
      </c>
      <c r="Z16" s="98" t="s">
        <v>97</v>
      </c>
      <c r="AA16" s="80" t="s">
        <v>100</v>
      </c>
      <c r="AB16" s="98" t="s">
        <v>98</v>
      </c>
      <c r="AC16" s="80" t="s">
        <v>102</v>
      </c>
      <c r="AD16" s="98" t="s">
        <v>97</v>
      </c>
      <c r="AE16" s="80" t="s">
        <v>101</v>
      </c>
      <c r="AF16" s="84"/>
      <c r="AG16" s="82"/>
      <c r="AH16" s="81"/>
      <c r="AI16" s="89"/>
      <c r="AJ16" s="81"/>
      <c r="AK16" s="81"/>
    </row>
    <row r="17" spans="1:38" x14ac:dyDescent="0.3">
      <c r="A17" s="179" t="s">
        <v>114</v>
      </c>
      <c r="B17" s="83" t="s">
        <v>115</v>
      </c>
      <c r="C17" s="83" t="s">
        <v>87</v>
      </c>
      <c r="D17" s="219">
        <v>42005</v>
      </c>
      <c r="E17" s="83">
        <v>2</v>
      </c>
      <c r="F17" s="219" t="s">
        <v>107</v>
      </c>
      <c r="G17" s="188" t="s">
        <v>72</v>
      </c>
      <c r="H17" s="220" t="s">
        <v>108</v>
      </c>
      <c r="K17" s="78">
        <v>15</v>
      </c>
      <c r="L17" s="98" t="s">
        <v>98</v>
      </c>
      <c r="M17" s="80" t="s">
        <v>62</v>
      </c>
      <c r="N17" s="98" t="s">
        <v>97</v>
      </c>
      <c r="O17" s="80" t="s">
        <v>62</v>
      </c>
      <c r="P17" s="98" t="s">
        <v>98</v>
      </c>
      <c r="Q17" s="80" t="s">
        <v>63</v>
      </c>
      <c r="R17" s="98" t="s">
        <v>97</v>
      </c>
      <c r="S17" s="80" t="s">
        <v>63</v>
      </c>
      <c r="T17" s="98" t="s">
        <v>98</v>
      </c>
      <c r="U17" s="80" t="s">
        <v>99</v>
      </c>
      <c r="V17" s="98" t="s">
        <v>97</v>
      </c>
      <c r="W17" s="80" t="s">
        <v>99</v>
      </c>
      <c r="X17" s="98" t="s">
        <v>98</v>
      </c>
      <c r="Y17" s="80" t="s">
        <v>100</v>
      </c>
      <c r="Z17" s="98" t="s">
        <v>97</v>
      </c>
      <c r="AA17" s="80" t="s">
        <v>100</v>
      </c>
      <c r="AB17" s="98" t="s">
        <v>98</v>
      </c>
      <c r="AC17" s="80" t="s">
        <v>102</v>
      </c>
      <c r="AD17" s="98" t="s">
        <v>97</v>
      </c>
      <c r="AE17" s="80" t="s">
        <v>102</v>
      </c>
      <c r="AF17" s="84"/>
      <c r="AG17" s="82"/>
      <c r="AH17" s="81"/>
      <c r="AI17" s="89"/>
      <c r="AJ17" s="81"/>
      <c r="AK17" s="81"/>
    </row>
    <row r="18" spans="1:38" x14ac:dyDescent="0.3">
      <c r="A18" s="179" t="s">
        <v>116</v>
      </c>
      <c r="B18" s="83" t="s">
        <v>117</v>
      </c>
      <c r="C18" s="83" t="s">
        <v>87</v>
      </c>
      <c r="D18" s="219">
        <v>42005</v>
      </c>
      <c r="E18" s="83">
        <v>2</v>
      </c>
      <c r="F18" s="219" t="s">
        <v>107</v>
      </c>
      <c r="G18" s="188" t="s">
        <v>78</v>
      </c>
      <c r="H18" s="220" t="s">
        <v>108</v>
      </c>
      <c r="K18" s="78">
        <v>16</v>
      </c>
      <c r="L18" s="98" t="s">
        <v>98</v>
      </c>
      <c r="M18" s="173" t="s">
        <v>118</v>
      </c>
      <c r="N18" s="98" t="s">
        <v>97</v>
      </c>
      <c r="O18" s="173" t="s">
        <v>118</v>
      </c>
      <c r="P18" s="98" t="s">
        <v>98</v>
      </c>
      <c r="Q18" s="173" t="s">
        <v>119</v>
      </c>
      <c r="R18" s="98" t="s">
        <v>97</v>
      </c>
      <c r="S18" s="173" t="s">
        <v>119</v>
      </c>
      <c r="T18" s="98" t="s">
        <v>98</v>
      </c>
      <c r="U18" s="173" t="s">
        <v>120</v>
      </c>
      <c r="V18" s="98" t="s">
        <v>97</v>
      </c>
      <c r="W18" s="173" t="s">
        <v>120</v>
      </c>
      <c r="X18" s="98" t="s">
        <v>98</v>
      </c>
      <c r="Y18" s="173" t="s">
        <v>121</v>
      </c>
      <c r="Z18" s="98" t="s">
        <v>97</v>
      </c>
      <c r="AA18" s="173" t="s">
        <v>121</v>
      </c>
      <c r="AB18" s="98" t="s">
        <v>98</v>
      </c>
      <c r="AC18" s="173" t="s">
        <v>122</v>
      </c>
      <c r="AD18" s="98" t="s">
        <v>97</v>
      </c>
      <c r="AE18" s="173" t="s">
        <v>122</v>
      </c>
      <c r="AF18" s="84"/>
      <c r="AG18" s="82"/>
      <c r="AH18" s="81"/>
      <c r="AI18" s="89"/>
      <c r="AJ18" s="81"/>
      <c r="AK18" s="81"/>
    </row>
    <row r="19" spans="1:38" x14ac:dyDescent="0.3">
      <c r="A19" s="179" t="s">
        <v>123</v>
      </c>
      <c r="B19" s="83" t="s">
        <v>124</v>
      </c>
      <c r="C19" s="83" t="s">
        <v>71</v>
      </c>
      <c r="D19" s="219">
        <v>45292</v>
      </c>
      <c r="E19" s="83">
        <v>6</v>
      </c>
      <c r="F19" s="219" t="s">
        <v>107</v>
      </c>
      <c r="G19" s="188" t="s">
        <v>83</v>
      </c>
      <c r="H19" s="220" t="s">
        <v>108</v>
      </c>
      <c r="K19" s="78">
        <v>17</v>
      </c>
      <c r="L19" s="99" t="s">
        <v>98</v>
      </c>
      <c r="M19" s="175" t="s">
        <v>125</v>
      </c>
      <c r="N19" s="99" t="s">
        <v>97</v>
      </c>
      <c r="O19" s="175" t="s">
        <v>125</v>
      </c>
      <c r="P19" s="99" t="s">
        <v>98</v>
      </c>
      <c r="Q19" s="175"/>
      <c r="R19" s="99" t="s">
        <v>97</v>
      </c>
      <c r="S19" s="175"/>
      <c r="T19" s="99" t="s">
        <v>98</v>
      </c>
      <c r="U19" s="175" t="s">
        <v>125</v>
      </c>
      <c r="V19" s="99" t="s">
        <v>97</v>
      </c>
      <c r="W19" s="175" t="s">
        <v>125</v>
      </c>
      <c r="X19" s="99" t="s">
        <v>98</v>
      </c>
      <c r="Y19" s="175" t="s">
        <v>125</v>
      </c>
      <c r="Z19" s="99" t="s">
        <v>97</v>
      </c>
      <c r="AA19" s="175" t="s">
        <v>125</v>
      </c>
      <c r="AB19" s="99" t="s">
        <v>98</v>
      </c>
      <c r="AC19" s="175" t="s">
        <v>125</v>
      </c>
      <c r="AD19" s="99" t="s">
        <v>97</v>
      </c>
      <c r="AE19" s="175" t="s">
        <v>125</v>
      </c>
      <c r="AF19" s="84"/>
      <c r="AG19" s="82"/>
      <c r="AH19" s="81"/>
      <c r="AI19" s="90"/>
      <c r="AJ19" s="81"/>
      <c r="AK19" s="83"/>
    </row>
    <row r="20" spans="1:38" x14ac:dyDescent="0.3">
      <c r="A20" s="224" t="s">
        <v>126</v>
      </c>
      <c r="B20" s="222" t="s">
        <v>127</v>
      </c>
      <c r="C20" s="222" t="s">
        <v>87</v>
      </c>
      <c r="D20" s="223">
        <v>45658</v>
      </c>
      <c r="E20" s="222">
        <v>1</v>
      </c>
      <c r="F20" s="223">
        <v>45658</v>
      </c>
      <c r="G20" s="222" t="s">
        <v>72</v>
      </c>
      <c r="H20" s="222" t="s">
        <v>90</v>
      </c>
      <c r="M20" s="91" t="s">
        <v>128</v>
      </c>
      <c r="N20" s="84"/>
      <c r="O20" s="91" t="s">
        <v>128</v>
      </c>
      <c r="Q20" s="91" t="s">
        <v>128</v>
      </c>
      <c r="R20" s="84"/>
      <c r="S20" s="91" t="s">
        <v>128</v>
      </c>
      <c r="T20"/>
      <c r="U20" s="91" t="s">
        <v>128</v>
      </c>
      <c r="V20"/>
      <c r="W20" s="91" t="s">
        <v>128</v>
      </c>
      <c r="X20" s="84"/>
      <c r="Y20" s="91" t="s">
        <v>128</v>
      </c>
      <c r="Z20" s="84"/>
      <c r="AA20" s="91" t="s">
        <v>128</v>
      </c>
      <c r="AB20" s="84"/>
      <c r="AC20" s="91" t="s">
        <v>128</v>
      </c>
      <c r="AD20" s="84"/>
      <c r="AE20" s="91" t="s">
        <v>128</v>
      </c>
      <c r="AF20" s="84"/>
    </row>
    <row r="21" spans="1:38" x14ac:dyDescent="0.3">
      <c r="A21" s="224" t="s">
        <v>129</v>
      </c>
      <c r="B21" s="222" t="s">
        <v>130</v>
      </c>
      <c r="C21" s="222" t="s">
        <v>87</v>
      </c>
      <c r="D21" s="223">
        <v>45658</v>
      </c>
      <c r="E21" s="222">
        <v>1</v>
      </c>
      <c r="F21" s="223">
        <v>45658</v>
      </c>
      <c r="G21" s="222" t="s">
        <v>72</v>
      </c>
      <c r="H21" s="222" t="s">
        <v>90</v>
      </c>
      <c r="M21" s="78"/>
      <c r="N21" s="84"/>
      <c r="O21" s="74"/>
      <c r="P21" s="74"/>
      <c r="Q21" s="74"/>
      <c r="R21" s="74"/>
      <c r="S21" s="74"/>
      <c r="T21"/>
      <c r="U21" s="103" t="s">
        <v>131</v>
      </c>
      <c r="V21"/>
      <c r="W21" s="103" t="s">
        <v>131</v>
      </c>
      <c r="X21"/>
      <c r="Y21"/>
      <c r="Z21"/>
      <c r="AA21"/>
      <c r="AB21"/>
      <c r="AC21" s="103" t="s">
        <v>131</v>
      </c>
      <c r="AD21"/>
      <c r="AE21" s="103" t="s">
        <v>131</v>
      </c>
      <c r="AF21"/>
      <c r="AG21"/>
      <c r="AH21"/>
      <c r="AI21"/>
      <c r="AJ21"/>
      <c r="AK21"/>
      <c r="AL21"/>
    </row>
    <row r="22" spans="1:38" x14ac:dyDescent="0.3">
      <c r="A22" s="224" t="s">
        <v>132</v>
      </c>
      <c r="B22" s="222" t="s">
        <v>133</v>
      </c>
      <c r="C22" s="222" t="s">
        <v>87</v>
      </c>
      <c r="D22" s="223">
        <v>45658</v>
      </c>
      <c r="E22" s="222">
        <v>1</v>
      </c>
      <c r="F22" s="223">
        <v>45658</v>
      </c>
      <c r="G22" s="222" t="s">
        <v>72</v>
      </c>
      <c r="H22" s="222" t="s">
        <v>90</v>
      </c>
      <c r="I22" s="88"/>
      <c r="M22" s="78"/>
      <c r="N22" s="84"/>
      <c r="O22" s="74"/>
      <c r="P22" s="74"/>
      <c r="Q22" s="74"/>
      <c r="R22" s="74"/>
      <c r="S22" s="74"/>
      <c r="T22"/>
      <c r="U22" s="103" t="s">
        <v>134</v>
      </c>
      <c r="V22"/>
      <c r="W22" s="103" t="s">
        <v>135</v>
      </c>
      <c r="X22"/>
      <c r="Y22"/>
      <c r="Z22"/>
      <c r="AA22"/>
      <c r="AB22"/>
      <c r="AC22" s="103" t="s">
        <v>136</v>
      </c>
      <c r="AD22"/>
      <c r="AE22" s="103" t="s">
        <v>137</v>
      </c>
      <c r="AF22"/>
      <c r="AG22"/>
      <c r="AH22"/>
      <c r="AI22"/>
      <c r="AJ22"/>
      <c r="AK22"/>
      <c r="AL22"/>
    </row>
    <row r="23" spans="1:38" x14ac:dyDescent="0.3">
      <c r="A23" s="224" t="s">
        <v>138</v>
      </c>
      <c r="B23" s="222" t="s">
        <v>139</v>
      </c>
      <c r="C23" s="222" t="s">
        <v>87</v>
      </c>
      <c r="D23" s="223">
        <v>45658</v>
      </c>
      <c r="E23" s="222">
        <v>2</v>
      </c>
      <c r="F23" s="223">
        <v>45658</v>
      </c>
      <c r="G23" s="222" t="s">
        <v>78</v>
      </c>
      <c r="H23" s="222" t="s">
        <v>90</v>
      </c>
      <c r="M23" s="78"/>
      <c r="N23" s="84"/>
      <c r="O23" s="74"/>
      <c r="P23"/>
      <c r="Q23"/>
      <c r="R23"/>
      <c r="S23" s="74"/>
      <c r="T23"/>
      <c r="U23"/>
      <c r="V23"/>
      <c r="W23"/>
      <c r="X23"/>
      <c r="Y23"/>
      <c r="Z23"/>
      <c r="AA23"/>
      <c r="AB23"/>
      <c r="AC23"/>
      <c r="AD23"/>
      <c r="AE23"/>
      <c r="AF23"/>
      <c r="AG23"/>
      <c r="AH23"/>
    </row>
    <row r="24" spans="1:38" ht="16.2" thickBot="1" x14ac:dyDescent="0.35">
      <c r="A24" s="224" t="s">
        <v>140</v>
      </c>
      <c r="B24" s="222" t="s">
        <v>141</v>
      </c>
      <c r="C24" s="222" t="s">
        <v>87</v>
      </c>
      <c r="D24" s="223">
        <v>45658</v>
      </c>
      <c r="E24" s="222">
        <v>1</v>
      </c>
      <c r="F24" s="223">
        <v>45658</v>
      </c>
      <c r="G24" s="222" t="s">
        <v>83</v>
      </c>
      <c r="H24" s="222" t="s">
        <v>90</v>
      </c>
      <c r="M24" s="78"/>
      <c r="N24" s="84"/>
      <c r="O24" s="74"/>
      <c r="P24" s="84"/>
      <c r="Q24"/>
      <c r="R24" s="84"/>
      <c r="S24" s="74"/>
      <c r="T24"/>
      <c r="U24"/>
      <c r="V24"/>
      <c r="W24"/>
      <c r="X24"/>
      <c r="Y24"/>
      <c r="Z24"/>
      <c r="AA24"/>
      <c r="AB24"/>
      <c r="AC24"/>
      <c r="AD24"/>
      <c r="AE24"/>
      <c r="AF24"/>
      <c r="AG24"/>
      <c r="AH24"/>
    </row>
    <row r="25" spans="1:38" x14ac:dyDescent="0.3">
      <c r="A25" s="224" t="s">
        <v>142</v>
      </c>
      <c r="B25" s="222" t="s">
        <v>143</v>
      </c>
      <c r="C25" s="222" t="s">
        <v>87</v>
      </c>
      <c r="D25" s="223">
        <v>45658</v>
      </c>
      <c r="E25" s="222">
        <v>1</v>
      </c>
      <c r="F25" s="223">
        <v>45658</v>
      </c>
      <c r="G25" s="222" t="s">
        <v>60</v>
      </c>
      <c r="H25" s="222" t="s">
        <v>90</v>
      </c>
      <c r="J25" s="101" t="s">
        <v>144</v>
      </c>
      <c r="K25" s="74">
        <v>1</v>
      </c>
      <c r="L25" s="107" t="s">
        <v>58</v>
      </c>
      <c r="M25" s="108" t="s">
        <v>145</v>
      </c>
      <c r="N25" s="108" t="s">
        <v>146</v>
      </c>
      <c r="O25" s="108" t="s">
        <v>147</v>
      </c>
      <c r="P25" s="108" t="s">
        <v>148</v>
      </c>
      <c r="Q25" s="109" t="s">
        <v>149</v>
      </c>
      <c r="R25"/>
      <c r="S25"/>
      <c r="T25"/>
      <c r="U25"/>
      <c r="V25"/>
      <c r="W25"/>
      <c r="X25"/>
      <c r="Y25"/>
      <c r="Z25"/>
      <c r="AA25" s="84"/>
      <c r="AB25" s="74"/>
    </row>
    <row r="26" spans="1:38" x14ac:dyDescent="0.3">
      <c r="A26" s="179" t="s">
        <v>150</v>
      </c>
      <c r="B26" s="220" t="s">
        <v>151</v>
      </c>
      <c r="C26" s="220" t="s">
        <v>87</v>
      </c>
      <c r="D26" s="221">
        <v>45108</v>
      </c>
      <c r="E26" s="220">
        <v>3</v>
      </c>
      <c r="F26" s="221">
        <v>45292</v>
      </c>
      <c r="G26" s="188" t="s">
        <v>72</v>
      </c>
      <c r="H26" s="220" t="s">
        <v>152</v>
      </c>
      <c r="K26" s="78">
        <v>2</v>
      </c>
      <c r="L26" s="110"/>
      <c r="M26" s="111" t="s">
        <v>118</v>
      </c>
      <c r="N26" s="111" t="s">
        <v>64</v>
      </c>
      <c r="O26" s="111" t="s">
        <v>65</v>
      </c>
      <c r="P26" s="111" t="s">
        <v>121</v>
      </c>
      <c r="Q26" s="112" t="s">
        <v>94</v>
      </c>
      <c r="R26"/>
      <c r="S26"/>
      <c r="T26"/>
      <c r="U26"/>
      <c r="V26"/>
      <c r="W26"/>
      <c r="X26"/>
      <c r="Y26"/>
      <c r="Z26"/>
      <c r="AA26" s="84"/>
      <c r="AB26" s="74"/>
    </row>
    <row r="27" spans="1:38" x14ac:dyDescent="0.3">
      <c r="A27" s="179" t="s">
        <v>153</v>
      </c>
      <c r="B27" s="220" t="s">
        <v>154</v>
      </c>
      <c r="C27" s="220" t="s">
        <v>87</v>
      </c>
      <c r="D27" s="221">
        <v>45292</v>
      </c>
      <c r="E27" s="220">
        <v>2</v>
      </c>
      <c r="F27" s="221">
        <v>45292</v>
      </c>
      <c r="G27" s="188" t="s">
        <v>83</v>
      </c>
      <c r="H27" s="220" t="s">
        <v>90</v>
      </c>
      <c r="J27"/>
      <c r="K27" s="78">
        <v>3</v>
      </c>
      <c r="L27" s="110"/>
      <c r="M27" s="111" t="s">
        <v>155</v>
      </c>
      <c r="N27" s="111" t="s">
        <v>156</v>
      </c>
      <c r="O27" s="111" t="s">
        <v>157</v>
      </c>
      <c r="P27" s="111" t="s">
        <v>155</v>
      </c>
      <c r="Q27" s="112" t="s">
        <v>158</v>
      </c>
      <c r="R27"/>
      <c r="S27"/>
      <c r="T27"/>
      <c r="U27"/>
      <c r="V27"/>
      <c r="W27"/>
      <c r="X27"/>
      <c r="Y27"/>
      <c r="Z27"/>
      <c r="AA27" s="64"/>
      <c r="AB27" s="64"/>
    </row>
    <row r="28" spans="1:38" x14ac:dyDescent="0.3">
      <c r="A28" s="179" t="s">
        <v>159</v>
      </c>
      <c r="B28" s="220" t="s">
        <v>160</v>
      </c>
      <c r="C28" s="220" t="s">
        <v>87</v>
      </c>
      <c r="D28" s="221">
        <v>45292</v>
      </c>
      <c r="E28" s="220">
        <v>2</v>
      </c>
      <c r="F28" s="221">
        <v>45292</v>
      </c>
      <c r="G28" s="188" t="s">
        <v>83</v>
      </c>
      <c r="H28" s="220" t="s">
        <v>90</v>
      </c>
      <c r="J28"/>
      <c r="K28" s="78">
        <v>4</v>
      </c>
      <c r="L28" s="110"/>
      <c r="M28" s="111" t="s">
        <v>161</v>
      </c>
      <c r="N28" s="111" t="s">
        <v>162</v>
      </c>
      <c r="O28" s="111" t="s">
        <v>163</v>
      </c>
      <c r="P28" s="111" t="s">
        <v>161</v>
      </c>
      <c r="Q28" s="112" t="s">
        <v>164</v>
      </c>
      <c r="S28"/>
      <c r="T28"/>
      <c r="U28"/>
      <c r="V28"/>
      <c r="W28"/>
      <c r="X28"/>
      <c r="Y28"/>
      <c r="Z28"/>
      <c r="AA28" s="64"/>
      <c r="AB28" s="64"/>
    </row>
    <row r="29" spans="1:38" x14ac:dyDescent="0.3">
      <c r="A29" s="179" t="s">
        <v>165</v>
      </c>
      <c r="B29" s="220" t="s">
        <v>166</v>
      </c>
      <c r="C29" s="220" t="s">
        <v>87</v>
      </c>
      <c r="D29" s="221">
        <v>45292</v>
      </c>
      <c r="E29" s="220">
        <v>1</v>
      </c>
      <c r="F29" s="221">
        <v>45292</v>
      </c>
      <c r="G29" s="188" t="s">
        <v>60</v>
      </c>
      <c r="H29" s="220" t="s">
        <v>90</v>
      </c>
      <c r="J29"/>
      <c r="K29" s="78">
        <v>5</v>
      </c>
      <c r="L29" s="110"/>
      <c r="M29" s="111"/>
      <c r="N29" s="111" t="s">
        <v>167</v>
      </c>
      <c r="O29" s="111" t="s">
        <v>167</v>
      </c>
      <c r="P29" s="111"/>
      <c r="Q29" s="112" t="s">
        <v>167</v>
      </c>
      <c r="S29"/>
      <c r="T29"/>
      <c r="U29"/>
      <c r="V29"/>
      <c r="W29"/>
      <c r="X29"/>
      <c r="Y29"/>
      <c r="Z29"/>
      <c r="AA29" s="64"/>
      <c r="AB29" s="64"/>
    </row>
    <row r="30" spans="1:38" x14ac:dyDescent="0.3">
      <c r="H30"/>
      <c r="J30"/>
      <c r="K30" s="78">
        <v>6</v>
      </c>
      <c r="L30" s="110"/>
      <c r="M30" s="111"/>
      <c r="N30" s="111" t="s">
        <v>119</v>
      </c>
      <c r="O30" s="111" t="s">
        <v>120</v>
      </c>
      <c r="P30" s="111"/>
      <c r="Q30" s="112" t="s">
        <v>122</v>
      </c>
      <c r="S30"/>
      <c r="T30"/>
      <c r="U30"/>
      <c r="V30"/>
      <c r="W30"/>
      <c r="X30"/>
      <c r="Y30"/>
      <c r="Z30"/>
      <c r="AA30" s="64"/>
      <c r="AB30" s="64"/>
    </row>
    <row r="31" spans="1:38" x14ac:dyDescent="0.3">
      <c r="A31" s="148" t="s">
        <v>168</v>
      </c>
      <c r="G31"/>
      <c r="H31"/>
      <c r="J31"/>
      <c r="K31" s="78">
        <v>7</v>
      </c>
      <c r="L31" s="110"/>
      <c r="M31" s="111"/>
      <c r="N31" s="111" t="s">
        <v>155</v>
      </c>
      <c r="O31" s="111" t="s">
        <v>155</v>
      </c>
      <c r="P31" s="111"/>
      <c r="Q31" s="112" t="s">
        <v>155</v>
      </c>
      <c r="S31"/>
      <c r="T31"/>
      <c r="U31"/>
      <c r="V31"/>
      <c r="W31"/>
      <c r="X31"/>
      <c r="Y31"/>
      <c r="Z31"/>
      <c r="AA31" s="64"/>
      <c r="AB31" s="64"/>
    </row>
    <row r="32" spans="1:38" ht="16.2" thickBot="1" x14ac:dyDescent="0.35">
      <c r="A32" s="86" t="s">
        <v>169</v>
      </c>
      <c r="B32" s="87" t="s">
        <v>0</v>
      </c>
      <c r="C32" s="64" t="s">
        <v>49</v>
      </c>
      <c r="D32" s="64" t="s">
        <v>50</v>
      </c>
      <c r="E32" s="64" t="s">
        <v>51</v>
      </c>
      <c r="F32" s="64" t="s">
        <v>52</v>
      </c>
      <c r="G32" s="65" t="s">
        <v>53</v>
      </c>
      <c r="H32"/>
      <c r="J32"/>
      <c r="K32" s="78">
        <v>8</v>
      </c>
      <c r="L32" s="113"/>
      <c r="M32" s="114"/>
      <c r="N32" s="114" t="s">
        <v>161</v>
      </c>
      <c r="O32" s="114" t="s">
        <v>161</v>
      </c>
      <c r="P32" s="114"/>
      <c r="Q32" s="115" t="s">
        <v>161</v>
      </c>
      <c r="R32" s="92"/>
      <c r="S32"/>
      <c r="T32"/>
      <c r="U32"/>
      <c r="V32"/>
      <c r="W32"/>
      <c r="X32"/>
      <c r="Y32"/>
      <c r="Z32"/>
      <c r="AA32" s="64"/>
      <c r="AB32" s="64"/>
    </row>
    <row r="33" spans="1:26" ht="16.2" thickBot="1" x14ac:dyDescent="0.35">
      <c r="A33" s="90" t="s">
        <v>170</v>
      </c>
      <c r="B33" s="220" t="s">
        <v>145</v>
      </c>
      <c r="C33" s="222" t="s">
        <v>113</v>
      </c>
      <c r="D33" s="223">
        <v>45658</v>
      </c>
      <c r="E33" s="222">
        <v>7</v>
      </c>
      <c r="F33" s="223">
        <v>45658</v>
      </c>
      <c r="G33" s="188" t="s">
        <v>60</v>
      </c>
      <c r="I33"/>
      <c r="J33"/>
      <c r="K33"/>
      <c r="L33"/>
      <c r="M33"/>
      <c r="N33"/>
      <c r="O33"/>
      <c r="P33"/>
      <c r="R33"/>
      <c r="S33"/>
      <c r="T33"/>
      <c r="U33"/>
      <c r="V33"/>
      <c r="W33"/>
      <c r="X33"/>
      <c r="Y33"/>
      <c r="Z33"/>
    </row>
    <row r="34" spans="1:26" ht="15.75" customHeight="1" x14ac:dyDescent="0.3">
      <c r="A34" s="225" t="s">
        <v>14</v>
      </c>
      <c r="B34" s="222" t="s">
        <v>146</v>
      </c>
      <c r="C34" s="222" t="s">
        <v>87</v>
      </c>
      <c r="D34" s="223">
        <v>45658</v>
      </c>
      <c r="E34" s="222">
        <v>1</v>
      </c>
      <c r="F34" s="223">
        <v>45658</v>
      </c>
      <c r="G34" s="222" t="s">
        <v>60</v>
      </c>
      <c r="I34"/>
      <c r="J34" s="101" t="s">
        <v>171</v>
      </c>
      <c r="K34" s="74">
        <v>1</v>
      </c>
      <c r="L34" s="107" t="s">
        <v>58</v>
      </c>
      <c r="M34" s="108" t="s">
        <v>145</v>
      </c>
      <c r="N34" s="108" t="s">
        <v>146</v>
      </c>
      <c r="O34" s="108" t="s">
        <v>147</v>
      </c>
      <c r="P34" s="108" t="s">
        <v>148</v>
      </c>
      <c r="Q34" s="109" t="s">
        <v>149</v>
      </c>
      <c r="S34"/>
      <c r="T34"/>
      <c r="U34"/>
      <c r="V34"/>
      <c r="W34"/>
      <c r="X34"/>
      <c r="Y34"/>
      <c r="Z34"/>
    </row>
    <row r="35" spans="1:26" x14ac:dyDescent="0.3">
      <c r="A35" s="90" t="s">
        <v>172</v>
      </c>
      <c r="B35" s="220" t="s">
        <v>147</v>
      </c>
      <c r="C35" s="222" t="s">
        <v>113</v>
      </c>
      <c r="D35" s="223">
        <v>45658</v>
      </c>
      <c r="E35" s="222">
        <v>6</v>
      </c>
      <c r="F35" s="223">
        <v>45658</v>
      </c>
      <c r="G35" s="188" t="s">
        <v>60</v>
      </c>
      <c r="I35"/>
      <c r="J35"/>
      <c r="K35" s="78">
        <v>2</v>
      </c>
      <c r="L35" s="110"/>
      <c r="M35" s="111" t="s">
        <v>173</v>
      </c>
      <c r="N35" s="111" t="s">
        <v>173</v>
      </c>
      <c r="O35" s="111" t="s">
        <v>174</v>
      </c>
      <c r="P35" s="111" t="s">
        <v>175</v>
      </c>
      <c r="Q35" s="112" t="s">
        <v>173</v>
      </c>
      <c r="S35"/>
      <c r="T35"/>
      <c r="U35"/>
      <c r="V35"/>
      <c r="W35"/>
      <c r="X35"/>
      <c r="Y35"/>
      <c r="Z35"/>
    </row>
    <row r="36" spans="1:26" ht="15.75" customHeight="1" x14ac:dyDescent="0.3">
      <c r="A36" s="90" t="s">
        <v>176</v>
      </c>
      <c r="B36" s="220" t="s">
        <v>148</v>
      </c>
      <c r="C36" s="222" t="s">
        <v>113</v>
      </c>
      <c r="D36" s="223">
        <v>45658</v>
      </c>
      <c r="E36" s="222">
        <v>7</v>
      </c>
      <c r="F36" s="223">
        <v>45658</v>
      </c>
      <c r="G36" s="188" t="s">
        <v>60</v>
      </c>
      <c r="I36"/>
      <c r="J36"/>
      <c r="K36" s="78">
        <v>3</v>
      </c>
      <c r="L36" s="110"/>
      <c r="M36" s="111" t="s">
        <v>177</v>
      </c>
      <c r="N36" s="111" t="s">
        <v>177</v>
      </c>
      <c r="O36" s="169" t="s">
        <v>178</v>
      </c>
      <c r="P36" s="111" t="s">
        <v>156</v>
      </c>
      <c r="Q36" s="112" t="s">
        <v>177</v>
      </c>
      <c r="S36"/>
      <c r="T36"/>
      <c r="U36"/>
      <c r="V36"/>
      <c r="W36"/>
      <c r="X36"/>
      <c r="Y36"/>
      <c r="Z36"/>
    </row>
    <row r="37" spans="1:26" ht="15.75" customHeight="1" x14ac:dyDescent="0.3">
      <c r="A37" s="179" t="s">
        <v>179</v>
      </c>
      <c r="B37" s="220" t="s">
        <v>149</v>
      </c>
      <c r="C37" s="222" t="s">
        <v>59</v>
      </c>
      <c r="D37" s="223">
        <v>45658</v>
      </c>
      <c r="E37" s="226">
        <v>10</v>
      </c>
      <c r="F37" s="223">
        <v>45658</v>
      </c>
      <c r="G37" s="188" t="s">
        <v>60</v>
      </c>
      <c r="H37" s="64" t="s">
        <v>180</v>
      </c>
      <c r="I37"/>
      <c r="K37" s="78">
        <v>4</v>
      </c>
      <c r="L37" s="110"/>
      <c r="M37" s="111" t="s">
        <v>181</v>
      </c>
      <c r="N37" s="111" t="s">
        <v>181</v>
      </c>
      <c r="O37" s="169" t="s">
        <v>157</v>
      </c>
      <c r="P37" s="111" t="s">
        <v>182</v>
      </c>
      <c r="Q37" s="112" t="s">
        <v>181</v>
      </c>
      <c r="S37"/>
      <c r="T37"/>
      <c r="U37"/>
      <c r="V37"/>
      <c r="W37"/>
      <c r="X37"/>
      <c r="Y37"/>
      <c r="Z37"/>
    </row>
    <row r="38" spans="1:26" x14ac:dyDescent="0.3">
      <c r="A38" s="86"/>
      <c r="B38" s="87"/>
      <c r="H38"/>
      <c r="I38"/>
      <c r="K38" s="78">
        <v>5</v>
      </c>
      <c r="L38" s="110"/>
      <c r="M38" s="111" t="s">
        <v>167</v>
      </c>
      <c r="N38" s="111" t="s">
        <v>167</v>
      </c>
      <c r="O38" s="169" t="s">
        <v>183</v>
      </c>
      <c r="P38" s="111" t="s">
        <v>184</v>
      </c>
      <c r="Q38" s="112" t="s">
        <v>167</v>
      </c>
      <c r="S38"/>
      <c r="T38"/>
      <c r="U38"/>
      <c r="V38"/>
      <c r="W38"/>
      <c r="X38"/>
      <c r="Y38"/>
      <c r="Z38"/>
    </row>
    <row r="39" spans="1:26" x14ac:dyDescent="0.3">
      <c r="A39" s="148" t="s">
        <v>185</v>
      </c>
      <c r="H39"/>
      <c r="I39"/>
      <c r="K39" s="78">
        <v>6</v>
      </c>
      <c r="L39" s="110"/>
      <c r="M39" s="111" t="s">
        <v>186</v>
      </c>
      <c r="N39" s="111" t="s">
        <v>186</v>
      </c>
      <c r="O39" s="169" t="s">
        <v>163</v>
      </c>
      <c r="P39" s="111" t="s">
        <v>187</v>
      </c>
      <c r="Q39" s="112" t="s">
        <v>186</v>
      </c>
      <c r="S39"/>
      <c r="T39"/>
      <c r="U39"/>
      <c r="V39"/>
      <c r="W39"/>
      <c r="X39"/>
      <c r="Y39"/>
      <c r="Z39"/>
    </row>
    <row r="40" spans="1:26" x14ac:dyDescent="0.3">
      <c r="A40" s="86" t="s">
        <v>188</v>
      </c>
      <c r="B40" s="87" t="s">
        <v>0</v>
      </c>
      <c r="C40" s="64" t="s">
        <v>49</v>
      </c>
      <c r="D40" s="64" t="s">
        <v>50</v>
      </c>
      <c r="E40" s="64" t="s">
        <v>51</v>
      </c>
      <c r="F40" s="64" t="s">
        <v>52</v>
      </c>
      <c r="G40" s="65" t="s">
        <v>53</v>
      </c>
      <c r="H40"/>
      <c r="I40"/>
      <c r="K40" s="78">
        <v>7</v>
      </c>
      <c r="L40" s="110"/>
      <c r="M40" s="111" t="s">
        <v>189</v>
      </c>
      <c r="N40" s="111" t="s">
        <v>190</v>
      </c>
      <c r="O40" s="169" t="s">
        <v>191</v>
      </c>
      <c r="P40" s="111" t="s">
        <v>192</v>
      </c>
      <c r="Q40" s="112" t="s">
        <v>158</v>
      </c>
      <c r="S40"/>
      <c r="T40"/>
      <c r="U40"/>
      <c r="V40"/>
      <c r="W40"/>
      <c r="X40"/>
      <c r="Y40"/>
      <c r="Z40"/>
    </row>
    <row r="41" spans="1:26" x14ac:dyDescent="0.3">
      <c r="A41" s="90" t="s">
        <v>193</v>
      </c>
      <c r="B41" s="220" t="s">
        <v>194</v>
      </c>
      <c r="C41" s="220" t="s">
        <v>87</v>
      </c>
      <c r="D41" s="221">
        <v>45292</v>
      </c>
      <c r="E41" s="220">
        <v>1</v>
      </c>
      <c r="F41" s="221">
        <v>45292</v>
      </c>
      <c r="G41" s="188" t="s">
        <v>72</v>
      </c>
      <c r="H41"/>
      <c r="I41"/>
      <c r="K41" s="78">
        <v>8</v>
      </c>
      <c r="L41" s="110"/>
      <c r="M41" s="111" t="s">
        <v>195</v>
      </c>
      <c r="N41" s="111" t="s">
        <v>196</v>
      </c>
      <c r="O41" s="111" t="s">
        <v>197</v>
      </c>
      <c r="P41" s="111" t="s">
        <v>198</v>
      </c>
      <c r="Q41" s="112" t="s">
        <v>199</v>
      </c>
      <c r="S41"/>
      <c r="T41"/>
      <c r="U41"/>
      <c r="V41"/>
      <c r="W41"/>
      <c r="X41"/>
      <c r="Y41"/>
      <c r="Z41"/>
    </row>
    <row r="42" spans="1:26" x14ac:dyDescent="0.3">
      <c r="A42" s="90" t="s">
        <v>200</v>
      </c>
      <c r="B42" s="220" t="s">
        <v>201</v>
      </c>
      <c r="C42" s="220" t="s">
        <v>87</v>
      </c>
      <c r="D42" s="221">
        <v>45292</v>
      </c>
      <c r="E42" s="220">
        <v>1</v>
      </c>
      <c r="F42" s="221">
        <v>45292</v>
      </c>
      <c r="G42" s="188" t="s">
        <v>72</v>
      </c>
      <c r="H42"/>
      <c r="I42"/>
      <c r="K42" s="78">
        <v>9</v>
      </c>
      <c r="L42" s="110"/>
      <c r="M42" s="111" t="s">
        <v>202</v>
      </c>
      <c r="N42" s="111" t="s">
        <v>156</v>
      </c>
      <c r="O42" s="111" t="s">
        <v>203</v>
      </c>
      <c r="P42" s="111" t="s">
        <v>204</v>
      </c>
      <c r="Q42" s="112" t="s">
        <v>205</v>
      </c>
      <c r="S42"/>
      <c r="T42"/>
      <c r="U42"/>
      <c r="V42"/>
      <c r="W42"/>
      <c r="X42"/>
      <c r="Y42"/>
      <c r="Z42"/>
    </row>
    <row r="43" spans="1:26" x14ac:dyDescent="0.3">
      <c r="A43" s="90" t="s">
        <v>206</v>
      </c>
      <c r="B43" s="220" t="s">
        <v>207</v>
      </c>
      <c r="C43" s="220" t="s">
        <v>87</v>
      </c>
      <c r="D43" s="221">
        <v>45292</v>
      </c>
      <c r="E43" s="220">
        <v>1</v>
      </c>
      <c r="F43" s="221">
        <v>45292</v>
      </c>
      <c r="G43" s="188" t="s">
        <v>72</v>
      </c>
      <c r="H43"/>
      <c r="K43" s="78">
        <v>10</v>
      </c>
      <c r="L43" s="110"/>
      <c r="M43" s="111" t="s">
        <v>208</v>
      </c>
      <c r="N43" s="111" t="s">
        <v>162</v>
      </c>
      <c r="O43" s="111" t="s">
        <v>167</v>
      </c>
      <c r="P43" s="111" t="s">
        <v>209</v>
      </c>
      <c r="Q43" s="112" t="s">
        <v>210</v>
      </c>
      <c r="S43"/>
      <c r="T43"/>
      <c r="U43"/>
      <c r="V43"/>
      <c r="W43"/>
      <c r="X43"/>
      <c r="Y43"/>
      <c r="Z43"/>
    </row>
    <row r="44" spans="1:26" x14ac:dyDescent="0.3">
      <c r="A44" s="86"/>
      <c r="B44" s="87"/>
      <c r="H44"/>
      <c r="K44" s="78">
        <v>11</v>
      </c>
      <c r="L44" s="110"/>
      <c r="M44" s="111" t="s">
        <v>211</v>
      </c>
      <c r="N44" s="111" t="s">
        <v>212</v>
      </c>
      <c r="O44" s="111" t="s">
        <v>213</v>
      </c>
      <c r="P44" s="111" t="s">
        <v>167</v>
      </c>
      <c r="Q44" s="112" t="s">
        <v>162</v>
      </c>
      <c r="S44"/>
      <c r="T44"/>
      <c r="U44"/>
      <c r="V44"/>
      <c r="W44"/>
      <c r="X44"/>
      <c r="Y44"/>
      <c r="Z44"/>
    </row>
    <row r="45" spans="1:26" x14ac:dyDescent="0.3">
      <c r="A45" s="86"/>
      <c r="B45" s="87"/>
      <c r="H45"/>
      <c r="K45" s="78">
        <v>12</v>
      </c>
      <c r="L45" s="110"/>
      <c r="M45" s="111" t="s">
        <v>214</v>
      </c>
      <c r="N45" s="111" t="s">
        <v>215</v>
      </c>
      <c r="O45" s="111" t="s">
        <v>173</v>
      </c>
      <c r="P45" s="111" t="s">
        <v>216</v>
      </c>
      <c r="Q45" s="112" t="s">
        <v>182</v>
      </c>
      <c r="S45"/>
      <c r="T45"/>
      <c r="U45"/>
      <c r="V45"/>
      <c r="W45"/>
      <c r="X45"/>
      <c r="Y45"/>
      <c r="Z45"/>
    </row>
    <row r="46" spans="1:26" x14ac:dyDescent="0.3">
      <c r="A46" s="148" t="s">
        <v>217</v>
      </c>
      <c r="B46" s="82"/>
      <c r="H46"/>
      <c r="K46" s="78">
        <v>13</v>
      </c>
      <c r="L46" s="110"/>
      <c r="M46" s="111" t="s">
        <v>218</v>
      </c>
      <c r="N46" s="111" t="s">
        <v>182</v>
      </c>
      <c r="O46" s="111" t="s">
        <v>177</v>
      </c>
      <c r="P46" s="111" t="s">
        <v>173</v>
      </c>
      <c r="Q46" s="112" t="s">
        <v>219</v>
      </c>
      <c r="S46"/>
      <c r="T46"/>
      <c r="U46"/>
      <c r="V46"/>
      <c r="W46"/>
      <c r="X46"/>
      <c r="Y46"/>
      <c r="Z46"/>
    </row>
    <row r="47" spans="1:26" x14ac:dyDescent="0.3">
      <c r="A47" t="s">
        <v>220</v>
      </c>
      <c r="B47" t="s">
        <v>221</v>
      </c>
      <c r="C47" t="s">
        <v>222</v>
      </c>
      <c r="D47"/>
      <c r="E47"/>
      <c r="F47"/>
      <c r="G47" s="88"/>
      <c r="K47" s="78">
        <v>14</v>
      </c>
      <c r="L47" s="110"/>
      <c r="M47" s="111" t="s">
        <v>158</v>
      </c>
      <c r="N47" s="111" t="s">
        <v>223</v>
      </c>
      <c r="O47" s="111" t="s">
        <v>181</v>
      </c>
      <c r="P47" s="111" t="s">
        <v>177</v>
      </c>
      <c r="Q47" s="112" t="s">
        <v>224</v>
      </c>
      <c r="S47"/>
      <c r="T47"/>
      <c r="U47"/>
      <c r="V47"/>
      <c r="W47"/>
      <c r="X47"/>
      <c r="Y47"/>
      <c r="Z47"/>
    </row>
    <row r="48" spans="1:26" x14ac:dyDescent="0.3">
      <c r="A48" t="s">
        <v>17</v>
      </c>
      <c r="B48" s="1" t="s">
        <v>225</v>
      </c>
      <c r="C48" s="1" t="s">
        <v>226</v>
      </c>
      <c r="D48"/>
      <c r="E48"/>
      <c r="F48"/>
      <c r="K48" s="78">
        <v>15</v>
      </c>
      <c r="L48" s="110"/>
      <c r="M48" s="111" t="s">
        <v>199</v>
      </c>
      <c r="N48" s="111" t="s">
        <v>227</v>
      </c>
      <c r="O48" s="111" t="s">
        <v>167</v>
      </c>
      <c r="P48" s="111" t="s">
        <v>181</v>
      </c>
      <c r="Q48" s="112"/>
      <c r="S48"/>
      <c r="T48"/>
      <c r="U48"/>
      <c r="V48"/>
      <c r="W48"/>
      <c r="X48"/>
      <c r="Y48"/>
      <c r="Z48"/>
    </row>
    <row r="49" spans="1:26" x14ac:dyDescent="0.3">
      <c r="A49" t="s">
        <v>228</v>
      </c>
      <c r="B49" s="1" t="s">
        <v>226</v>
      </c>
      <c r="C49" s="1" t="s">
        <v>225</v>
      </c>
      <c r="D49"/>
      <c r="E49"/>
      <c r="F49"/>
      <c r="K49" s="78">
        <v>16</v>
      </c>
      <c r="L49" s="110"/>
      <c r="M49" s="111" t="s">
        <v>192</v>
      </c>
      <c r="N49" s="111" t="s">
        <v>229</v>
      </c>
      <c r="O49" s="111" t="s">
        <v>186</v>
      </c>
      <c r="P49" s="111" t="s">
        <v>167</v>
      </c>
      <c r="Q49" s="112"/>
      <c r="S49"/>
      <c r="T49"/>
      <c r="U49"/>
      <c r="V49"/>
      <c r="W49"/>
      <c r="X49"/>
      <c r="Y49"/>
      <c r="Z49"/>
    </row>
    <row r="50" spans="1:26" x14ac:dyDescent="0.3">
      <c r="A50"/>
      <c r="B50"/>
      <c r="C50"/>
      <c r="D50"/>
      <c r="E50"/>
      <c r="F50"/>
      <c r="K50" s="78">
        <v>17</v>
      </c>
      <c r="L50" s="110"/>
      <c r="M50" s="111" t="s">
        <v>230</v>
      </c>
      <c r="N50" s="111" t="s">
        <v>164</v>
      </c>
      <c r="O50" s="111" t="s">
        <v>199</v>
      </c>
      <c r="P50" s="111" t="s">
        <v>186</v>
      </c>
      <c r="Q50" s="112"/>
      <c r="S50"/>
      <c r="T50"/>
      <c r="U50"/>
      <c r="V50"/>
      <c r="W50"/>
      <c r="X50"/>
      <c r="Y50"/>
      <c r="Z50"/>
    </row>
    <row r="51" spans="1:26" x14ac:dyDescent="0.3">
      <c r="A51"/>
      <c r="B51"/>
      <c r="C51"/>
      <c r="D51"/>
      <c r="E51"/>
      <c r="F51"/>
      <c r="K51" s="78">
        <v>18</v>
      </c>
      <c r="L51" s="110"/>
      <c r="M51" s="111"/>
      <c r="N51" s="111" t="s">
        <v>231</v>
      </c>
      <c r="O51" s="111" t="s">
        <v>205</v>
      </c>
      <c r="P51" s="111" t="s">
        <v>208</v>
      </c>
      <c r="Q51" s="112"/>
      <c r="S51"/>
      <c r="T51"/>
      <c r="U51"/>
      <c r="V51"/>
      <c r="W51"/>
      <c r="X51"/>
      <c r="Y51"/>
      <c r="Z51"/>
    </row>
    <row r="52" spans="1:26" x14ac:dyDescent="0.3">
      <c r="A52" s="227" t="s">
        <v>232</v>
      </c>
      <c r="B52" s="253">
        <v>45580</v>
      </c>
      <c r="C52"/>
      <c r="D52"/>
      <c r="E52"/>
      <c r="F52"/>
      <c r="K52" s="78">
        <v>19</v>
      </c>
      <c r="L52" s="110"/>
      <c r="M52" s="111"/>
      <c r="N52" s="181" t="s">
        <v>187</v>
      </c>
      <c r="O52" s="111" t="s">
        <v>233</v>
      </c>
      <c r="P52" s="111" t="s">
        <v>199</v>
      </c>
      <c r="Q52" s="112"/>
      <c r="S52"/>
      <c r="T52"/>
      <c r="U52"/>
      <c r="V52"/>
      <c r="W52"/>
      <c r="X52"/>
      <c r="Y52"/>
      <c r="Z52"/>
    </row>
    <row r="53" spans="1:26" x14ac:dyDescent="0.3">
      <c r="A53" s="227" t="s">
        <v>234</v>
      </c>
      <c r="B53" s="253">
        <v>45580</v>
      </c>
      <c r="C53"/>
      <c r="D53"/>
      <c r="E53"/>
      <c r="F53"/>
      <c r="K53" s="78">
        <v>20</v>
      </c>
      <c r="L53" s="110"/>
      <c r="M53" s="111"/>
      <c r="N53" s="111" t="s">
        <v>209</v>
      </c>
      <c r="O53" s="111" t="s">
        <v>235</v>
      </c>
      <c r="P53" s="111" t="s">
        <v>205</v>
      </c>
      <c r="Q53" s="112"/>
    </row>
    <row r="54" spans="1:26" x14ac:dyDescent="0.3">
      <c r="A54" s="227" t="s">
        <v>236</v>
      </c>
      <c r="B54" s="253">
        <v>45587</v>
      </c>
      <c r="C54"/>
      <c r="D54"/>
      <c r="E54"/>
      <c r="F54"/>
      <c r="K54" s="78">
        <v>21</v>
      </c>
      <c r="L54" s="110"/>
      <c r="M54" s="111"/>
      <c r="N54" s="181" t="s">
        <v>224</v>
      </c>
      <c r="O54" s="111" t="s">
        <v>237</v>
      </c>
      <c r="P54" s="111" t="s">
        <v>215</v>
      </c>
      <c r="Q54" s="112"/>
    </row>
    <row r="55" spans="1:26" x14ac:dyDescent="0.3">
      <c r="A55" s="227" t="s">
        <v>238</v>
      </c>
      <c r="B55" s="253">
        <v>45587</v>
      </c>
      <c r="H55"/>
      <c r="K55" s="78">
        <v>22</v>
      </c>
      <c r="L55" s="110"/>
      <c r="M55" s="111"/>
      <c r="N55" s="111"/>
      <c r="O55" s="111"/>
      <c r="P55" s="111" t="s">
        <v>239</v>
      </c>
      <c r="Q55" s="112"/>
    </row>
    <row r="56" spans="1:26" x14ac:dyDescent="0.3">
      <c r="A56" s="227" t="s">
        <v>240</v>
      </c>
      <c r="B56" s="253">
        <v>45631</v>
      </c>
      <c r="C56"/>
      <c r="G56"/>
      <c r="H56"/>
      <c r="K56" s="78">
        <v>23</v>
      </c>
      <c r="L56" s="110"/>
      <c r="M56" s="111"/>
      <c r="N56" s="111"/>
      <c r="O56" s="111"/>
      <c r="P56" s="111" t="s">
        <v>187</v>
      </c>
      <c r="Q56" s="112"/>
    </row>
    <row r="57" spans="1:26" x14ac:dyDescent="0.3">
      <c r="A57" s="227" t="s">
        <v>241</v>
      </c>
      <c r="B57" s="253">
        <v>45587</v>
      </c>
      <c r="G57"/>
      <c r="H57"/>
      <c r="K57" s="78">
        <v>24</v>
      </c>
      <c r="L57" s="110"/>
      <c r="M57" s="111"/>
      <c r="N57" s="111"/>
      <c r="O57" s="111"/>
      <c r="P57" s="111" t="s">
        <v>230</v>
      </c>
      <c r="Q57" s="112"/>
    </row>
    <row r="58" spans="1:26" x14ac:dyDescent="0.3">
      <c r="A58" s="227" t="s">
        <v>242</v>
      </c>
      <c r="B58" s="253">
        <v>45587</v>
      </c>
      <c r="C58" s="64" t="s">
        <v>243</v>
      </c>
      <c r="G58"/>
      <c r="H58"/>
      <c r="K58" s="78">
        <v>25</v>
      </c>
      <c r="L58" s="110"/>
      <c r="M58" s="111"/>
      <c r="N58" s="111"/>
      <c r="O58" s="111"/>
      <c r="P58" s="111" t="s">
        <v>244</v>
      </c>
      <c r="Q58" s="112"/>
    </row>
    <row r="59" spans="1:26" ht="16.2" thickBot="1" x14ac:dyDescent="0.35">
      <c r="A59" s="227" t="s">
        <v>245</v>
      </c>
      <c r="B59" s="253">
        <v>45631</v>
      </c>
      <c r="G59"/>
      <c r="H59"/>
      <c r="K59" s="78">
        <v>26</v>
      </c>
      <c r="L59" s="113"/>
      <c r="M59" s="114"/>
      <c r="N59" s="114"/>
      <c r="O59" s="114"/>
      <c r="P59" s="114"/>
      <c r="Q59" s="115"/>
    </row>
    <row r="60" spans="1:26" x14ac:dyDescent="0.3">
      <c r="A60" s="227" t="s">
        <v>246</v>
      </c>
      <c r="B60" s="253">
        <v>45631</v>
      </c>
      <c r="G60"/>
      <c r="H60"/>
      <c r="N60" s="181" t="s">
        <v>247</v>
      </c>
      <c r="O60"/>
      <c r="P60" s="181" t="s">
        <v>248</v>
      </c>
    </row>
    <row r="61" spans="1:26" ht="16.2" thickBot="1" x14ac:dyDescent="0.35">
      <c r="A61"/>
      <c r="B61"/>
      <c r="C61"/>
      <c r="D61"/>
      <c r="E61"/>
      <c r="G61"/>
      <c r="H61"/>
      <c r="N61" s="111"/>
      <c r="O61"/>
      <c r="P61" s="181" t="s">
        <v>249</v>
      </c>
    </row>
    <row r="62" spans="1:26" x14ac:dyDescent="0.3">
      <c r="A62" s="196" t="s">
        <v>250</v>
      </c>
      <c r="B62" s="147">
        <v>45629</v>
      </c>
      <c r="C62"/>
      <c r="D62"/>
      <c r="E62"/>
      <c r="G62"/>
      <c r="H62"/>
      <c r="J62" s="101" t="s">
        <v>251</v>
      </c>
      <c r="L62" s="248" t="s">
        <v>145</v>
      </c>
      <c r="M62" s="249" t="s">
        <v>252</v>
      </c>
      <c r="N62"/>
    </row>
    <row r="63" spans="1:26" x14ac:dyDescent="0.3">
      <c r="A63"/>
      <c r="B63"/>
      <c r="C63"/>
      <c r="D63"/>
      <c r="E63"/>
      <c r="G63"/>
      <c r="H63"/>
      <c r="L63" s="250" t="s">
        <v>146</v>
      </c>
      <c r="M63" s="251" t="s">
        <v>252</v>
      </c>
    </row>
    <row r="64" spans="1:26" x14ac:dyDescent="0.3">
      <c r="A64"/>
      <c r="G64"/>
      <c r="H64"/>
      <c r="L64" s="250" t="s">
        <v>147</v>
      </c>
      <c r="M64" s="251" t="s">
        <v>252</v>
      </c>
    </row>
    <row r="65" spans="1:13" x14ac:dyDescent="0.3">
      <c r="A65"/>
      <c r="G65"/>
      <c r="L65" s="250" t="s">
        <v>148</v>
      </c>
      <c r="M65" s="251" t="s">
        <v>252</v>
      </c>
    </row>
    <row r="66" spans="1:13" ht="16.2" thickBot="1" x14ac:dyDescent="0.35">
      <c r="A66"/>
      <c r="L66" s="252" t="s">
        <v>149</v>
      </c>
      <c r="M66" s="239" t="s">
        <v>252</v>
      </c>
    </row>
    <row r="67" spans="1:13" x14ac:dyDescent="0.3">
      <c r="A67"/>
    </row>
  </sheetData>
  <sortState xmlns:xlrd2="http://schemas.microsoft.com/office/spreadsheetml/2017/richdata2" ref="A35:A38">
    <sortCondition ref="A35"/>
  </sortState>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W66"/>
  <sheetViews>
    <sheetView showGridLines="0" topLeftCell="A3" zoomScaleNormal="100" workbookViewId="0">
      <selection activeCell="B61" sqref="B61"/>
    </sheetView>
  </sheetViews>
  <sheetFormatPr defaultColWidth="9" defaultRowHeight="14.4" x14ac:dyDescent="0.3"/>
  <cols>
    <col min="1" max="1" width="10" style="9" customWidth="1"/>
    <col min="2" max="2" width="3.19921875" style="9" customWidth="1"/>
    <col min="3" max="3" width="5.8984375" style="9" customWidth="1"/>
    <col min="4" max="4" width="54.19921875" style="8" bestFit="1" customWidth="1"/>
    <col min="5" max="5" width="7.19921875" style="8" customWidth="1"/>
    <col min="6" max="6" width="24.59765625" style="8" customWidth="1"/>
    <col min="7" max="7" width="5.59765625" style="8" customWidth="1"/>
    <col min="8" max="11" width="4.59765625" style="8" customWidth="1"/>
    <col min="12" max="12" width="18.59765625" style="8" customWidth="1"/>
    <col min="13" max="13" width="2.5" style="8" hidden="1" customWidth="1"/>
    <col min="14" max="16384" width="9" style="8"/>
  </cols>
  <sheetData>
    <row r="1" spans="1:23" hidden="1" x14ac:dyDescent="0.3">
      <c r="A1" s="4" t="s">
        <v>0</v>
      </c>
      <c r="B1" s="5" t="s">
        <v>1</v>
      </c>
      <c r="C1" s="5" t="s">
        <v>2</v>
      </c>
      <c r="D1" s="6" t="s">
        <v>3</v>
      </c>
      <c r="E1" s="6"/>
      <c r="F1" s="6" t="s">
        <v>4</v>
      </c>
      <c r="G1" s="6" t="s">
        <v>5</v>
      </c>
      <c r="H1" s="7" t="s">
        <v>6</v>
      </c>
      <c r="I1" s="6"/>
      <c r="J1" s="6"/>
      <c r="K1" s="6"/>
      <c r="L1" s="6" t="s">
        <v>7</v>
      </c>
      <c r="M1" s="118"/>
    </row>
    <row r="2" spans="1:23" hidden="1" x14ac:dyDescent="0.3">
      <c r="A2" s="105"/>
      <c r="B2" s="142">
        <v>2</v>
      </c>
      <c r="C2" s="142">
        <v>3</v>
      </c>
      <c r="D2" s="142">
        <v>4</v>
      </c>
      <c r="E2" s="142"/>
      <c r="F2" s="142">
        <v>6</v>
      </c>
      <c r="G2" s="142">
        <v>5</v>
      </c>
      <c r="H2" s="142">
        <v>7</v>
      </c>
      <c r="I2" s="142">
        <v>8</v>
      </c>
      <c r="J2" s="142">
        <v>9</v>
      </c>
      <c r="K2" s="142">
        <v>10</v>
      </c>
      <c r="L2" s="106"/>
      <c r="M2" s="118"/>
    </row>
    <row r="3" spans="1:23" ht="39.9" customHeight="1" x14ac:dyDescent="0.3">
      <c r="A3" s="295" t="s">
        <v>8</v>
      </c>
      <c r="B3" s="295"/>
      <c r="C3" s="295"/>
      <c r="D3" s="295"/>
      <c r="E3" s="121"/>
      <c r="F3" s="121"/>
      <c r="G3" s="121"/>
      <c r="H3" s="121"/>
      <c r="I3" s="121"/>
      <c r="J3" s="121"/>
      <c r="K3" s="121"/>
      <c r="L3" s="121"/>
      <c r="M3" s="118"/>
    </row>
    <row r="4" spans="1:23" ht="24.6" x14ac:dyDescent="0.3">
      <c r="A4" s="182"/>
      <c r="B4" s="183"/>
      <c r="C4" s="183"/>
      <c r="D4" s="184"/>
      <c r="E4" s="185" t="s">
        <v>254</v>
      </c>
      <c r="F4" s="183"/>
      <c r="G4" s="186"/>
      <c r="H4" s="186"/>
      <c r="I4" s="186"/>
      <c r="J4" s="186"/>
      <c r="K4" s="186"/>
      <c r="L4" s="186"/>
      <c r="M4" s="118"/>
    </row>
    <row r="5" spans="1:23" ht="18.75" customHeight="1" x14ac:dyDescent="0.3">
      <c r="B5" s="10"/>
      <c r="C5" s="104" t="s">
        <v>10</v>
      </c>
      <c r="D5" s="164" t="s">
        <v>165</v>
      </c>
      <c r="E5" s="11"/>
      <c r="F5" s="104" t="s">
        <v>12</v>
      </c>
      <c r="G5" s="11" t="str">
        <f>IFERROR(CONCATENATE(VLOOKUP(D5,TableCourses[],2,FALSE)," ",VLOOKUP(D5,TableCourses[],3,FALSE)),"")</f>
        <v>MC-GLOBL2 v.1</v>
      </c>
      <c r="H5" s="11"/>
      <c r="I5" s="11"/>
      <c r="J5" s="11"/>
      <c r="K5" s="11"/>
      <c r="L5" s="291" t="str">
        <f>CONCATENATE(VLOOKUP(D5,TableCourses[],2,FALSE),VLOOKUP(D6,TableStudyPeriods[],2,FALSE))</f>
        <v>MC-GLOBL2Sem1</v>
      </c>
      <c r="M5" s="118"/>
    </row>
    <row r="6" spans="1:23" ht="20.100000000000001" customHeight="1" thickBot="1" x14ac:dyDescent="0.35">
      <c r="A6" s="12"/>
      <c r="B6" s="13"/>
      <c r="C6" s="104" t="s">
        <v>16</v>
      </c>
      <c r="D6" s="11" t="s">
        <v>17</v>
      </c>
      <c r="E6" s="14"/>
      <c r="F6" s="104" t="s">
        <v>401</v>
      </c>
      <c r="G6" s="11" t="str">
        <f>IFERROR(VLOOKUP($D$5,TableCourses[],7,FALSE),"")</f>
        <v>400 credit points required</v>
      </c>
      <c r="H6" s="61"/>
      <c r="I6" s="61"/>
      <c r="J6" s="61"/>
      <c r="K6" s="61"/>
      <c r="L6" s="61"/>
      <c r="M6" s="119"/>
      <c r="N6" s="15"/>
      <c r="O6" s="15"/>
      <c r="P6" s="15"/>
      <c r="Q6" s="15"/>
      <c r="R6" s="15"/>
      <c r="S6" s="15"/>
      <c r="T6" s="15"/>
      <c r="U6" s="15"/>
      <c r="V6" s="15"/>
      <c r="W6" s="15"/>
    </row>
    <row r="7" spans="1:23" ht="75" customHeight="1" thickBot="1" x14ac:dyDescent="0.35">
      <c r="A7" s="241" t="s">
        <v>19</v>
      </c>
      <c r="B7" s="297" t="str">
        <f>IFERROR(VLOOKUP($L$30,RangeStructureNotes,2,FALSE),"")</f>
        <v>1.) All students admitted to MC-GLOBL2 must select Stream 1, Stream 2 and Stream 3 2.) In the second year, students must choose between the two 50cp Research units (HUMN6001 and HUMN6003) OR the two 50cp Professional Experience/Project units (COMS6002 and COMS6004) 3.) Students wanting to enrol in HUMN6003 must have passed HUMN6001 in a prior study period as it is a pre-requisite for that unit. Alternatively, students may choose to complete the Alternate Cores COMS6004 and COMS6002. Students are recommended to complete COMS6004 prior to enrolling in COMS6002. 4.) Students must complete 100cp before enrolling in the Research units or the Professional Experience/Project units</v>
      </c>
      <c r="C7" s="297"/>
      <c r="D7" s="297"/>
      <c r="E7" s="297"/>
      <c r="F7" s="297"/>
      <c r="G7" s="297"/>
      <c r="H7" s="297"/>
      <c r="I7" s="297"/>
      <c r="J7" s="297"/>
      <c r="K7" s="297"/>
      <c r="L7" s="298"/>
      <c r="M7" s="119"/>
      <c r="N7" s="15"/>
      <c r="O7" s="15"/>
      <c r="P7" s="15"/>
      <c r="Q7" s="15"/>
      <c r="R7" s="15"/>
      <c r="S7" s="15"/>
      <c r="T7" s="15"/>
      <c r="U7" s="15"/>
      <c r="V7" s="15"/>
      <c r="W7" s="15"/>
    </row>
    <row r="8" spans="1:23" s="18" customFormat="1" ht="14.1" customHeight="1" x14ac:dyDescent="0.3">
      <c r="A8" s="132"/>
      <c r="B8" s="132"/>
      <c r="C8" s="132"/>
      <c r="D8" s="133"/>
      <c r="E8" s="134"/>
      <c r="F8" s="132"/>
      <c r="G8" s="132"/>
      <c r="H8" s="159" t="s">
        <v>20</v>
      </c>
      <c r="I8" s="135"/>
      <c r="J8" s="135"/>
      <c r="K8" s="136"/>
      <c r="L8" s="137"/>
      <c r="M8" s="116"/>
      <c r="N8" s="16"/>
      <c r="O8" s="16"/>
      <c r="P8" s="17"/>
      <c r="Q8" s="17"/>
      <c r="R8" s="17"/>
      <c r="S8" s="17"/>
      <c r="T8" s="17"/>
      <c r="U8" s="17"/>
      <c r="V8" s="17"/>
      <c r="W8" s="17"/>
    </row>
    <row r="9" spans="1:23" s="18" customFormat="1" ht="22.8" x14ac:dyDescent="0.3">
      <c r="A9" s="132" t="s">
        <v>21</v>
      </c>
      <c r="B9" s="132"/>
      <c r="C9" s="132"/>
      <c r="D9" s="133" t="s">
        <v>3</v>
      </c>
      <c r="E9" s="138" t="s">
        <v>22</v>
      </c>
      <c r="F9" s="192" t="s">
        <v>23</v>
      </c>
      <c r="G9" s="132" t="s">
        <v>24</v>
      </c>
      <c r="H9" s="139" t="s">
        <v>25</v>
      </c>
      <c r="I9" s="138" t="s">
        <v>26</v>
      </c>
      <c r="J9" s="138" t="s">
        <v>27</v>
      </c>
      <c r="K9" s="140" t="s">
        <v>28</v>
      </c>
      <c r="L9" s="141" t="s">
        <v>256</v>
      </c>
      <c r="M9" s="116"/>
      <c r="N9" s="16"/>
      <c r="O9" s="16"/>
      <c r="P9" s="17"/>
      <c r="Q9" s="17"/>
      <c r="R9" s="17"/>
      <c r="S9" s="17"/>
      <c r="T9" s="17"/>
      <c r="U9" s="17"/>
      <c r="V9" s="17"/>
      <c r="W9" s="17"/>
    </row>
    <row r="10" spans="1:23" s="21" customFormat="1" ht="20.100000000000001" customHeight="1" x14ac:dyDescent="0.25">
      <c r="A10" s="51" t="str">
        <f>IFERROR(IF(HLOOKUP($L$5,RangeGLOBLUnitsets,M10,FALSE)=0,"",HLOOKUP($L$5,RangeGLOBLUnitsets,M10,FALSE)),"")</f>
        <v>GLBL5002</v>
      </c>
      <c r="B10" s="45">
        <f>IFERROR(IF(VLOOKUP($A10,TableHandbook[],2,FALSE)=0,"",VLOOKUP($A10,TableHandbook[],2,FALSE)),"")</f>
        <v>1</v>
      </c>
      <c r="C10" s="45" t="str">
        <f>IFERROR(IF(VLOOKUP($A10,TableHandbook[],3,FALSE)=0,"",VLOOKUP($A10,TableHandbook[],3,FALSE)),"")</f>
        <v/>
      </c>
      <c r="D10" s="52" t="str">
        <f>IFERROR(IF(VLOOKUP($A10,TableHandbook[],4,FALSE)=0,"",VLOOKUP($A10,TableHandbook[],4,FALSE)),"")</f>
        <v>Engaging Africa</v>
      </c>
      <c r="E10" s="45" t="str">
        <f>IF(A10="","",VLOOKUP($D$6,TableStudyPeriods[],2,FALSE))</f>
        <v>Sem1</v>
      </c>
      <c r="F10" s="197" t="str">
        <f>IFERROR(IF(VLOOKUP($A10,TableHandbook[],6,FALSE)=0,"",VLOOKUP($A10,TableHandbook[],6,FALSE)),"")</f>
        <v>None</v>
      </c>
      <c r="G10" s="45">
        <f>IFERROR(IF(VLOOKUP($A10,TableHandbook[],5,FALSE)=0,"",VLOOKUP($A10,TableHandbook[],5,FALSE)),"")</f>
        <v>25</v>
      </c>
      <c r="H10" s="55" t="str">
        <f>IFERROR(VLOOKUP($A10,TableHandbook[],H$2,FALSE),"")</f>
        <v>Y</v>
      </c>
      <c r="I10" s="45" t="str">
        <f>IFERROR(VLOOKUP($A10,TableHandbook[],I$2,FALSE),"")</f>
        <v>Y</v>
      </c>
      <c r="J10" s="45" t="str">
        <f>IFERROR(VLOOKUP($A10,TableHandbook[],J$2,FALSE),"")</f>
        <v/>
      </c>
      <c r="K10" s="56" t="str">
        <f>IFERROR(VLOOKUP($A10,TableHandbook[],K$2,FALSE),"")</f>
        <v/>
      </c>
      <c r="L10" s="53"/>
      <c r="M10" s="117">
        <v>2</v>
      </c>
      <c r="N10" s="19"/>
      <c r="O10" s="19"/>
      <c r="P10" s="20"/>
      <c r="Q10" s="20"/>
      <c r="R10" s="20"/>
      <c r="S10" s="20"/>
      <c r="T10" s="20"/>
      <c r="U10" s="20"/>
      <c r="V10" s="20"/>
      <c r="W10" s="20"/>
    </row>
    <row r="11" spans="1:23" s="21" customFormat="1" ht="20.100000000000001" customHeight="1" x14ac:dyDescent="0.25">
      <c r="A11" s="51" t="str">
        <f>IFERROR(IF(HLOOKUP($L$5,RangeGLOBLUnitsets,M11,FALSE)=0,"",HLOOKUP($L$5,RangeGLOBLUnitsets,M11,FALSE)),"")</f>
        <v>GLBL5003</v>
      </c>
      <c r="B11" s="45">
        <f>IFERROR(IF(VLOOKUP($A11,TableHandbook[],2,FALSE)=0,"",VLOOKUP($A11,TableHandbook[],2,FALSE)),"")</f>
        <v>1</v>
      </c>
      <c r="C11" s="45" t="str">
        <f>IFERROR(IF(VLOOKUP($A11,TableHandbook[],3,FALSE)=0,"",VLOOKUP($A11,TableHandbook[],3,FALSE)),"")</f>
        <v/>
      </c>
      <c r="D11" s="52" t="str">
        <f>IFERROR(IF(VLOOKUP($A11,TableHandbook[],4,FALSE)=0,"",VLOOKUP($A11,TableHandbook[],4,FALSE)),"")</f>
        <v>Engaging Asia</v>
      </c>
      <c r="E11" s="45" t="str">
        <f>IF(OR(A11="",A11="-"),"",E10)</f>
        <v>Sem1</v>
      </c>
      <c r="F11" s="197" t="str">
        <f>IFERROR(IF(VLOOKUP($A11,TableHandbook[],6,FALSE)=0,"",VLOOKUP($A11,TableHandbook[],6,FALSE)),"")</f>
        <v>None</v>
      </c>
      <c r="G11" s="45">
        <f>IFERROR(IF(VLOOKUP($A11,TableHandbook[],5,FALSE)=0,"",VLOOKUP($A11,TableHandbook[],5,FALSE)),"")</f>
        <v>25</v>
      </c>
      <c r="H11" s="55" t="str">
        <f>IFERROR(VLOOKUP($A11,TableHandbook[],H$2,FALSE),"")</f>
        <v>Y</v>
      </c>
      <c r="I11" s="45" t="str">
        <f>IFERROR(VLOOKUP($A11,TableHandbook[],I$2,FALSE),"")</f>
        <v>Y</v>
      </c>
      <c r="J11" s="45" t="str">
        <f>IFERROR(VLOOKUP($A11,TableHandbook[],J$2,FALSE),"")</f>
        <v/>
      </c>
      <c r="K11" s="56" t="str">
        <f>IFERROR(VLOOKUP($A11,TableHandbook[],K$2,FALSE),"")</f>
        <v/>
      </c>
      <c r="L11" s="53"/>
      <c r="M11" s="117">
        <v>3</v>
      </c>
      <c r="N11" s="19"/>
      <c r="O11" s="19"/>
      <c r="P11" s="20"/>
      <c r="Q11" s="20"/>
      <c r="R11" s="20"/>
      <c r="S11" s="20"/>
      <c r="T11" s="20"/>
      <c r="U11" s="20"/>
      <c r="V11" s="20"/>
      <c r="W11" s="20"/>
    </row>
    <row r="12" spans="1:23" s="21" customFormat="1" ht="20.100000000000001" customHeight="1" x14ac:dyDescent="0.25">
      <c r="A12" s="51" t="str">
        <f>IFERROR(IF(HLOOKUP($L$5,RangeGLOBLUnitsets,M12,FALSE)=0,"",HLOOKUP($L$5,RangeGLOBLUnitsets,M12,FALSE)),"")</f>
        <v>GLBL5000</v>
      </c>
      <c r="B12" s="45">
        <f>IFERROR(IF(VLOOKUP($A12,TableHandbook[],2,FALSE)=0,"",VLOOKUP($A12,TableHandbook[],2,FALSE)),"")</f>
        <v>1</v>
      </c>
      <c r="C12" s="45" t="str">
        <f>IFERROR(IF(VLOOKUP($A12,TableHandbook[],3,FALSE)=0,"",VLOOKUP($A12,TableHandbook[],3,FALSE)),"")</f>
        <v/>
      </c>
      <c r="D12" s="52" t="str">
        <f>IFERROR(IF(VLOOKUP($A12,TableHandbook[],4,FALSE)=0,"",VLOOKUP($A12,TableHandbook[],4,FALSE)),"")</f>
        <v>Engaging Cultural Diversity</v>
      </c>
      <c r="E12" s="45" t="str">
        <f>IF(OR(A12="",A12="-"),"",E10)</f>
        <v>Sem1</v>
      </c>
      <c r="F12" s="197" t="str">
        <f>IFERROR(IF(VLOOKUP($A12,TableHandbook[],6,FALSE)=0,"",VLOOKUP($A12,TableHandbook[],6,FALSE)),"")</f>
        <v>None</v>
      </c>
      <c r="G12" s="45">
        <f>IFERROR(IF(VLOOKUP($A12,TableHandbook[],5,FALSE)=0,"",VLOOKUP($A12,TableHandbook[],5,FALSE)),"")</f>
        <v>25</v>
      </c>
      <c r="H12" s="55" t="str">
        <f>IFERROR(VLOOKUP($A12,TableHandbook[],H$2,FALSE),"")</f>
        <v>Y</v>
      </c>
      <c r="I12" s="45" t="str">
        <f>IFERROR(VLOOKUP($A12,TableHandbook[],I$2,FALSE),"")</f>
        <v>Y</v>
      </c>
      <c r="J12" s="45" t="str">
        <f>IFERROR(VLOOKUP($A12,TableHandbook[],J$2,FALSE),"")</f>
        <v/>
      </c>
      <c r="K12" s="56" t="str">
        <f>IFERROR(VLOOKUP($A12,TableHandbook[],K$2,FALSE),"")</f>
        <v/>
      </c>
      <c r="L12" s="54"/>
      <c r="M12" s="117">
        <v>4</v>
      </c>
      <c r="N12" s="19"/>
      <c r="O12" s="19"/>
      <c r="P12" s="20"/>
      <c r="Q12" s="20"/>
      <c r="R12" s="20"/>
      <c r="S12" s="20"/>
      <c r="T12" s="20"/>
      <c r="U12" s="20"/>
      <c r="V12" s="20"/>
      <c r="W12" s="20"/>
    </row>
    <row r="13" spans="1:23" s="21" customFormat="1" ht="20.100000000000001" customHeight="1" x14ac:dyDescent="0.25">
      <c r="A13" s="51" t="str">
        <f>IFERROR(IF(HLOOKUP($L$5,RangeGLOBLUnitsets,M13,FALSE)=0,"",HLOOKUP($L$5,RangeGLOBLUnitsets,M13,FALSE)),"")</f>
        <v>GLBL5001</v>
      </c>
      <c r="B13" s="45">
        <f>IFERROR(IF(VLOOKUP($A13,TableHandbook[],2,FALSE)=0,"",VLOOKUP($A13,TableHandbook[],2,FALSE)),"")</f>
        <v>1</v>
      </c>
      <c r="C13" s="45" t="str">
        <f>IFERROR(IF(VLOOKUP($A13,TableHandbook[],3,FALSE)=0,"",VLOOKUP($A13,TableHandbook[],3,FALSE)),"")</f>
        <v/>
      </c>
      <c r="D13" s="52" t="str">
        <f>IFERROR(IF(VLOOKUP($A13,TableHandbook[],4,FALSE)=0,"",VLOOKUP($A13,TableHandbook[],4,FALSE)),"")</f>
        <v>Global Futures and Just Transformations</v>
      </c>
      <c r="E13" s="45" t="str">
        <f>IF(OR(A13="",A13="-"),"",E10)</f>
        <v>Sem1</v>
      </c>
      <c r="F13" s="197" t="str">
        <f>IFERROR(IF(VLOOKUP($A13,TableHandbook[],6,FALSE)=0,"",VLOOKUP($A13,TableHandbook[],6,FALSE)),"")</f>
        <v>None</v>
      </c>
      <c r="G13" s="45">
        <f>IFERROR(IF(VLOOKUP($A13,TableHandbook[],5,FALSE)=0,"",VLOOKUP($A13,TableHandbook[],5,FALSE)),"")</f>
        <v>25</v>
      </c>
      <c r="H13" s="55" t="str">
        <f>IFERROR(VLOOKUP($A13,TableHandbook[],H$2,FALSE),"")</f>
        <v>Y</v>
      </c>
      <c r="I13" s="45" t="str">
        <f>IFERROR(VLOOKUP($A13,TableHandbook[],I$2,FALSE),"")</f>
        <v>Y</v>
      </c>
      <c r="J13" s="45" t="str">
        <f>IFERROR(VLOOKUP($A13,TableHandbook[],J$2,FALSE),"")</f>
        <v/>
      </c>
      <c r="K13" s="56" t="str">
        <f>IFERROR(VLOOKUP($A13,TableHandbook[],K$2,FALSE),"")</f>
        <v/>
      </c>
      <c r="L13" s="53"/>
      <c r="M13" s="117">
        <v>5</v>
      </c>
      <c r="N13" s="19"/>
      <c r="O13" s="19"/>
      <c r="P13" s="20"/>
      <c r="Q13" s="20"/>
      <c r="R13" s="20"/>
      <c r="S13" s="20"/>
      <c r="T13" s="20"/>
      <c r="U13" s="20"/>
      <c r="V13" s="20"/>
      <c r="W13" s="20"/>
    </row>
    <row r="14" spans="1:23" s="21" customFormat="1" ht="5.0999999999999996" customHeight="1" x14ac:dyDescent="0.25">
      <c r="A14" s="22"/>
      <c r="B14" s="23"/>
      <c r="C14" s="23"/>
      <c r="D14" s="24"/>
      <c r="E14" s="23"/>
      <c r="F14" s="200"/>
      <c r="G14" s="23"/>
      <c r="H14" s="57"/>
      <c r="I14" s="23"/>
      <c r="J14" s="23"/>
      <c r="K14" s="58"/>
      <c r="L14" s="26"/>
      <c r="M14" s="117"/>
      <c r="N14" s="19"/>
      <c r="O14" s="19"/>
      <c r="P14" s="19"/>
      <c r="Q14" s="20"/>
      <c r="R14" s="20"/>
      <c r="S14" s="20"/>
      <c r="T14" s="20"/>
      <c r="U14" s="20"/>
      <c r="V14" s="20"/>
      <c r="W14" s="20"/>
    </row>
    <row r="15" spans="1:23" s="21" customFormat="1" ht="20.100000000000001" customHeight="1" x14ac:dyDescent="0.25">
      <c r="A15" s="51" t="str">
        <f>IFERROR(IF(HLOOKUP($L$5,RangeGLOBLUnitsets,M15,FALSE)=0,"",HLOOKUP($L$5,RangeGLOBLUnitsets,M15,FALSE)),"")</f>
        <v>AC-INTRNSt</v>
      </c>
      <c r="B15" s="47" t="str">
        <f>IFERROR(IF(VLOOKUP($A15,TableHandbook[],2,FALSE)=0,"",VLOOKUP($A15,TableHandbook[],2,FALSE)),"")</f>
        <v/>
      </c>
      <c r="C15" s="47" t="str">
        <f>IFERROR(IF(VLOOKUP($A15,TableHandbook[],3,FALSE)=0,"",VLOOKUP($A15,TableHandbook[],3,FALSE)),"")</f>
        <v/>
      </c>
      <c r="D15" s="52" t="str">
        <f>IFERROR(IF(VLOOKUP($A15,TableHandbook[],4,FALSE)=0,"",VLOOKUP($A15,TableHandbook[],4,FALSE)),"")</f>
        <v>Study one of INTR5001 or POLS5000 or POLS5003 (see below)</v>
      </c>
      <c r="E15" s="45" t="str">
        <f>IF(A15="","",VLOOKUP($D$6,TableStudyPeriods[],3,FALSE))</f>
        <v>Sem2</v>
      </c>
      <c r="F15" s="197" t="str">
        <f>IFERROR(IF(VLOOKUP($A15,TableHandbook[],6,FALSE)=0,"",VLOOKUP($A15,TableHandbook[],6,FALSE)),"")</f>
        <v>See below</v>
      </c>
      <c r="G15" s="47">
        <f>IFERROR(IF(VLOOKUP($A15,TableHandbook[],5,FALSE)=0,"",VLOOKUP($A15,TableHandbook[],5,FALSE)),"")</f>
        <v>25</v>
      </c>
      <c r="H15" s="59" t="str">
        <f>IFERROR(VLOOKUP($A15,TableHandbook[],H$2,FALSE),"")</f>
        <v/>
      </c>
      <c r="I15" s="47" t="str">
        <f>IFERROR(VLOOKUP($A15,TableHandbook[],I$2,FALSE),"")</f>
        <v/>
      </c>
      <c r="J15" s="47" t="str">
        <f>IFERROR(VLOOKUP($A15,TableHandbook[],J$2,FALSE),"")</f>
        <v/>
      </c>
      <c r="K15" s="60" t="str">
        <f>IFERROR(VLOOKUP($A15,TableHandbook[],K$2,FALSE),"")</f>
        <v/>
      </c>
      <c r="L15" s="54"/>
      <c r="M15" s="117">
        <v>6</v>
      </c>
      <c r="N15" s="19"/>
      <c r="O15" s="19"/>
      <c r="P15" s="20"/>
      <c r="Q15" s="20"/>
      <c r="R15" s="20"/>
      <c r="S15" s="20"/>
      <c r="T15" s="20"/>
      <c r="U15" s="20"/>
      <c r="V15" s="20"/>
      <c r="W15" s="20"/>
    </row>
    <row r="16" spans="1:23" s="29" customFormat="1" ht="20.100000000000001" customHeight="1" x14ac:dyDescent="0.25">
      <c r="A16" s="51" t="str">
        <f>IFERROR(IF(HLOOKUP($L$5,RangeGLOBLUnitsets,M16,FALSE)=0,"",HLOOKUP($L$5,RangeGLOBLUnitsets,M16,FALSE)),"")</f>
        <v>Opt-INTRNSt</v>
      </c>
      <c r="B16" s="47" t="str">
        <f>IFERROR(IF(VLOOKUP($A16,TableHandbook[],2,FALSE)=0,"",VLOOKUP($A16,TableHandbook[],2,FALSE)),"")</f>
        <v/>
      </c>
      <c r="C16" s="47" t="str">
        <f>IFERROR(IF(VLOOKUP($A16,TableHandbook[],3,FALSE)=0,"",VLOOKUP($A16,TableHandbook[],3,FALSE)),"")</f>
        <v/>
      </c>
      <c r="D16" s="52" t="str">
        <f>IFERROR(IF(VLOOKUP($A16,TableHandbook[],4,FALSE)=0,"",VLOOKUP($A16,TableHandbook[],4,FALSE)),"")</f>
        <v>Study an Option unit from INTRN list below</v>
      </c>
      <c r="E16" s="45" t="str">
        <f>IF(OR(A16="",A16="-"),"",E15)</f>
        <v>Sem2</v>
      </c>
      <c r="F16" s="197" t="str">
        <f>IFERROR(IF(VLOOKUP($A16,TableHandbook[],6,FALSE)=0,"",VLOOKUP($A16,TableHandbook[],6,FALSE)),"")</f>
        <v>See below</v>
      </c>
      <c r="G16" s="47">
        <f>IFERROR(IF(VLOOKUP($A16,TableHandbook[],5,FALSE)=0,"",VLOOKUP($A16,TableHandbook[],5,FALSE)),"")</f>
        <v>25</v>
      </c>
      <c r="H16" s="59" t="str">
        <f>IFERROR(VLOOKUP($A16,TableHandbook[],H$2,FALSE),"")</f>
        <v/>
      </c>
      <c r="I16" s="47" t="str">
        <f>IFERROR(VLOOKUP($A16,TableHandbook[],I$2,FALSE),"")</f>
        <v/>
      </c>
      <c r="J16" s="47" t="str">
        <f>IFERROR(VLOOKUP($A16,TableHandbook[],J$2,FALSE),"")</f>
        <v/>
      </c>
      <c r="K16" s="60" t="str">
        <f>IFERROR(VLOOKUP($A16,TableHandbook[],K$2,FALSE),"")</f>
        <v/>
      </c>
      <c r="L16" s="54"/>
      <c r="M16" s="117">
        <v>7</v>
      </c>
      <c r="N16" s="27"/>
      <c r="O16" s="27"/>
      <c r="P16" s="28"/>
      <c r="Q16" s="28"/>
      <c r="R16" s="28"/>
      <c r="S16" s="28"/>
      <c r="T16" s="28"/>
      <c r="U16" s="28"/>
      <c r="V16" s="28"/>
      <c r="W16" s="28"/>
    </row>
    <row r="17" spans="1:23" s="29" customFormat="1" ht="20.100000000000001" customHeight="1" x14ac:dyDescent="0.25">
      <c r="A17" s="51" t="str">
        <f>IFERROR(IF(HLOOKUP($L$5,RangeGLOBLUnitsets,M17,FALSE)=0,"",HLOOKUP($L$5,RangeGLOBLUnitsets,M17,FALSE)),"")</f>
        <v>Opt-INTRNSt</v>
      </c>
      <c r="B17" s="47" t="str">
        <f>IFERROR(IF(VLOOKUP($A17,TableHandbook[],2,FALSE)=0,"",VLOOKUP($A17,TableHandbook[],2,FALSE)),"")</f>
        <v/>
      </c>
      <c r="C17" s="47" t="str">
        <f>IFERROR(IF(VLOOKUP($A17,TableHandbook[],3,FALSE)=0,"",VLOOKUP($A17,TableHandbook[],3,FALSE)),"")</f>
        <v/>
      </c>
      <c r="D17" s="52" t="str">
        <f>IFERROR(IF(VLOOKUP($A17,TableHandbook[],4,FALSE)=0,"",VLOOKUP($A17,TableHandbook[],4,FALSE)),"")</f>
        <v>Study an Option unit from INTRN list below</v>
      </c>
      <c r="E17" s="45" t="str">
        <f>IF(OR(A17="",A17="-"),"",E15)</f>
        <v>Sem2</v>
      </c>
      <c r="F17" s="197" t="str">
        <f>IFERROR(IF(VLOOKUP($A17,TableHandbook[],6,FALSE)=0,"",VLOOKUP($A17,TableHandbook[],6,FALSE)),"")</f>
        <v>See below</v>
      </c>
      <c r="G17" s="47">
        <f>IFERROR(IF(VLOOKUP($A17,TableHandbook[],5,FALSE)=0,"",VLOOKUP($A17,TableHandbook[],5,FALSE)),"")</f>
        <v>25</v>
      </c>
      <c r="H17" s="59" t="str">
        <f>IFERROR(VLOOKUP($A17,TableHandbook[],H$2,FALSE),"")</f>
        <v/>
      </c>
      <c r="I17" s="47" t="str">
        <f>IFERROR(VLOOKUP($A17,TableHandbook[],I$2,FALSE),"")</f>
        <v/>
      </c>
      <c r="J17" s="47" t="str">
        <f>IFERROR(VLOOKUP($A17,TableHandbook[],J$2,FALSE),"")</f>
        <v/>
      </c>
      <c r="K17" s="60" t="str">
        <f>IFERROR(VLOOKUP($A17,TableHandbook[],K$2,FALSE),"")</f>
        <v/>
      </c>
      <c r="L17" s="54"/>
      <c r="M17" s="117">
        <v>8</v>
      </c>
      <c r="N17" s="27"/>
      <c r="O17" s="27"/>
      <c r="P17" s="28"/>
      <c r="Q17" s="28"/>
      <c r="R17" s="28"/>
      <c r="S17" s="28"/>
      <c r="T17" s="28"/>
      <c r="U17" s="28"/>
      <c r="V17" s="28"/>
      <c r="W17" s="28"/>
    </row>
    <row r="18" spans="1:23" s="29" customFormat="1" ht="20.100000000000001" customHeight="1" x14ac:dyDescent="0.25">
      <c r="A18" s="51" t="str">
        <f>IFERROR(IF(HLOOKUP($L$5,RangeGLOBLUnitsets,M18,FALSE)=0,"",HLOOKUP($L$5,RangeGLOBLUnitsets,M18,FALSE)),"")</f>
        <v>Opt-INTRNSt</v>
      </c>
      <c r="B18" s="47" t="str">
        <f>IFERROR(IF(VLOOKUP($A18,TableHandbook[],2,FALSE)=0,"",VLOOKUP($A18,TableHandbook[],2,FALSE)),"")</f>
        <v/>
      </c>
      <c r="C18" s="47" t="str">
        <f>IFERROR(IF(VLOOKUP($A18,TableHandbook[],3,FALSE)=0,"",VLOOKUP($A18,TableHandbook[],3,FALSE)),"")</f>
        <v/>
      </c>
      <c r="D18" s="50" t="str">
        <f>IFERROR(IF(VLOOKUP($A18,TableHandbook[],4,FALSE)=0,"",VLOOKUP($A18,TableHandbook[],4,FALSE)),"")</f>
        <v>Study an Option unit from INTRN list below</v>
      </c>
      <c r="E18" s="47" t="str">
        <f>IF(OR(A18="",A18="-"),"",E15)</f>
        <v>Sem2</v>
      </c>
      <c r="F18" s="197" t="str">
        <f>IFERROR(IF(VLOOKUP($A18,TableHandbook[],6,FALSE)=0,"",VLOOKUP($A18,TableHandbook[],6,FALSE)),"")</f>
        <v>See below</v>
      </c>
      <c r="G18" s="47">
        <f>IFERROR(IF(VLOOKUP($A18,TableHandbook[],5,FALSE)=0,"",VLOOKUP($A18,TableHandbook[],5,FALSE)),"")</f>
        <v>25</v>
      </c>
      <c r="H18" s="59" t="str">
        <f>IFERROR(VLOOKUP($A18,TableHandbook[],H$2,FALSE),"")</f>
        <v/>
      </c>
      <c r="I18" s="47" t="str">
        <f>IFERROR(VLOOKUP($A18,TableHandbook[],I$2,FALSE),"")</f>
        <v/>
      </c>
      <c r="J18" s="47" t="str">
        <f>IFERROR(VLOOKUP($A18,TableHandbook[],J$2,FALSE),"")</f>
        <v/>
      </c>
      <c r="K18" s="60" t="str">
        <f>IFERROR(VLOOKUP($A18,TableHandbook[],K$2,FALSE),"")</f>
        <v/>
      </c>
      <c r="L18" s="54"/>
      <c r="M18" s="117">
        <v>9</v>
      </c>
      <c r="N18" s="27"/>
      <c r="O18" s="27"/>
      <c r="P18" s="28"/>
      <c r="Q18" s="28"/>
      <c r="R18" s="28"/>
      <c r="S18" s="28"/>
      <c r="T18" s="28"/>
      <c r="U18" s="28"/>
      <c r="V18" s="28"/>
      <c r="W18" s="28"/>
    </row>
    <row r="19" spans="1:23" s="18" customFormat="1" ht="22.8" x14ac:dyDescent="0.3">
      <c r="A19" s="132" t="s">
        <v>30</v>
      </c>
      <c r="B19" s="132"/>
      <c r="C19" s="132"/>
      <c r="D19" s="133" t="s">
        <v>3</v>
      </c>
      <c r="E19" s="138" t="s">
        <v>22</v>
      </c>
      <c r="F19" s="192" t="s">
        <v>23</v>
      </c>
      <c r="G19" s="132" t="s">
        <v>24</v>
      </c>
      <c r="H19" s="139" t="str">
        <f>H$9</f>
        <v>Sem1 BEN</v>
      </c>
      <c r="I19" s="138" t="str">
        <f t="shared" ref="I19:L19" si="0">I$9</f>
        <v>Sem1 FO</v>
      </c>
      <c r="J19" s="138" t="str">
        <f t="shared" si="0"/>
        <v>Sem2 BEN</v>
      </c>
      <c r="K19" s="140" t="str">
        <f t="shared" si="0"/>
        <v>Sem2 FO</v>
      </c>
      <c r="L19" s="141" t="str">
        <f t="shared" si="0"/>
        <v>Progress</v>
      </c>
      <c r="M19" s="116"/>
      <c r="N19" s="16"/>
      <c r="O19" s="16"/>
      <c r="P19" s="17"/>
      <c r="Q19" s="17"/>
      <c r="R19" s="17"/>
      <c r="S19" s="17"/>
      <c r="T19" s="17"/>
      <c r="U19" s="17"/>
      <c r="V19" s="17"/>
      <c r="W19" s="17"/>
    </row>
    <row r="20" spans="1:23" s="21" customFormat="1" ht="20.100000000000001" customHeight="1" x14ac:dyDescent="0.25">
      <c r="A20" s="51" t="str">
        <f>IFERROR(IF(HLOOKUP($L$5,RangeGLOBLUnitsets,M20,FALSE)=0,"",HLOOKUP($L$5,RangeGLOBLUnitsets,M20,FALSE)),"")</f>
        <v>Opt-HRIGTSt</v>
      </c>
      <c r="B20" s="47" t="str">
        <f>IFERROR(IF(VLOOKUP($A20,TableHandbook[],2,FALSE)=0,"",VLOOKUP($A20,TableHandbook[],2,FALSE)),"")</f>
        <v/>
      </c>
      <c r="C20" s="47" t="str">
        <f>IFERROR(IF(VLOOKUP($A20,TableHandbook[],3,FALSE)=0,"",VLOOKUP($A20,TableHandbook[],3,FALSE)),"")</f>
        <v/>
      </c>
      <c r="D20" s="48" t="str">
        <f>IFERROR(IF(VLOOKUP($A20,TableHandbook[],4,FALSE)=0,"",VLOOKUP($A20,TableHandbook[],4,FALSE)),"")</f>
        <v>Study an Option unit from HRIGT list below</v>
      </c>
      <c r="E20" s="47" t="str">
        <f>IF(A20="","",VLOOKUP($D$6,TableStudyPeriods[],2,FALSE))</f>
        <v>Sem1</v>
      </c>
      <c r="F20" s="197" t="str">
        <f>IFERROR(IF(VLOOKUP($A20,TableHandbook[],6,FALSE)=0,"",VLOOKUP($A20,TableHandbook[],6,FALSE)),"")</f>
        <v>See below</v>
      </c>
      <c r="G20" s="45">
        <f>IFERROR(IF(VLOOKUP($A20,TableHandbook[],5,FALSE)=0,"",VLOOKUP($A20,TableHandbook[],5,FALSE)),"")</f>
        <v>25</v>
      </c>
      <c r="H20" s="55" t="str">
        <f>IFERROR(VLOOKUP($A20,TableHandbook[],H$2,FALSE),"")</f>
        <v/>
      </c>
      <c r="I20" s="45" t="str">
        <f>IFERROR(VLOOKUP($A20,TableHandbook[],I$2,FALSE),"")</f>
        <v/>
      </c>
      <c r="J20" s="45" t="str">
        <f>IFERROR(VLOOKUP($A20,TableHandbook[],J$2,FALSE),"")</f>
        <v/>
      </c>
      <c r="K20" s="56" t="str">
        <f>IFERROR(VLOOKUP($A20,TableHandbook[],K$2,FALSE),"")</f>
        <v/>
      </c>
      <c r="L20" s="49"/>
      <c r="M20" s="117">
        <v>10</v>
      </c>
      <c r="N20" s="19"/>
      <c r="O20" s="19"/>
      <c r="P20" s="20"/>
      <c r="Q20" s="20"/>
      <c r="R20" s="20"/>
      <c r="S20" s="20"/>
      <c r="T20" s="20"/>
      <c r="U20" s="20"/>
      <c r="V20" s="20"/>
      <c r="W20" s="20"/>
    </row>
    <row r="21" spans="1:23" s="21" customFormat="1" ht="20.100000000000001" customHeight="1" x14ac:dyDescent="0.25">
      <c r="A21" s="51" t="str">
        <f>IFERROR(IF(HLOOKUP($L$5,RangeGLOBLUnitsets,M21,FALSE)=0,"",HLOOKUP($L$5,RangeGLOBLUnitsets,M21,FALSE)),"")</f>
        <v>Opt-HRIGTSt</v>
      </c>
      <c r="B21" s="47" t="str">
        <f>IFERROR(IF(VLOOKUP($A21,TableHandbook[],2,FALSE)=0,"",VLOOKUP($A21,TableHandbook[],2,FALSE)),"")</f>
        <v/>
      </c>
      <c r="C21" s="47" t="str">
        <f>IFERROR(IF(VLOOKUP($A21,TableHandbook[],3,FALSE)=0,"",VLOOKUP($A21,TableHandbook[],3,FALSE)),"")</f>
        <v/>
      </c>
      <c r="D21" s="50" t="str">
        <f>IFERROR(IF(VLOOKUP($A21,TableHandbook[],4,FALSE)=0,"",VLOOKUP($A21,TableHandbook[],4,FALSE)),"")</f>
        <v>Study an Option unit from HRIGT list below</v>
      </c>
      <c r="E21" s="47" t="str">
        <f>IF(OR(A21="",A21="-"),"",E20)</f>
        <v>Sem1</v>
      </c>
      <c r="F21" s="197" t="str">
        <f>IFERROR(IF(VLOOKUP($A21,TableHandbook[],6,FALSE)=0,"",VLOOKUP($A21,TableHandbook[],6,FALSE)),"")</f>
        <v>See below</v>
      </c>
      <c r="G21" s="45">
        <f>IFERROR(IF(VLOOKUP($A21,TableHandbook[],5,FALSE)=0,"",VLOOKUP($A21,TableHandbook[],5,FALSE)),"")</f>
        <v>25</v>
      </c>
      <c r="H21" s="55" t="str">
        <f>IFERROR(VLOOKUP($A21,TableHandbook[],H$2,FALSE),"")</f>
        <v/>
      </c>
      <c r="I21" s="45" t="str">
        <f>IFERROR(VLOOKUP($A21,TableHandbook[],I$2,FALSE),"")</f>
        <v/>
      </c>
      <c r="J21" s="45" t="str">
        <f>IFERROR(VLOOKUP($A21,TableHandbook[],J$2,FALSE),"")</f>
        <v/>
      </c>
      <c r="K21" s="56" t="str">
        <f>IFERROR(VLOOKUP($A21,TableHandbook[],K$2,FALSE),"")</f>
        <v/>
      </c>
      <c r="L21" s="49"/>
      <c r="M21" s="117">
        <v>11</v>
      </c>
      <c r="N21" s="19"/>
      <c r="O21" s="19"/>
      <c r="P21" s="20"/>
      <c r="Q21" s="20"/>
      <c r="R21" s="20"/>
      <c r="S21" s="20"/>
      <c r="T21" s="20"/>
      <c r="U21" s="20"/>
      <c r="V21" s="20"/>
      <c r="W21" s="20"/>
    </row>
    <row r="22" spans="1:23" s="21" customFormat="1" ht="20.100000000000001" customHeight="1" x14ac:dyDescent="0.25">
      <c r="A22" s="51" t="str">
        <f>IFERROR(IF(HLOOKUP($L$5,RangeGLOBLUnitsets,M22,FALSE)=0,"",HLOOKUP($L$5,RangeGLOBLUnitsets,M22,FALSE)),"")</f>
        <v>AC-GLOBL1</v>
      </c>
      <c r="B22" s="47" t="str">
        <f>IFERROR(IF(VLOOKUP($A22,TableHandbook[],2,FALSE)=0,"",VLOOKUP($A22,TableHandbook[],2,FALSE)),"")</f>
        <v/>
      </c>
      <c r="C22" s="47" t="str">
        <f>IFERROR(IF(VLOOKUP($A22,TableHandbook[],3,FALSE)=0,"",VLOOKUP($A22,TableHandbook[],3,FALSE)),"")</f>
        <v/>
      </c>
      <c r="D22" s="50" t="str">
        <f>IFERROR(IF(VLOOKUP($A22,TableHandbook[],4,FALSE)=0,"",VLOOKUP($A22,TableHandbook[],4,FALSE)),"")</f>
        <v>Study either COMS6004 or HUMN6001 (see below)</v>
      </c>
      <c r="E22" s="47" t="str">
        <f>IF(OR(A22="",A22="-"),"",E20)</f>
        <v>Sem1</v>
      </c>
      <c r="F22" s="197" t="str">
        <f>IFERROR(IF(VLOOKUP($A22,TableHandbook[],6,FALSE)=0,"",VLOOKUP($A22,TableHandbook[],6,FALSE)),"")</f>
        <v>See below</v>
      </c>
      <c r="G22" s="45">
        <f>IFERROR(IF(VLOOKUP($A22,TableHandbook[],5,FALSE)=0,"",VLOOKUP($A22,TableHandbook[],5,FALSE)),"")</f>
        <v>50</v>
      </c>
      <c r="H22" s="55" t="str">
        <f>IFERROR(VLOOKUP($A22,TableHandbook[],H$2,FALSE),"")</f>
        <v>Y</v>
      </c>
      <c r="I22" s="45" t="str">
        <f>IFERROR(VLOOKUP($A22,TableHandbook[],I$2,FALSE),"")</f>
        <v>Y</v>
      </c>
      <c r="J22" s="45" t="str">
        <f>IFERROR(VLOOKUP($A22,TableHandbook[],J$2,FALSE),"")</f>
        <v>Y</v>
      </c>
      <c r="K22" s="56" t="str">
        <f>IFERROR(VLOOKUP($A22,TableHandbook[],K$2,FALSE),"")</f>
        <v>Y</v>
      </c>
      <c r="L22" s="49"/>
      <c r="M22" s="117">
        <v>12</v>
      </c>
      <c r="N22" s="19"/>
      <c r="O22" s="19"/>
      <c r="P22" s="20"/>
      <c r="Q22" s="20"/>
      <c r="R22" s="20"/>
      <c r="S22" s="20"/>
      <c r="T22" s="20"/>
      <c r="U22" s="20"/>
      <c r="V22" s="20"/>
      <c r="W22" s="20"/>
    </row>
    <row r="23" spans="1:23" s="21" customFormat="1" ht="20.100000000000001" customHeight="1" x14ac:dyDescent="0.25">
      <c r="A23" s="51" t="str">
        <f>IFERROR(IF(HLOOKUP($L$5,RangeGLOBLUnitsets,M23,FALSE)=0,"",HLOOKUP($L$5,RangeGLOBLUnitsets,M23,FALSE)),"")</f>
        <v>-</v>
      </c>
      <c r="B23" s="47" t="str">
        <f>IFERROR(IF(VLOOKUP($A23,TableHandbook[],2,FALSE)=0,"",VLOOKUP($A23,TableHandbook[],2,FALSE)),"")</f>
        <v/>
      </c>
      <c r="C23" s="47" t="str">
        <f>IFERROR(IF(VLOOKUP($A23,TableHandbook[],3,FALSE)=0,"",VLOOKUP($A23,TableHandbook[],3,FALSE)),"")</f>
        <v/>
      </c>
      <c r="D23" s="50" t="str">
        <f>IFERROR(IF(VLOOKUP($A23,TableHandbook[],4,FALSE)=0,"",VLOOKUP($A23,TableHandbook[],4,FALSE)),"")</f>
        <v>Please note this is a 50CP Unit</v>
      </c>
      <c r="E23" s="47" t="str">
        <f>IF(OR(A23="",A23="-"),"",E20)</f>
        <v/>
      </c>
      <c r="F23" s="197" t="str">
        <f>IFERROR(IF(VLOOKUP($A23,TableHandbook[],6,FALSE)=0,"",VLOOKUP($A23,TableHandbook[],6,FALSE)),"")</f>
        <v/>
      </c>
      <c r="G23" s="45" t="str">
        <f>IFERROR(IF(VLOOKUP($A23,TableHandbook[],5,FALSE)=0,"",VLOOKUP($A23,TableHandbook[],5,FALSE)),"")</f>
        <v/>
      </c>
      <c r="H23" s="55" t="str">
        <f>IFERROR(VLOOKUP($A23,TableHandbook[],H$2,FALSE),"")</f>
        <v/>
      </c>
      <c r="I23" s="45" t="str">
        <f>IFERROR(VLOOKUP($A23,TableHandbook[],I$2,FALSE),"")</f>
        <v/>
      </c>
      <c r="J23" s="45" t="str">
        <f>IFERROR(VLOOKUP($A23,TableHandbook[],J$2,FALSE),"")</f>
        <v/>
      </c>
      <c r="K23" s="56" t="str">
        <f>IFERROR(VLOOKUP($A23,TableHandbook[],K$2,FALSE),"")</f>
        <v/>
      </c>
      <c r="L23" s="49"/>
      <c r="M23" s="117">
        <v>13</v>
      </c>
      <c r="N23" s="19"/>
      <c r="O23" s="19"/>
      <c r="P23" s="20"/>
      <c r="Q23" s="20"/>
      <c r="R23" s="20"/>
      <c r="S23" s="20"/>
      <c r="T23" s="20"/>
      <c r="U23" s="20"/>
      <c r="V23" s="20"/>
      <c r="W23" s="20"/>
    </row>
    <row r="24" spans="1:23" s="21" customFormat="1" ht="5.0999999999999996" customHeight="1" x14ac:dyDescent="0.25">
      <c r="A24" s="22"/>
      <c r="B24" s="23"/>
      <c r="C24" s="23"/>
      <c r="D24" s="24"/>
      <c r="E24" s="23"/>
      <c r="F24" s="200"/>
      <c r="G24" s="23"/>
      <c r="H24" s="57"/>
      <c r="I24" s="23"/>
      <c r="J24" s="23"/>
      <c r="K24" s="58"/>
      <c r="L24" s="26"/>
      <c r="M24" s="117"/>
      <c r="N24" s="19"/>
      <c r="O24" s="19"/>
      <c r="P24" s="19"/>
      <c r="Q24" s="20"/>
      <c r="R24" s="20"/>
      <c r="S24" s="20"/>
      <c r="T24" s="20"/>
      <c r="U24" s="20"/>
      <c r="V24" s="20"/>
      <c r="W24" s="20"/>
    </row>
    <row r="25" spans="1:23" s="21" customFormat="1" ht="20.100000000000001" customHeight="1" x14ac:dyDescent="0.25">
      <c r="A25" s="51" t="str">
        <f>IFERROR(IF(HLOOKUP($L$5,RangeGLOBLUnitsets,M25,FALSE)=0,"",HLOOKUP($L$5,RangeGLOBLUnitsets,M25,FALSE)),"")</f>
        <v>Opt-HRIGTSt</v>
      </c>
      <c r="B25" s="47" t="str">
        <f>IFERROR(IF(VLOOKUP($A25,TableHandbook[],2,FALSE)=0,"",VLOOKUP($A25,TableHandbook[],2,FALSE)),"")</f>
        <v/>
      </c>
      <c r="C25" s="47" t="str">
        <f>IFERROR(IF(VLOOKUP($A25,TableHandbook[],3,FALSE)=0,"",VLOOKUP($A25,TableHandbook[],3,FALSE)),"")</f>
        <v/>
      </c>
      <c r="D25" s="50" t="str">
        <f>IFERROR(IF(VLOOKUP($A25,TableHandbook[],4,FALSE)=0,"",VLOOKUP($A25,TableHandbook[],4,FALSE)),"")</f>
        <v>Study an Option unit from HRIGT list below</v>
      </c>
      <c r="E25" s="47" t="str">
        <f>IF(A25="","",VLOOKUP($D$6,TableStudyPeriods[],3,FALSE))</f>
        <v>Sem2</v>
      </c>
      <c r="F25" s="197" t="str">
        <f>IFERROR(IF(VLOOKUP($A25,TableHandbook[],6,FALSE)=0,"",VLOOKUP($A25,TableHandbook[],6,FALSE)),"")</f>
        <v>See below</v>
      </c>
      <c r="G25" s="45">
        <f>IFERROR(IF(VLOOKUP($A25,TableHandbook[],5,FALSE)=0,"",VLOOKUP($A25,TableHandbook[],5,FALSE)),"")</f>
        <v>25</v>
      </c>
      <c r="H25" s="55" t="str">
        <f>IFERROR(VLOOKUP($A25,TableHandbook[],H$2,FALSE),"")</f>
        <v/>
      </c>
      <c r="I25" s="45" t="str">
        <f>IFERROR(VLOOKUP($A25,TableHandbook[],I$2,FALSE),"")</f>
        <v/>
      </c>
      <c r="J25" s="45" t="str">
        <f>IFERROR(VLOOKUP($A25,TableHandbook[],J$2,FALSE),"")</f>
        <v/>
      </c>
      <c r="K25" s="56" t="str">
        <f>IFERROR(VLOOKUP($A25,TableHandbook[],K$2,FALSE),"")</f>
        <v/>
      </c>
      <c r="L25" s="49"/>
      <c r="M25" s="117">
        <v>14</v>
      </c>
      <c r="N25" s="19"/>
      <c r="O25" s="19"/>
      <c r="P25" s="20"/>
      <c r="Q25" s="20"/>
      <c r="R25" s="20"/>
      <c r="S25" s="20"/>
      <c r="T25" s="20"/>
      <c r="U25" s="20"/>
      <c r="V25" s="20"/>
      <c r="W25" s="20"/>
    </row>
    <row r="26" spans="1:23" s="21" customFormat="1" ht="20.100000000000001" customHeight="1" x14ac:dyDescent="0.25">
      <c r="A26" s="51" t="str">
        <f>IFERROR(IF(HLOOKUP($L$5,RangeGLOBLUnitsets,M26,FALSE)=0,"",HLOOKUP($L$5,RangeGLOBLUnitsets,M26,FALSE)),"")</f>
        <v>Opt-HRIGTSt</v>
      </c>
      <c r="B26" s="47" t="str">
        <f>IFERROR(IF(VLOOKUP($A26,TableHandbook[],2,FALSE)=0,"",VLOOKUP($A26,TableHandbook[],2,FALSE)),"")</f>
        <v/>
      </c>
      <c r="C26" s="47" t="str">
        <f>IFERROR(IF(VLOOKUP($A26,TableHandbook[],3,FALSE)=0,"",VLOOKUP($A26,TableHandbook[],3,FALSE)),"")</f>
        <v/>
      </c>
      <c r="D26" s="50" t="str">
        <f>IFERROR(IF(VLOOKUP($A26,TableHandbook[],4,FALSE)=0,"",VLOOKUP($A26,TableHandbook[],4,FALSE)),"")</f>
        <v>Study an Option unit from HRIGT list below</v>
      </c>
      <c r="E26" s="47" t="str">
        <f>IF(OR(A26="",A26="-"),"",E25)</f>
        <v>Sem2</v>
      </c>
      <c r="F26" s="197" t="str">
        <f>IFERROR(IF(VLOOKUP($A26,TableHandbook[],6,FALSE)=0,"",VLOOKUP($A26,TableHandbook[],6,FALSE)),"")</f>
        <v>See below</v>
      </c>
      <c r="G26" s="45">
        <f>IFERROR(IF(VLOOKUP($A26,TableHandbook[],5,FALSE)=0,"",VLOOKUP($A26,TableHandbook[],5,FALSE)),"")</f>
        <v>25</v>
      </c>
      <c r="H26" s="55" t="str">
        <f>IFERROR(VLOOKUP($A26,TableHandbook[],H$2,FALSE),"")</f>
        <v/>
      </c>
      <c r="I26" s="45" t="str">
        <f>IFERROR(VLOOKUP($A26,TableHandbook[],I$2,FALSE),"")</f>
        <v/>
      </c>
      <c r="J26" s="45" t="str">
        <f>IFERROR(VLOOKUP($A26,TableHandbook[],J$2,FALSE),"")</f>
        <v/>
      </c>
      <c r="K26" s="56" t="str">
        <f>IFERROR(VLOOKUP($A26,TableHandbook[],K$2,FALSE),"")</f>
        <v/>
      </c>
      <c r="L26" s="49"/>
      <c r="M26" s="117">
        <v>15</v>
      </c>
      <c r="N26" s="19"/>
      <c r="O26" s="19"/>
      <c r="P26" s="20"/>
      <c r="Q26" s="20"/>
      <c r="R26" s="20"/>
      <c r="S26" s="20"/>
      <c r="T26" s="20"/>
      <c r="U26" s="20"/>
      <c r="V26" s="20"/>
      <c r="W26" s="20"/>
    </row>
    <row r="27" spans="1:23" s="29" customFormat="1" ht="20.100000000000001" customHeight="1" x14ac:dyDescent="0.25">
      <c r="A27" s="51" t="str">
        <f>IFERROR(IF(HLOOKUP($L$5,RangeGLOBLUnitsets,M27,FALSE)=0,"",HLOOKUP($L$5,RangeGLOBLUnitsets,M27,FALSE)),"")</f>
        <v>AC-GLOBL2</v>
      </c>
      <c r="B27" s="47" t="str">
        <f>IFERROR(IF(VLOOKUP($A27,TableHandbook[],2,FALSE)=0,"",VLOOKUP($A27,TableHandbook[],2,FALSE)),"")</f>
        <v/>
      </c>
      <c r="C27" s="47" t="str">
        <f>IFERROR(IF(VLOOKUP($A27,TableHandbook[],3,FALSE)=0,"",VLOOKUP($A27,TableHandbook[],3,FALSE)),"")</f>
        <v/>
      </c>
      <c r="D27" s="50" t="str">
        <f>IFERROR(IF(VLOOKUP($A27,TableHandbook[],4,FALSE)=0,"",VLOOKUP($A27,TableHandbook[],4,FALSE)),"")</f>
        <v>Study either COMS6002 or HUMN6003 (see below)</v>
      </c>
      <c r="E27" s="47" t="str">
        <f>IF(OR(A27="",A27="-"),"",E25)</f>
        <v>Sem2</v>
      </c>
      <c r="F27" s="197" t="str">
        <f>IFERROR(IF(VLOOKUP($A27,TableHandbook[],6,FALSE)=0,"",VLOOKUP($A27,TableHandbook[],6,FALSE)),"")</f>
        <v>See below</v>
      </c>
      <c r="G27" s="45">
        <f>IFERROR(IF(VLOOKUP($A27,TableHandbook[],5,FALSE)=0,"",VLOOKUP($A27,TableHandbook[],5,FALSE)),"")</f>
        <v>50</v>
      </c>
      <c r="H27" s="55" t="str">
        <f>IFERROR(VLOOKUP($A27,TableHandbook[],H$2,FALSE),"")</f>
        <v>Y</v>
      </c>
      <c r="I27" s="45" t="str">
        <f>IFERROR(VLOOKUP($A27,TableHandbook[],I$2,FALSE),"")</f>
        <v>Y</v>
      </c>
      <c r="J27" s="45" t="str">
        <f>IFERROR(VLOOKUP($A27,TableHandbook[],J$2,FALSE),"")</f>
        <v>Y</v>
      </c>
      <c r="K27" s="56" t="str">
        <f>IFERROR(VLOOKUP($A27,TableHandbook[],K$2,FALSE),"")</f>
        <v>Y</v>
      </c>
      <c r="L27" s="49"/>
      <c r="M27" s="117">
        <v>16</v>
      </c>
      <c r="N27" s="27"/>
      <c r="O27" s="27"/>
      <c r="P27" s="28"/>
      <c r="Q27" s="28"/>
      <c r="R27" s="28"/>
      <c r="S27" s="28"/>
      <c r="T27" s="28"/>
      <c r="U27" s="28"/>
      <c r="V27" s="28"/>
      <c r="W27" s="28"/>
    </row>
    <row r="28" spans="1:23" s="29" customFormat="1" ht="20.100000000000001" customHeight="1" x14ac:dyDescent="0.25">
      <c r="A28" s="51" t="str">
        <f>IFERROR(IF(HLOOKUP($L$5,RangeGLOBLUnitsets,M28,FALSE)=0,"",HLOOKUP($L$5,RangeGLOBLUnitsets,M28,FALSE)),"")</f>
        <v>-</v>
      </c>
      <c r="B28" s="47" t="str">
        <f>IFERROR(IF(VLOOKUP($A28,TableHandbook[],2,FALSE)=0,"",VLOOKUP($A28,TableHandbook[],2,FALSE)),"")</f>
        <v/>
      </c>
      <c r="C28" s="47" t="str">
        <f>IFERROR(IF(VLOOKUP($A28,TableHandbook[],3,FALSE)=0,"",VLOOKUP($A28,TableHandbook[],3,FALSE)),"")</f>
        <v/>
      </c>
      <c r="D28" s="50" t="str">
        <f>IFERROR(IF(VLOOKUP($A28,TableHandbook[],4,FALSE)=0,"",VLOOKUP($A28,TableHandbook[],4,FALSE)),"")</f>
        <v>Please note this is a 50CP Unit</v>
      </c>
      <c r="E28" s="45" t="str">
        <f>IF(OR(A28="",A28="-"),"",E25)</f>
        <v/>
      </c>
      <c r="F28" s="197" t="str">
        <f>IFERROR(IF(VLOOKUP($A28,TableHandbook[],6,FALSE)=0,"",VLOOKUP($A28,TableHandbook[],6,FALSE)),"")</f>
        <v/>
      </c>
      <c r="G28" s="45" t="str">
        <f>IFERROR(IF(VLOOKUP($A28,TableHandbook[],5,FALSE)=0,"",VLOOKUP($A28,TableHandbook[],5,FALSE)),"")</f>
        <v/>
      </c>
      <c r="H28" s="55" t="str">
        <f>IFERROR(VLOOKUP($A28,TableHandbook[],H$2,FALSE),"")</f>
        <v/>
      </c>
      <c r="I28" s="45" t="str">
        <f>IFERROR(VLOOKUP($A28,TableHandbook[],I$2,FALSE),"")</f>
        <v/>
      </c>
      <c r="J28" s="45" t="str">
        <f>IFERROR(VLOOKUP($A28,TableHandbook[],J$2,FALSE),"")</f>
        <v/>
      </c>
      <c r="K28" s="56" t="str">
        <f>IFERROR(VLOOKUP($A28,TableHandbook[],K$2,FALSE),"")</f>
        <v/>
      </c>
      <c r="L28" s="49"/>
      <c r="M28" s="117">
        <v>17</v>
      </c>
      <c r="N28" s="27"/>
      <c r="O28" s="27"/>
      <c r="P28" s="28"/>
      <c r="Q28" s="28"/>
      <c r="R28" s="28"/>
      <c r="S28" s="28"/>
      <c r="T28" s="28"/>
      <c r="U28" s="28"/>
      <c r="V28" s="28"/>
      <c r="W28" s="28"/>
    </row>
    <row r="29" spans="1:23" s="29" customFormat="1" ht="20.100000000000001" customHeight="1" x14ac:dyDescent="0.25">
      <c r="A29" s="123"/>
      <c r="B29" s="124"/>
      <c r="C29" s="124"/>
      <c r="D29" s="143"/>
      <c r="E29" s="123"/>
      <c r="F29" s="198"/>
      <c r="G29" s="123"/>
      <c r="H29" s="123"/>
      <c r="I29" s="123"/>
      <c r="J29" s="123"/>
      <c r="K29" s="123"/>
      <c r="L29" s="145"/>
      <c r="M29" s="117"/>
      <c r="N29" s="27"/>
      <c r="O29" s="27"/>
      <c r="P29" s="28"/>
      <c r="Q29" s="28"/>
      <c r="R29" s="28"/>
      <c r="S29" s="28"/>
      <c r="T29" s="28"/>
      <c r="U29" s="28"/>
      <c r="V29" s="28"/>
      <c r="W29" s="28"/>
    </row>
    <row r="30" spans="1:23" ht="20.399999999999999" x14ac:dyDescent="0.3">
      <c r="A30" s="161" t="s">
        <v>255</v>
      </c>
      <c r="B30" s="125"/>
      <c r="C30" s="125"/>
      <c r="D30" s="126"/>
      <c r="E30" s="127"/>
      <c r="F30" s="199"/>
      <c r="G30" s="127"/>
      <c r="H30" s="160" t="str">
        <f>H8</f>
        <v>2025 Availabilities</v>
      </c>
      <c r="I30" s="128"/>
      <c r="J30" s="129"/>
      <c r="K30" s="130"/>
      <c r="L30" s="294" t="str">
        <f>VLOOKUP(D5,TableCourses[],2,FALSE)</f>
        <v>MC-GLOBL2</v>
      </c>
      <c r="M30" s="119"/>
      <c r="N30" s="15"/>
      <c r="O30" s="15"/>
      <c r="P30" s="15"/>
      <c r="Q30" s="15"/>
      <c r="R30" s="15"/>
      <c r="S30" s="15"/>
      <c r="T30" s="15"/>
      <c r="U30" s="15"/>
      <c r="V30" s="15"/>
      <c r="W30" s="15"/>
    </row>
    <row r="31" spans="1:23" s="38" customFormat="1" ht="22.8" x14ac:dyDescent="0.3">
      <c r="A31" s="132"/>
      <c r="B31" s="132"/>
      <c r="C31" s="132"/>
      <c r="D31" s="133" t="s">
        <v>3</v>
      </c>
      <c r="E31" s="138"/>
      <c r="F31" s="192" t="s">
        <v>23</v>
      </c>
      <c r="G31" s="132" t="s">
        <v>24</v>
      </c>
      <c r="H31" s="139" t="str">
        <f>H$9</f>
        <v>Sem1 BEN</v>
      </c>
      <c r="I31" s="138" t="str">
        <f t="shared" ref="I31:L31" si="1">I$9</f>
        <v>Sem1 FO</v>
      </c>
      <c r="J31" s="138" t="str">
        <f t="shared" si="1"/>
        <v>Sem2 BEN</v>
      </c>
      <c r="K31" s="140" t="str">
        <f t="shared" si="1"/>
        <v>Sem2 FO</v>
      </c>
      <c r="L31" s="131" t="str">
        <f t="shared" si="1"/>
        <v>Progress</v>
      </c>
      <c r="M31" s="119"/>
      <c r="N31" s="37"/>
      <c r="O31" s="37"/>
      <c r="P31" s="37"/>
      <c r="Q31" s="37"/>
      <c r="R31" s="37"/>
      <c r="S31" s="37"/>
      <c r="T31" s="37"/>
      <c r="U31" s="37"/>
      <c r="V31" s="37"/>
      <c r="W31" s="37"/>
    </row>
    <row r="32" spans="1:23" x14ac:dyDescent="0.3">
      <c r="A32" s="158" t="str">
        <f t="shared" ref="A32:A62" si="2">IFERROR(IF(HLOOKUP($L$30,RangeGLOBLOptions,M32,FALSE)=0,"",HLOOKUP($L$30,RangeGLOBLOptions,M32,FALSE)),"")</f>
        <v>AC-INTRNSt</v>
      </c>
      <c r="B32" s="100" t="str">
        <f>IFERROR(IF(VLOOKUP($A32,TableHandbook[],2,FALSE)=0,"",VLOOKUP($A32,TableHandbook[],2,FALSE)),"")</f>
        <v/>
      </c>
      <c r="C32" s="100" t="str">
        <f>IFERROR(IF(VLOOKUP($A32,TableHandbook[],3,FALSE)=0,"",VLOOKUP($A32,TableHandbook[],3,FALSE)),"")</f>
        <v/>
      </c>
      <c r="D32" s="39" t="str">
        <f>IFERROR(IF(VLOOKUP($A32,TableHandbook[],4,FALSE)=0,"",VLOOKUP($A32,TableHandbook[],4,FALSE)),"")</f>
        <v>Study one of INTR5001 or POLS5000 or POLS5003 (see below)</v>
      </c>
      <c r="E32" s="40"/>
      <c r="F32" s="193" t="str">
        <f>IFERROR(IF(VLOOKUP($A32,TableHandbook[],6,FALSE)=0,"",VLOOKUP($A32,TableHandbook[],6,FALSE)),"")</f>
        <v>See below</v>
      </c>
      <c r="G32" s="41">
        <f>IFERROR(IF(VLOOKUP($A32,TableHandbook[],5,FALSE)=0,"",VLOOKUP($A32,TableHandbook[],5,FALSE)),"")</f>
        <v>25</v>
      </c>
      <c r="H32" s="59" t="str">
        <f>IFERROR(VLOOKUP($A32,TableHandbook[],H$2,FALSE),"")</f>
        <v/>
      </c>
      <c r="I32" s="47" t="str">
        <f>IFERROR(VLOOKUP($A32,TableHandbook[],I$2,FALSE),"")</f>
        <v/>
      </c>
      <c r="J32" s="47" t="str">
        <f>IFERROR(VLOOKUP($A32,TableHandbook[],J$2,FALSE),"")</f>
        <v/>
      </c>
      <c r="K32" s="60" t="str">
        <f>IFERROR(VLOOKUP($A32,TableHandbook[],K$2,FALSE),"")</f>
        <v/>
      </c>
      <c r="L32" s="46"/>
      <c r="M32" s="117">
        <v>2</v>
      </c>
      <c r="N32" s="15"/>
      <c r="O32" s="15"/>
      <c r="P32" s="15"/>
      <c r="Q32" s="15"/>
      <c r="R32" s="15"/>
      <c r="S32" s="15"/>
      <c r="T32" s="15"/>
      <c r="U32" s="15"/>
      <c r="V32" s="15"/>
      <c r="W32" s="15"/>
    </row>
    <row r="33" spans="1:23" x14ac:dyDescent="0.3">
      <c r="A33" s="158" t="str">
        <f t="shared" si="2"/>
        <v>INTR5001</v>
      </c>
      <c r="B33" s="100">
        <f>IFERROR(IF(VLOOKUP($A33,TableHandbook[],2,FALSE)=0,"",VLOOKUP($A33,TableHandbook[],2,FALSE)),"")</f>
        <v>2</v>
      </c>
      <c r="C33" s="100" t="str">
        <f>IFERROR(IF(VLOOKUP($A33,TableHandbook[],3,FALSE)=0,"",VLOOKUP($A33,TableHandbook[],3,FALSE)),"")</f>
        <v/>
      </c>
      <c r="D33" s="39" t="str">
        <f>IFERROR(IF(VLOOKUP($A33,TableHandbook[],4,FALSE)=0,"",VLOOKUP($A33,TableHandbook[],4,FALSE)),"")</f>
        <v>Women, Peace and Security</v>
      </c>
      <c r="E33" s="40"/>
      <c r="F33" s="193" t="str">
        <f>IFERROR(IF(VLOOKUP($A33,TableHandbook[],6,FALSE)=0,"",VLOOKUP($A33,TableHandbook[],6,FALSE)),"")</f>
        <v>None</v>
      </c>
      <c r="G33" s="41">
        <f>IFERROR(IF(VLOOKUP($A33,TableHandbook[],5,FALSE)=0,"",VLOOKUP($A33,TableHandbook[],5,FALSE)),"")</f>
        <v>25</v>
      </c>
      <c r="H33" s="59" t="str">
        <f>IFERROR(VLOOKUP($A33,TableHandbook[],H$2,FALSE),"")</f>
        <v>Y</v>
      </c>
      <c r="I33" s="47" t="str">
        <f>IFERROR(VLOOKUP($A33,TableHandbook[],I$2,FALSE),"")</f>
        <v>Y</v>
      </c>
      <c r="J33" s="47" t="str">
        <f>IFERROR(VLOOKUP($A33,TableHandbook[],J$2,FALSE),"")</f>
        <v/>
      </c>
      <c r="K33" s="60" t="str">
        <f>IFERROR(VLOOKUP($A33,TableHandbook[],K$2,FALSE),"")</f>
        <v/>
      </c>
      <c r="L33" s="46"/>
      <c r="M33" s="117">
        <v>3</v>
      </c>
      <c r="N33" s="15"/>
      <c r="O33" s="15"/>
      <c r="P33" s="15"/>
      <c r="Q33" s="15"/>
      <c r="R33" s="15"/>
      <c r="S33" s="15"/>
      <c r="T33" s="15"/>
      <c r="U33" s="15"/>
      <c r="V33" s="15"/>
      <c r="W33" s="15"/>
    </row>
    <row r="34" spans="1:23" x14ac:dyDescent="0.3">
      <c r="A34" s="158" t="str">
        <f t="shared" si="2"/>
        <v>POLS5000</v>
      </c>
      <c r="B34" s="100">
        <f>IFERROR(IF(VLOOKUP($A34,TableHandbook[],2,FALSE)=0,"",VLOOKUP($A34,TableHandbook[],2,FALSE)),"")</f>
        <v>3</v>
      </c>
      <c r="C34" s="100" t="str">
        <f>IFERROR(IF(VLOOKUP($A34,TableHandbook[],3,FALSE)=0,"",VLOOKUP($A34,TableHandbook[],3,FALSE)),"")</f>
        <v/>
      </c>
      <c r="D34" s="39" t="str">
        <f>IFERROR(IF(VLOOKUP($A34,TableHandbook[],4,FALSE)=0,"",VLOOKUP($A34,TableHandbook[],4,FALSE)),"")</f>
        <v>International Security in Theory and Practice</v>
      </c>
      <c r="E34" s="40"/>
      <c r="F34" s="193" t="str">
        <f>IFERROR(IF(VLOOKUP($A34,TableHandbook[],6,FALSE)=0,"",VLOOKUP($A34,TableHandbook[],6,FALSE)),"")</f>
        <v>None</v>
      </c>
      <c r="G34" s="41">
        <f>IFERROR(IF(VLOOKUP($A34,TableHandbook[],5,FALSE)=0,"",VLOOKUP($A34,TableHandbook[],5,FALSE)),"")</f>
        <v>25</v>
      </c>
      <c r="H34" s="59" t="str">
        <f>IFERROR(VLOOKUP($A34,TableHandbook[],H$2,FALSE),"")</f>
        <v>Y</v>
      </c>
      <c r="I34" s="47" t="str">
        <f>IFERROR(VLOOKUP($A34,TableHandbook[],I$2,FALSE),"")</f>
        <v>Y</v>
      </c>
      <c r="J34" s="47" t="str">
        <f>IFERROR(VLOOKUP($A34,TableHandbook[],J$2,FALSE),"")</f>
        <v/>
      </c>
      <c r="K34" s="60" t="str">
        <f>IFERROR(VLOOKUP($A34,TableHandbook[],K$2,FALSE),"")</f>
        <v/>
      </c>
      <c r="L34" s="46"/>
      <c r="M34" s="117">
        <v>4</v>
      </c>
      <c r="N34" s="15"/>
      <c r="O34" s="15"/>
      <c r="P34" s="15"/>
      <c r="Q34" s="15"/>
      <c r="R34" s="15"/>
      <c r="S34" s="15"/>
      <c r="T34" s="15"/>
      <c r="U34" s="15"/>
      <c r="V34" s="15"/>
      <c r="W34" s="15"/>
    </row>
    <row r="35" spans="1:23" x14ac:dyDescent="0.3">
      <c r="A35" s="158" t="str">
        <f t="shared" si="2"/>
        <v>POLS5003</v>
      </c>
      <c r="B35" s="100">
        <f>IFERROR(IF(VLOOKUP($A35,TableHandbook[],2,FALSE)=0,"",VLOOKUP($A35,TableHandbook[],2,FALSE)),"")</f>
        <v>2</v>
      </c>
      <c r="C35" s="100" t="str">
        <f>IFERROR(IF(VLOOKUP($A35,TableHandbook[],3,FALSE)=0,"",VLOOKUP($A35,TableHandbook[],3,FALSE)),"")</f>
        <v/>
      </c>
      <c r="D35" s="39" t="str">
        <f>IFERROR(IF(VLOOKUP($A35,TableHandbook[],4,FALSE)=0,"",VLOOKUP($A35,TableHandbook[],4,FALSE)),"")</f>
        <v>National Strategy and Security</v>
      </c>
      <c r="E35" s="40"/>
      <c r="F35" s="193" t="str">
        <f>IFERROR(IF(VLOOKUP($A35,TableHandbook[],6,FALSE)=0,"",VLOOKUP($A35,TableHandbook[],6,FALSE)),"")</f>
        <v>None</v>
      </c>
      <c r="G35" s="41">
        <f>IFERROR(IF(VLOOKUP($A35,TableHandbook[],5,FALSE)=0,"",VLOOKUP($A35,TableHandbook[],5,FALSE)),"")</f>
        <v>25</v>
      </c>
      <c r="H35" s="59" t="str">
        <f>IFERROR(VLOOKUP($A35,TableHandbook[],H$2,FALSE),"")</f>
        <v/>
      </c>
      <c r="I35" s="47" t="str">
        <f>IFERROR(VLOOKUP($A35,TableHandbook[],I$2,FALSE),"")</f>
        <v/>
      </c>
      <c r="J35" s="47" t="str">
        <f>IFERROR(VLOOKUP($A35,TableHandbook[],J$2,FALSE),"")</f>
        <v>Y</v>
      </c>
      <c r="K35" s="60" t="str">
        <f>IFERROR(VLOOKUP($A35,TableHandbook[],K$2,FALSE),"")</f>
        <v>Y</v>
      </c>
      <c r="L35" s="46"/>
      <c r="M35" s="117">
        <v>5</v>
      </c>
      <c r="N35" s="15"/>
      <c r="O35" s="15"/>
      <c r="P35" s="15"/>
      <c r="Q35" s="15"/>
      <c r="R35" s="15"/>
      <c r="S35" s="15"/>
      <c r="T35" s="15"/>
      <c r="U35" s="15"/>
      <c r="V35" s="15"/>
      <c r="W35" s="15"/>
    </row>
    <row r="36" spans="1:23" x14ac:dyDescent="0.3">
      <c r="A36" s="158" t="str">
        <f t="shared" si="2"/>
        <v xml:space="preserve"> </v>
      </c>
      <c r="B36" s="100" t="str">
        <f>IFERROR(IF(VLOOKUP($A36,TableHandbook[],2,FALSE)=0,"",VLOOKUP($A36,TableHandbook[],2,FALSE)),"")</f>
        <v/>
      </c>
      <c r="C36" s="100" t="str">
        <f>IFERROR(IF(VLOOKUP($A36,TableHandbook[],3,FALSE)=0,"",VLOOKUP($A36,TableHandbook[],3,FALSE)),"")</f>
        <v/>
      </c>
      <c r="D36" s="39" t="str">
        <f>IFERROR(IF(VLOOKUP($A36,TableHandbook[],4,FALSE)=0,"",VLOOKUP($A36,TableHandbook[],4,FALSE)),"")</f>
        <v/>
      </c>
      <c r="E36" s="40"/>
      <c r="F36" s="193" t="str">
        <f>IFERROR(IF(VLOOKUP($A36,TableHandbook[],6,FALSE)=0,"",VLOOKUP($A36,TableHandbook[],6,FALSE)),"")</f>
        <v/>
      </c>
      <c r="G36" s="41" t="str">
        <f>IFERROR(IF(VLOOKUP($A36,TableHandbook[],5,FALSE)=0,"",VLOOKUP($A36,TableHandbook[],5,FALSE)),"")</f>
        <v/>
      </c>
      <c r="H36" s="59" t="str">
        <f>IFERROR(VLOOKUP($A36,TableHandbook[],H$2,FALSE),"")</f>
        <v/>
      </c>
      <c r="I36" s="47" t="str">
        <f>IFERROR(VLOOKUP($A36,TableHandbook[],I$2,FALSE),"")</f>
        <v/>
      </c>
      <c r="J36" s="47" t="str">
        <f>IFERROR(VLOOKUP($A36,TableHandbook[],J$2,FALSE),"")</f>
        <v/>
      </c>
      <c r="K36" s="60" t="str">
        <f>IFERROR(VLOOKUP($A36,TableHandbook[],K$2,FALSE),"")</f>
        <v/>
      </c>
      <c r="L36" s="46"/>
      <c r="M36" s="117">
        <v>6</v>
      </c>
      <c r="N36" s="15"/>
      <c r="O36" s="15"/>
      <c r="P36" s="15"/>
      <c r="Q36" s="15"/>
      <c r="R36" s="15"/>
      <c r="S36" s="15"/>
      <c r="T36" s="15"/>
      <c r="U36" s="15"/>
      <c r="V36" s="15"/>
      <c r="W36" s="15"/>
    </row>
    <row r="37" spans="1:23" x14ac:dyDescent="0.3">
      <c r="A37" s="158" t="str">
        <f t="shared" si="2"/>
        <v>AC-GLOBL1</v>
      </c>
      <c r="B37" s="100" t="str">
        <f>IFERROR(IF(VLOOKUP($A37,TableHandbook[],2,FALSE)=0,"",VLOOKUP($A37,TableHandbook[],2,FALSE)),"")</f>
        <v/>
      </c>
      <c r="C37" s="100" t="str">
        <f>IFERROR(IF(VLOOKUP($A37,TableHandbook[],3,FALSE)=0,"",VLOOKUP($A37,TableHandbook[],3,FALSE)),"")</f>
        <v/>
      </c>
      <c r="D37" s="39" t="str">
        <f>IFERROR(IF(VLOOKUP($A37,TableHandbook[],4,FALSE)=0,"",VLOOKUP($A37,TableHandbook[],4,FALSE)),"")</f>
        <v>Study either COMS6004 or HUMN6001 (see below)</v>
      </c>
      <c r="E37" s="40"/>
      <c r="F37" s="193" t="str">
        <f>IFERROR(IF(VLOOKUP($A37,TableHandbook[],6,FALSE)=0,"",VLOOKUP($A37,TableHandbook[],6,FALSE)),"")</f>
        <v>See below</v>
      </c>
      <c r="G37" s="41">
        <f>IFERROR(IF(VLOOKUP($A37,TableHandbook[],5,FALSE)=0,"",VLOOKUP($A37,TableHandbook[],5,FALSE)),"")</f>
        <v>50</v>
      </c>
      <c r="H37" s="59" t="str">
        <f>IFERROR(VLOOKUP($A37,TableHandbook[],H$2,FALSE),"")</f>
        <v>Y</v>
      </c>
      <c r="I37" s="47" t="str">
        <f>IFERROR(VLOOKUP($A37,TableHandbook[],I$2,FALSE),"")</f>
        <v>Y</v>
      </c>
      <c r="J37" s="47" t="str">
        <f>IFERROR(VLOOKUP($A37,TableHandbook[],J$2,FALSE),"")</f>
        <v>Y</v>
      </c>
      <c r="K37" s="60" t="str">
        <f>IFERROR(VLOOKUP($A37,TableHandbook[],K$2,FALSE),"")</f>
        <v>Y</v>
      </c>
      <c r="L37" s="46"/>
      <c r="M37" s="117">
        <v>7</v>
      </c>
      <c r="N37" s="15"/>
      <c r="O37" s="15"/>
      <c r="P37" s="15"/>
      <c r="Q37" s="15"/>
      <c r="R37" s="15"/>
      <c r="S37" s="15"/>
      <c r="T37" s="15"/>
      <c r="U37" s="15"/>
      <c r="V37" s="15"/>
      <c r="W37" s="15"/>
    </row>
    <row r="38" spans="1:23" x14ac:dyDescent="0.3">
      <c r="A38" s="158" t="str">
        <f t="shared" si="2"/>
        <v>COMS6004</v>
      </c>
      <c r="B38" s="100">
        <f>IFERROR(IF(VLOOKUP($A38,TableHandbook[],2,FALSE)=0,"",VLOOKUP($A38,TableHandbook[],2,FALSE)),"")</f>
        <v>2</v>
      </c>
      <c r="C38" s="100" t="str">
        <f>IFERROR(IF(VLOOKUP($A38,TableHandbook[],3,FALSE)=0,"",VLOOKUP($A38,TableHandbook[],3,FALSE)),"")</f>
        <v/>
      </c>
      <c r="D38" s="39" t="str">
        <f>IFERROR(IF(VLOOKUP($A38,TableHandbook[],4,FALSE)=0,"",VLOOKUP($A38,TableHandbook[],4,FALSE)),"")</f>
        <v>Masters Professional or Creative Project</v>
      </c>
      <c r="E38" s="40"/>
      <c r="F38" s="193" t="str">
        <f>IFERROR(IF(VLOOKUP($A38,TableHandbook[],6,FALSE)=0,"",VLOOKUP($A38,TableHandbook[],6,FALSE)),"")</f>
        <v>Course specific - See Handbook</v>
      </c>
      <c r="G38" s="41">
        <f>IFERROR(IF(VLOOKUP($A38,TableHandbook[],5,FALSE)=0,"",VLOOKUP($A38,TableHandbook[],5,FALSE)),"")</f>
        <v>50</v>
      </c>
      <c r="H38" s="59" t="str">
        <f>IFERROR(VLOOKUP($A38,TableHandbook[],H$2,FALSE),"")</f>
        <v>Y</v>
      </c>
      <c r="I38" s="47" t="str">
        <f>IFERROR(VLOOKUP($A38,TableHandbook[],I$2,FALSE),"")</f>
        <v>Y</v>
      </c>
      <c r="J38" s="47" t="str">
        <f>IFERROR(VLOOKUP($A38,TableHandbook[],J$2,FALSE),"")</f>
        <v>Y</v>
      </c>
      <c r="K38" s="60" t="str">
        <f>IFERROR(VLOOKUP($A38,TableHandbook[],K$2,FALSE),"")</f>
        <v>Y</v>
      </c>
      <c r="L38" s="46"/>
      <c r="M38" s="117">
        <v>8</v>
      </c>
      <c r="N38" s="15"/>
      <c r="O38" s="15"/>
      <c r="P38" s="15"/>
      <c r="Q38" s="15"/>
      <c r="R38" s="15"/>
      <c r="S38" s="15"/>
      <c r="T38" s="15"/>
      <c r="U38" s="15"/>
      <c r="V38" s="15"/>
      <c r="W38" s="15"/>
    </row>
    <row r="39" spans="1:23" x14ac:dyDescent="0.3">
      <c r="A39" s="158" t="str">
        <f t="shared" si="2"/>
        <v>HUMN6001</v>
      </c>
      <c r="B39" s="100">
        <f>IFERROR(IF(VLOOKUP($A39,TableHandbook[],2,FALSE)=0,"",VLOOKUP($A39,TableHandbook[],2,FALSE)),"")</f>
        <v>1</v>
      </c>
      <c r="C39" s="100" t="str">
        <f>IFERROR(IF(VLOOKUP($A39,TableHandbook[],3,FALSE)=0,"",VLOOKUP($A39,TableHandbook[],3,FALSE)),"")</f>
        <v/>
      </c>
      <c r="D39" s="39" t="str">
        <f>IFERROR(IF(VLOOKUP($A39,TableHandbook[],4,FALSE)=0,"",VLOOKUP($A39,TableHandbook[],4,FALSE)),"")</f>
        <v>Masters Research Project 1 (* pre requisite to HUMN6003)</v>
      </c>
      <c r="E39" s="40"/>
      <c r="F39" s="193" t="str">
        <f>IFERROR(IF(VLOOKUP($A39,TableHandbook[],6,FALSE)=0,"",VLOOKUP($A39,TableHandbook[],6,FALSE)),"")</f>
        <v>Course specific - See Handbook</v>
      </c>
      <c r="G39" s="41">
        <f>IFERROR(IF(VLOOKUP($A39,TableHandbook[],5,FALSE)=0,"",VLOOKUP($A39,TableHandbook[],5,FALSE)),"")</f>
        <v>50</v>
      </c>
      <c r="H39" s="59" t="str">
        <f>IFERROR(VLOOKUP($A39,TableHandbook[],H$2,FALSE),"")</f>
        <v>Y</v>
      </c>
      <c r="I39" s="47" t="str">
        <f>IFERROR(VLOOKUP($A39,TableHandbook[],I$2,FALSE),"")</f>
        <v>Y</v>
      </c>
      <c r="J39" s="47" t="str">
        <f>IFERROR(VLOOKUP($A39,TableHandbook[],J$2,FALSE),"")</f>
        <v>Y</v>
      </c>
      <c r="K39" s="60" t="str">
        <f>IFERROR(VLOOKUP($A39,TableHandbook[],K$2,FALSE),"")</f>
        <v>Y</v>
      </c>
      <c r="L39" s="46"/>
      <c r="M39" s="117">
        <v>9</v>
      </c>
      <c r="N39" s="15"/>
      <c r="O39" s="15"/>
      <c r="P39" s="15"/>
      <c r="Q39" s="15"/>
      <c r="R39" s="15"/>
      <c r="S39" s="15"/>
      <c r="T39" s="15"/>
      <c r="U39" s="15"/>
      <c r="V39" s="15"/>
      <c r="W39" s="15"/>
    </row>
    <row r="40" spans="1:23" x14ac:dyDescent="0.3">
      <c r="A40" s="158" t="str">
        <f t="shared" si="2"/>
        <v xml:space="preserve"> </v>
      </c>
      <c r="B40" s="100" t="str">
        <f>IFERROR(IF(VLOOKUP($A40,TableHandbook[],2,FALSE)=0,"",VLOOKUP($A40,TableHandbook[],2,FALSE)),"")</f>
        <v/>
      </c>
      <c r="C40" s="100" t="str">
        <f>IFERROR(IF(VLOOKUP($A40,TableHandbook[],3,FALSE)=0,"",VLOOKUP($A40,TableHandbook[],3,FALSE)),"")</f>
        <v/>
      </c>
      <c r="D40" s="39" t="str">
        <f>IFERROR(IF(VLOOKUP($A40,TableHandbook[],4,FALSE)=0,"",VLOOKUP($A40,TableHandbook[],4,FALSE)),"")</f>
        <v/>
      </c>
      <c r="E40" s="40"/>
      <c r="F40" s="193" t="str">
        <f>IFERROR(IF(VLOOKUP($A40,TableHandbook[],6,FALSE)=0,"",VLOOKUP($A40,TableHandbook[],6,FALSE)),"")</f>
        <v/>
      </c>
      <c r="G40" s="41" t="str">
        <f>IFERROR(IF(VLOOKUP($A40,TableHandbook[],5,FALSE)=0,"",VLOOKUP($A40,TableHandbook[],5,FALSE)),"")</f>
        <v/>
      </c>
      <c r="H40" s="59" t="str">
        <f>IFERROR(VLOOKUP($A40,TableHandbook[],H$2,FALSE),"")</f>
        <v/>
      </c>
      <c r="I40" s="47" t="str">
        <f>IFERROR(VLOOKUP($A40,TableHandbook[],I$2,FALSE),"")</f>
        <v/>
      </c>
      <c r="J40" s="47" t="str">
        <f>IFERROR(VLOOKUP($A40,TableHandbook[],J$2,FALSE),"")</f>
        <v/>
      </c>
      <c r="K40" s="60" t="str">
        <f>IFERROR(VLOOKUP($A40,TableHandbook[],K$2,FALSE),"")</f>
        <v/>
      </c>
      <c r="L40" s="46"/>
      <c r="M40" s="117">
        <v>10</v>
      </c>
      <c r="N40" s="15"/>
      <c r="O40" s="15"/>
      <c r="P40" s="15"/>
      <c r="Q40" s="15"/>
      <c r="R40" s="15"/>
      <c r="S40" s="15"/>
      <c r="T40" s="15"/>
      <c r="U40" s="15"/>
      <c r="V40" s="15"/>
      <c r="W40" s="15"/>
    </row>
    <row r="41" spans="1:23" x14ac:dyDescent="0.3">
      <c r="A41" s="158" t="str">
        <f t="shared" si="2"/>
        <v>AC-GLOBL2</v>
      </c>
      <c r="B41" s="100" t="str">
        <f>IFERROR(IF(VLOOKUP($A41,TableHandbook[],2,FALSE)=0,"",VLOOKUP($A41,TableHandbook[],2,FALSE)),"")</f>
        <v/>
      </c>
      <c r="C41" s="100" t="str">
        <f>IFERROR(IF(VLOOKUP($A41,TableHandbook[],3,FALSE)=0,"",VLOOKUP($A41,TableHandbook[],3,FALSE)),"")</f>
        <v/>
      </c>
      <c r="D41" s="39" t="str">
        <f>IFERROR(IF(VLOOKUP($A41,TableHandbook[],4,FALSE)=0,"",VLOOKUP($A41,TableHandbook[],4,FALSE)),"")</f>
        <v>Study either COMS6002 or HUMN6003 (see below)</v>
      </c>
      <c r="E41" s="40"/>
      <c r="F41" s="193" t="str">
        <f>IFERROR(IF(VLOOKUP($A41,TableHandbook[],6,FALSE)=0,"",VLOOKUP($A41,TableHandbook[],6,FALSE)),"")</f>
        <v>See below</v>
      </c>
      <c r="G41" s="41">
        <f>IFERROR(IF(VLOOKUP($A41,TableHandbook[],5,FALSE)=0,"",VLOOKUP($A41,TableHandbook[],5,FALSE)),"")</f>
        <v>50</v>
      </c>
      <c r="H41" s="59" t="str">
        <f>IFERROR(VLOOKUP($A41,TableHandbook[],H$2,FALSE),"")</f>
        <v>Y</v>
      </c>
      <c r="I41" s="47" t="str">
        <f>IFERROR(VLOOKUP($A41,TableHandbook[],I$2,FALSE),"")</f>
        <v>Y</v>
      </c>
      <c r="J41" s="47" t="str">
        <f>IFERROR(VLOOKUP($A41,TableHandbook[],J$2,FALSE),"")</f>
        <v>Y</v>
      </c>
      <c r="K41" s="60" t="str">
        <f>IFERROR(VLOOKUP($A41,TableHandbook[],K$2,FALSE),"")</f>
        <v>Y</v>
      </c>
      <c r="L41" s="46"/>
      <c r="M41" s="117">
        <v>11</v>
      </c>
      <c r="N41" s="15"/>
      <c r="O41" s="15"/>
      <c r="P41" s="15"/>
      <c r="Q41" s="15"/>
      <c r="R41" s="15"/>
      <c r="S41" s="15"/>
      <c r="T41" s="15"/>
      <c r="U41" s="15"/>
      <c r="V41" s="15"/>
      <c r="W41" s="15"/>
    </row>
    <row r="42" spans="1:23" x14ac:dyDescent="0.3">
      <c r="A42" s="158" t="str">
        <f t="shared" si="2"/>
        <v>COMS6002</v>
      </c>
      <c r="B42" s="100">
        <f>IFERROR(IF(VLOOKUP($A42,TableHandbook[],2,FALSE)=0,"",VLOOKUP($A42,TableHandbook[],2,FALSE)),"")</f>
        <v>3</v>
      </c>
      <c r="C42" s="100" t="str">
        <f>IFERROR(IF(VLOOKUP($A42,TableHandbook[],3,FALSE)=0,"",VLOOKUP($A42,TableHandbook[],3,FALSE)),"")</f>
        <v/>
      </c>
      <c r="D42" s="39" t="str">
        <f>IFERROR(IF(VLOOKUP($A42,TableHandbook[],4,FALSE)=0,"",VLOOKUP($A42,TableHandbook[],4,FALSE)),"")</f>
        <v>Masters Professional Experience</v>
      </c>
      <c r="E42" s="40"/>
      <c r="F42" s="193" t="str">
        <f>IFERROR(IF(VLOOKUP($A42,TableHandbook[],6,FALSE)=0,"",VLOOKUP($A42,TableHandbook[],6,FALSE)),"")</f>
        <v>Course specific - See Handbook</v>
      </c>
      <c r="G42" s="41">
        <f>IFERROR(IF(VLOOKUP($A42,TableHandbook[],5,FALSE)=0,"",VLOOKUP($A42,TableHandbook[],5,FALSE)),"")</f>
        <v>50</v>
      </c>
      <c r="H42" s="59" t="str">
        <f>IFERROR(VLOOKUP($A42,TableHandbook[],H$2,FALSE),"")</f>
        <v>Y</v>
      </c>
      <c r="I42" s="47" t="str">
        <f>IFERROR(VLOOKUP($A42,TableHandbook[],I$2,FALSE),"")</f>
        <v>Y</v>
      </c>
      <c r="J42" s="47" t="str">
        <f>IFERROR(VLOOKUP($A42,TableHandbook[],J$2,FALSE),"")</f>
        <v>Y</v>
      </c>
      <c r="K42" s="60" t="str">
        <f>IFERROR(VLOOKUP($A42,TableHandbook[],K$2,FALSE),"")</f>
        <v>Y</v>
      </c>
      <c r="L42" s="46"/>
      <c r="M42" s="117">
        <v>12</v>
      </c>
      <c r="N42" s="15"/>
      <c r="O42" s="15"/>
      <c r="P42" s="15"/>
      <c r="Q42" s="15"/>
      <c r="R42" s="15"/>
      <c r="S42" s="15"/>
      <c r="T42" s="15"/>
      <c r="U42" s="15"/>
      <c r="V42" s="15"/>
      <c r="W42" s="15"/>
    </row>
    <row r="43" spans="1:23" x14ac:dyDescent="0.3">
      <c r="A43" s="158" t="str">
        <f t="shared" si="2"/>
        <v>HUMN6003</v>
      </c>
      <c r="B43" s="100">
        <f>IFERROR(IF(VLOOKUP($A43,TableHandbook[],2,FALSE)=0,"",VLOOKUP($A43,TableHandbook[],2,FALSE)),"")</f>
        <v>1</v>
      </c>
      <c r="C43" s="100" t="str">
        <f>IFERROR(IF(VLOOKUP($A43,TableHandbook[],3,FALSE)=0,"",VLOOKUP($A43,TableHandbook[],3,FALSE)),"")</f>
        <v/>
      </c>
      <c r="D43" s="39" t="str">
        <f>IFERROR(IF(VLOOKUP($A43,TableHandbook[],4,FALSE)=0,"",VLOOKUP($A43,TableHandbook[],4,FALSE)),"")</f>
        <v>Masters Research Project 2 (* must study HUMN6001 first)</v>
      </c>
      <c r="E43" s="40"/>
      <c r="F43" s="193" t="str">
        <f>IFERROR(IF(VLOOKUP($A43,TableHandbook[],6,FALSE)=0,"",VLOOKUP($A43,TableHandbook[],6,FALSE)),"")</f>
        <v>HUMN6001</v>
      </c>
      <c r="G43" s="41">
        <f>IFERROR(IF(VLOOKUP($A43,TableHandbook[],5,FALSE)=0,"",VLOOKUP($A43,TableHandbook[],5,FALSE)),"")</f>
        <v>50</v>
      </c>
      <c r="H43" s="59" t="str">
        <f>IFERROR(VLOOKUP($A43,TableHandbook[],H$2,FALSE),"")</f>
        <v>Y</v>
      </c>
      <c r="I43" s="47" t="str">
        <f>IFERROR(VLOOKUP($A43,TableHandbook[],I$2,FALSE),"")</f>
        <v>Y</v>
      </c>
      <c r="J43" s="47" t="str">
        <f>IFERROR(VLOOKUP($A43,TableHandbook[],J$2,FALSE),"")</f>
        <v>Y</v>
      </c>
      <c r="K43" s="60" t="str">
        <f>IFERROR(VLOOKUP($A43,TableHandbook[],K$2,FALSE),"")</f>
        <v>Y</v>
      </c>
      <c r="L43" s="46"/>
      <c r="M43" s="117">
        <v>13</v>
      </c>
      <c r="N43" s="15"/>
      <c r="O43" s="15"/>
      <c r="P43" s="15"/>
      <c r="Q43" s="15"/>
      <c r="R43" s="15"/>
      <c r="S43" s="15"/>
      <c r="T43" s="15"/>
      <c r="U43" s="15"/>
      <c r="V43" s="15"/>
      <c r="W43" s="15"/>
    </row>
    <row r="44" spans="1:23" x14ac:dyDescent="0.3">
      <c r="A44" s="158" t="str">
        <f t="shared" si="2"/>
        <v xml:space="preserve"> </v>
      </c>
      <c r="B44" s="100" t="str">
        <f>IFERROR(IF(VLOOKUP($A44,TableHandbook[],2,FALSE)=0,"",VLOOKUP($A44,TableHandbook[],2,FALSE)),"")</f>
        <v/>
      </c>
      <c r="C44" s="100" t="str">
        <f>IFERROR(IF(VLOOKUP($A44,TableHandbook[],3,FALSE)=0,"",VLOOKUP($A44,TableHandbook[],3,FALSE)),"")</f>
        <v/>
      </c>
      <c r="D44" s="39" t="str">
        <f>IFERROR(IF(VLOOKUP($A44,TableHandbook[],4,FALSE)=0,"",VLOOKUP($A44,TableHandbook[],4,FALSE)),"")</f>
        <v/>
      </c>
      <c r="E44" s="40"/>
      <c r="F44" s="193" t="str">
        <f>IFERROR(IF(VLOOKUP($A44,TableHandbook[],6,FALSE)=0,"",VLOOKUP($A44,TableHandbook[],6,FALSE)),"")</f>
        <v/>
      </c>
      <c r="G44" s="41" t="str">
        <f>IFERROR(IF(VLOOKUP($A44,TableHandbook[],5,FALSE)=0,"",VLOOKUP($A44,TableHandbook[],5,FALSE)),"")</f>
        <v/>
      </c>
      <c r="H44" s="59" t="str">
        <f>IFERROR(VLOOKUP($A44,TableHandbook[],H$2,FALSE),"")</f>
        <v/>
      </c>
      <c r="I44" s="47" t="str">
        <f>IFERROR(VLOOKUP($A44,TableHandbook[],I$2,FALSE),"")</f>
        <v/>
      </c>
      <c r="J44" s="47" t="str">
        <f>IFERROR(VLOOKUP($A44,TableHandbook[],J$2,FALSE),"")</f>
        <v/>
      </c>
      <c r="K44" s="60" t="str">
        <f>IFERROR(VLOOKUP($A44,TableHandbook[],K$2,FALSE),"")</f>
        <v/>
      </c>
      <c r="L44" s="46"/>
      <c r="M44" s="117">
        <v>14</v>
      </c>
      <c r="N44" s="15"/>
      <c r="O44" s="15"/>
      <c r="P44" s="15"/>
      <c r="Q44" s="15"/>
      <c r="R44" s="15"/>
      <c r="S44" s="15"/>
      <c r="T44" s="15"/>
      <c r="U44" s="15"/>
      <c r="V44" s="15"/>
      <c r="W44" s="15"/>
    </row>
    <row r="45" spans="1:23" x14ac:dyDescent="0.3">
      <c r="A45" s="158" t="str">
        <f t="shared" si="2"/>
        <v>Opt-INTRNSt</v>
      </c>
      <c r="B45" s="100" t="str">
        <f>IFERROR(IF(VLOOKUP($A45,TableHandbook[],2,FALSE)=0,"",VLOOKUP($A45,TableHandbook[],2,FALSE)),"")</f>
        <v/>
      </c>
      <c r="C45" s="100" t="str">
        <f>IFERROR(IF(VLOOKUP($A45,TableHandbook[],3,FALSE)=0,"",VLOOKUP($A45,TableHandbook[],3,FALSE)),"")</f>
        <v/>
      </c>
      <c r="D45" s="39" t="str">
        <f>IFERROR(IF(VLOOKUP($A45,TableHandbook[],4,FALSE)=0,"",VLOOKUP($A45,TableHandbook[],4,FALSE)),"")</f>
        <v>Study an Option unit from INTRN list below</v>
      </c>
      <c r="E45" s="40"/>
      <c r="F45" s="193" t="str">
        <f>IFERROR(IF(VLOOKUP($A45,TableHandbook[],6,FALSE)=0,"",VLOOKUP($A45,TableHandbook[],6,FALSE)),"")</f>
        <v>See below</v>
      </c>
      <c r="G45" s="41">
        <f>IFERROR(IF(VLOOKUP($A45,TableHandbook[],5,FALSE)=0,"",VLOOKUP($A45,TableHandbook[],5,FALSE)),"")</f>
        <v>25</v>
      </c>
      <c r="H45" s="59" t="str">
        <f>IFERROR(VLOOKUP($A45,TableHandbook[],H$2,FALSE),"")</f>
        <v/>
      </c>
      <c r="I45" s="47" t="str">
        <f>IFERROR(VLOOKUP($A45,TableHandbook[],I$2,FALSE),"")</f>
        <v/>
      </c>
      <c r="J45" s="47" t="str">
        <f>IFERROR(VLOOKUP($A45,TableHandbook[],J$2,FALSE),"")</f>
        <v/>
      </c>
      <c r="K45" s="60" t="str">
        <f>IFERROR(VLOOKUP($A45,TableHandbook[],K$2,FALSE),"")</f>
        <v/>
      </c>
      <c r="L45" s="46"/>
      <c r="M45" s="117">
        <v>15</v>
      </c>
      <c r="N45" s="15"/>
      <c r="O45" s="15"/>
      <c r="P45" s="15"/>
      <c r="Q45" s="15"/>
      <c r="R45" s="15"/>
      <c r="S45" s="15"/>
      <c r="T45" s="15"/>
      <c r="U45" s="15"/>
      <c r="V45" s="15"/>
      <c r="W45" s="15"/>
    </row>
    <row r="46" spans="1:23" x14ac:dyDescent="0.3">
      <c r="A46" s="158" t="str">
        <f t="shared" si="2"/>
        <v>INTR5002</v>
      </c>
      <c r="B46" s="100">
        <f>IFERROR(IF(VLOOKUP($A46,TableHandbook[],2,FALSE)=0,"",VLOOKUP($A46,TableHandbook[],2,FALSE)),"")</f>
        <v>2</v>
      </c>
      <c r="C46" s="100" t="str">
        <f>IFERROR(IF(VLOOKUP($A46,TableHandbook[],3,FALSE)=0,"",VLOOKUP($A46,TableHandbook[],3,FALSE)),"")</f>
        <v/>
      </c>
      <c r="D46" s="39" t="str">
        <f>IFERROR(IF(VLOOKUP($A46,TableHandbook[],4,FALSE)=0,"",VLOOKUP($A46,TableHandbook[],4,FALSE)),"")</f>
        <v>The Geopolitics of East Asia</v>
      </c>
      <c r="E46" s="40"/>
      <c r="F46" s="193" t="str">
        <f>IFERROR(IF(VLOOKUP($A46,TableHandbook[],6,FALSE)=0,"",VLOOKUP($A46,TableHandbook[],6,FALSE)),"")</f>
        <v>None</v>
      </c>
      <c r="G46" s="41">
        <f>IFERROR(IF(VLOOKUP($A46,TableHandbook[],5,FALSE)=0,"",VLOOKUP($A46,TableHandbook[],5,FALSE)),"")</f>
        <v>25</v>
      </c>
      <c r="H46" s="59" t="str">
        <f>IFERROR(VLOOKUP($A46,TableHandbook[],H$2,FALSE),"")</f>
        <v/>
      </c>
      <c r="I46" s="47" t="str">
        <f>IFERROR(VLOOKUP($A46,TableHandbook[],I$2,FALSE),"")</f>
        <v/>
      </c>
      <c r="J46" s="47" t="str">
        <f>IFERROR(VLOOKUP($A46,TableHandbook[],J$2,FALSE),"")</f>
        <v>Y</v>
      </c>
      <c r="K46" s="60" t="str">
        <f>IFERROR(VLOOKUP($A46,TableHandbook[],K$2,FALSE),"")</f>
        <v>Y</v>
      </c>
      <c r="L46" s="46"/>
      <c r="M46" s="117">
        <v>16</v>
      </c>
      <c r="N46" s="15"/>
      <c r="O46" s="15"/>
      <c r="P46" s="15"/>
      <c r="Q46" s="15"/>
      <c r="R46" s="15"/>
      <c r="S46" s="15"/>
      <c r="T46" s="15"/>
      <c r="U46" s="15"/>
      <c r="V46" s="15"/>
      <c r="W46" s="15"/>
    </row>
    <row r="47" spans="1:23" x14ac:dyDescent="0.3">
      <c r="A47" s="158" t="str">
        <f t="shared" si="2"/>
        <v>INTR5003</v>
      </c>
      <c r="B47" s="100">
        <f>IFERROR(IF(VLOOKUP($A47,TableHandbook[],2,FALSE)=0,"",VLOOKUP($A47,TableHandbook[],2,FALSE)),"")</f>
        <v>2</v>
      </c>
      <c r="C47" s="100" t="str">
        <f>IFERROR(IF(VLOOKUP($A47,TableHandbook[],3,FALSE)=0,"",VLOOKUP($A47,TableHandbook[],3,FALSE)),"")</f>
        <v/>
      </c>
      <c r="D47" s="39" t="str">
        <f>IFERROR(IF(VLOOKUP($A47,TableHandbook[],4,FALSE)=0,"",VLOOKUP($A47,TableHandbook[],4,FALSE)),"")</f>
        <v>Strategic Geography, Planning and Decision-making</v>
      </c>
      <c r="E47" s="40"/>
      <c r="F47" s="193" t="str">
        <f>IFERROR(IF(VLOOKUP($A47,TableHandbook[],6,FALSE)=0,"",VLOOKUP($A47,TableHandbook[],6,FALSE)),"")</f>
        <v>None</v>
      </c>
      <c r="G47" s="41">
        <f>IFERROR(IF(VLOOKUP($A47,TableHandbook[],5,FALSE)=0,"",VLOOKUP($A47,TableHandbook[],5,FALSE)),"")</f>
        <v>25</v>
      </c>
      <c r="H47" s="59" t="str">
        <f>IFERROR(VLOOKUP($A47,TableHandbook[],H$2,FALSE),"")</f>
        <v/>
      </c>
      <c r="I47" s="47" t="str">
        <f>IFERROR(VLOOKUP($A47,TableHandbook[],I$2,FALSE),"")</f>
        <v/>
      </c>
      <c r="J47" s="47" t="str">
        <f>IFERROR(VLOOKUP($A47,TableHandbook[],J$2,FALSE),"")</f>
        <v>Y</v>
      </c>
      <c r="K47" s="60" t="str">
        <f>IFERROR(VLOOKUP($A47,TableHandbook[],K$2,FALSE),"")</f>
        <v>Y</v>
      </c>
      <c r="L47" s="46"/>
      <c r="M47" s="117">
        <v>17</v>
      </c>
      <c r="N47" s="15"/>
      <c r="O47" s="15"/>
      <c r="P47" s="15"/>
      <c r="Q47" s="15"/>
      <c r="R47" s="15"/>
      <c r="S47" s="15"/>
      <c r="T47" s="15"/>
      <c r="U47" s="15"/>
      <c r="V47" s="15"/>
      <c r="W47" s="15"/>
    </row>
    <row r="48" spans="1:23" x14ac:dyDescent="0.3">
      <c r="A48" s="158" t="str">
        <f t="shared" si="2"/>
        <v>INTR5004</v>
      </c>
      <c r="B48" s="100">
        <f>IFERROR(IF(VLOOKUP($A48,TableHandbook[],2,FALSE)=0,"",VLOOKUP($A48,TableHandbook[],2,FALSE)),"")</f>
        <v>1</v>
      </c>
      <c r="C48" s="100" t="str">
        <f>IFERROR(IF(VLOOKUP($A48,TableHandbook[],3,FALSE)=0,"",VLOOKUP($A48,TableHandbook[],3,FALSE)),"")</f>
        <v/>
      </c>
      <c r="D48" s="39" t="str">
        <f>IFERROR(IF(VLOOKUP($A48,TableHandbook[],4,FALSE)=0,"",VLOOKUP($A48,TableHandbook[],4,FALSE)),"")</f>
        <v>Russian and Eurasian Studies</v>
      </c>
      <c r="E48" s="40"/>
      <c r="F48" s="193" t="str">
        <f>IFERROR(IF(VLOOKUP($A48,TableHandbook[],6,FALSE)=0,"",VLOOKUP($A48,TableHandbook[],6,FALSE)),"")</f>
        <v>None</v>
      </c>
      <c r="G48" s="41">
        <f>IFERROR(IF(VLOOKUP($A48,TableHandbook[],5,FALSE)=0,"",VLOOKUP($A48,TableHandbook[],5,FALSE)),"")</f>
        <v>25</v>
      </c>
      <c r="H48" s="59" t="str">
        <f>IFERROR(VLOOKUP($A48,TableHandbook[],H$2,FALSE),"")</f>
        <v/>
      </c>
      <c r="I48" s="47" t="str">
        <f>IFERROR(VLOOKUP($A48,TableHandbook[],I$2,FALSE),"")</f>
        <v/>
      </c>
      <c r="J48" s="47" t="str">
        <f>IFERROR(VLOOKUP($A48,TableHandbook[],J$2,FALSE),"")</f>
        <v>Y</v>
      </c>
      <c r="K48" s="60" t="str">
        <f>IFERROR(VLOOKUP($A48,TableHandbook[],K$2,FALSE),"")</f>
        <v>Y</v>
      </c>
      <c r="L48" s="46"/>
      <c r="M48" s="117">
        <v>18</v>
      </c>
      <c r="N48" s="15"/>
      <c r="O48" s="15"/>
      <c r="P48" s="15"/>
      <c r="Q48" s="15"/>
      <c r="R48" s="15"/>
      <c r="S48" s="15"/>
      <c r="T48" s="15"/>
      <c r="U48" s="15"/>
      <c r="V48" s="15"/>
      <c r="W48" s="15"/>
    </row>
    <row r="49" spans="1:23" x14ac:dyDescent="0.3">
      <c r="A49" s="158" t="str">
        <f t="shared" si="2"/>
        <v>INTR5005</v>
      </c>
      <c r="B49" s="100">
        <f>IFERROR(IF(VLOOKUP($A49,TableHandbook[],2,FALSE)=0,"",VLOOKUP($A49,TableHandbook[],2,FALSE)),"")</f>
        <v>1</v>
      </c>
      <c r="C49" s="100" t="str">
        <f>IFERROR(IF(VLOOKUP($A49,TableHandbook[],3,FALSE)=0,"",VLOOKUP($A49,TableHandbook[],3,FALSE)),"")</f>
        <v/>
      </c>
      <c r="D49" s="39" t="str">
        <f>IFERROR(IF(VLOOKUP($A49,TableHandbook[],4,FALSE)=0,"",VLOOKUP($A49,TableHandbook[],4,FALSE)),"")</f>
        <v>Globalised Terrorism</v>
      </c>
      <c r="E49" s="40"/>
      <c r="F49" s="193" t="str">
        <f>IFERROR(IF(VLOOKUP($A49,TableHandbook[],6,FALSE)=0,"",VLOOKUP($A49,TableHandbook[],6,FALSE)),"")</f>
        <v>None</v>
      </c>
      <c r="G49" s="41">
        <f>IFERROR(IF(VLOOKUP($A49,TableHandbook[],5,FALSE)=0,"",VLOOKUP($A49,TableHandbook[],5,FALSE)),"")</f>
        <v>25</v>
      </c>
      <c r="H49" s="59" t="str">
        <f>IFERROR(VLOOKUP($A49,TableHandbook[],H$2,FALSE),"")</f>
        <v>Y</v>
      </c>
      <c r="I49" s="47" t="str">
        <f>IFERROR(VLOOKUP($A49,TableHandbook[],I$2,FALSE),"")</f>
        <v>Y</v>
      </c>
      <c r="J49" s="47" t="str">
        <f>IFERROR(VLOOKUP($A49,TableHandbook[],J$2,FALSE),"")</f>
        <v/>
      </c>
      <c r="K49" s="60" t="str">
        <f>IFERROR(VLOOKUP($A49,TableHandbook[],K$2,FALSE),"")</f>
        <v/>
      </c>
      <c r="L49" s="46"/>
      <c r="M49" s="117">
        <v>19</v>
      </c>
      <c r="N49" s="15"/>
      <c r="O49" s="15"/>
      <c r="P49" s="15"/>
      <c r="Q49" s="15"/>
      <c r="R49" s="15"/>
      <c r="S49" s="15"/>
      <c r="T49" s="15"/>
      <c r="U49" s="15"/>
      <c r="V49" s="15"/>
      <c r="W49" s="15"/>
    </row>
    <row r="50" spans="1:23" x14ac:dyDescent="0.3">
      <c r="A50" s="158" t="str">
        <f t="shared" si="2"/>
        <v>INTR5006</v>
      </c>
      <c r="B50" s="100">
        <f>IFERROR(IF(VLOOKUP($A50,TableHandbook[],2,FALSE)=0,"",VLOOKUP($A50,TableHandbook[],2,FALSE)),"")</f>
        <v>1</v>
      </c>
      <c r="C50" s="100" t="str">
        <f>IFERROR(IF(VLOOKUP($A50,TableHandbook[],3,FALSE)=0,"",VLOOKUP($A50,TableHandbook[],3,FALSE)),"")</f>
        <v/>
      </c>
      <c r="D50" s="39" t="str">
        <f>IFERROR(IF(VLOOKUP($A50,TableHandbook[],4,FALSE)=0,"",VLOOKUP($A50,TableHandbook[],4,FALSE)),"")</f>
        <v>Intelligence and Analysis</v>
      </c>
      <c r="E50" s="40"/>
      <c r="F50" s="193" t="str">
        <f>IFERROR(IF(VLOOKUP($A50,TableHandbook[],6,FALSE)=0,"",VLOOKUP($A50,TableHandbook[],6,FALSE)),"")</f>
        <v>None</v>
      </c>
      <c r="G50" s="41">
        <f>IFERROR(IF(VLOOKUP($A50,TableHandbook[],5,FALSE)=0,"",VLOOKUP($A50,TableHandbook[],5,FALSE)),"")</f>
        <v>25</v>
      </c>
      <c r="H50" s="59" t="str">
        <f>IFERROR(VLOOKUP($A50,TableHandbook[],H$2,FALSE),"")</f>
        <v/>
      </c>
      <c r="I50" s="47" t="str">
        <f>IFERROR(VLOOKUP($A50,TableHandbook[],I$2,FALSE),"")</f>
        <v/>
      </c>
      <c r="J50" s="47" t="str">
        <f>IFERROR(VLOOKUP($A50,TableHandbook[],J$2,FALSE),"")</f>
        <v>Y</v>
      </c>
      <c r="K50" s="60" t="str">
        <f>IFERROR(VLOOKUP($A50,TableHandbook[],K$2,FALSE),"")</f>
        <v>Y</v>
      </c>
      <c r="L50" s="46"/>
      <c r="M50" s="117">
        <v>20</v>
      </c>
      <c r="N50" s="15"/>
      <c r="O50" s="15"/>
      <c r="P50" s="15"/>
      <c r="Q50" s="15"/>
      <c r="R50" s="15"/>
      <c r="S50" s="15"/>
      <c r="T50" s="15"/>
      <c r="U50" s="15"/>
      <c r="V50" s="15"/>
      <c r="W50" s="15"/>
    </row>
    <row r="51" spans="1:23" x14ac:dyDescent="0.3">
      <c r="A51" s="158" t="str">
        <f t="shared" si="2"/>
        <v>INTR5008</v>
      </c>
      <c r="B51" s="100">
        <f>IFERROR(IF(VLOOKUP($A51,TableHandbook[],2,FALSE)=0,"",VLOOKUP($A51,TableHandbook[],2,FALSE)),"")</f>
        <v>2</v>
      </c>
      <c r="C51" s="100" t="str">
        <f>IFERROR(IF(VLOOKUP($A51,TableHandbook[],3,FALSE)=0,"",VLOOKUP($A51,TableHandbook[],3,FALSE)),"")</f>
        <v/>
      </c>
      <c r="D51" s="39" t="str">
        <f>IFERROR(IF(VLOOKUP($A51,TableHandbook[],4,FALSE)=0,"",VLOOKUP($A51,TableHandbook[],4,FALSE)),"")</f>
        <v>Cultures of Violence and Conflict</v>
      </c>
      <c r="E51" s="40"/>
      <c r="F51" s="193" t="str">
        <f>IFERROR(IF(VLOOKUP($A51,TableHandbook[],6,FALSE)=0,"",VLOOKUP($A51,TableHandbook[],6,FALSE)),"")</f>
        <v>None</v>
      </c>
      <c r="G51" s="41">
        <f>IFERROR(IF(VLOOKUP($A51,TableHandbook[],5,FALSE)=0,"",VLOOKUP($A51,TableHandbook[],5,FALSE)),"")</f>
        <v>25</v>
      </c>
      <c r="H51" s="59" t="str">
        <f>IFERROR(VLOOKUP($A51,TableHandbook[],H$2,FALSE),"")</f>
        <v>Y</v>
      </c>
      <c r="I51" s="47" t="str">
        <f>IFERROR(VLOOKUP($A51,TableHandbook[],I$2,FALSE),"")</f>
        <v>Y</v>
      </c>
      <c r="J51" s="47" t="str">
        <f>IFERROR(VLOOKUP($A51,TableHandbook[],J$2,FALSE),"")</f>
        <v/>
      </c>
      <c r="K51" s="60" t="str">
        <f>IFERROR(VLOOKUP($A51,TableHandbook[],K$2,FALSE),"")</f>
        <v/>
      </c>
      <c r="L51" s="46"/>
      <c r="M51" s="117">
        <v>21</v>
      </c>
      <c r="N51" s="15"/>
      <c r="O51" s="15"/>
      <c r="P51" s="15"/>
      <c r="Q51" s="15"/>
      <c r="R51" s="15"/>
      <c r="S51" s="15"/>
      <c r="T51" s="15"/>
      <c r="U51" s="15"/>
      <c r="V51" s="15"/>
      <c r="W51" s="15"/>
    </row>
    <row r="52" spans="1:23" x14ac:dyDescent="0.3">
      <c r="A52" s="158" t="str">
        <f t="shared" si="2"/>
        <v>INTR5009</v>
      </c>
      <c r="B52" s="100">
        <f>IFERROR(IF(VLOOKUP($A52,TableHandbook[],2,FALSE)=0,"",VLOOKUP($A52,TableHandbook[],2,FALSE)),"")</f>
        <v>2</v>
      </c>
      <c r="C52" s="100" t="str">
        <f>IFERROR(IF(VLOOKUP($A52,TableHandbook[],3,FALSE)=0,"",VLOOKUP($A52,TableHandbook[],3,FALSE)),"")</f>
        <v/>
      </c>
      <c r="D52" s="39" t="str">
        <f>IFERROR(IF(VLOOKUP($A52,TableHandbook[],4,FALSE)=0,"",VLOOKUP($A52,TableHandbook[],4,FALSE)),"")</f>
        <v>Cyber Conflict, Information Operations and Espionage</v>
      </c>
      <c r="E52" s="40"/>
      <c r="F52" s="193" t="str">
        <f>IFERROR(IF(VLOOKUP($A52,TableHandbook[],6,FALSE)=0,"",VLOOKUP($A52,TableHandbook[],6,FALSE)),"")</f>
        <v>None</v>
      </c>
      <c r="G52" s="41">
        <f>IFERROR(IF(VLOOKUP($A52,TableHandbook[],5,FALSE)=0,"",VLOOKUP($A52,TableHandbook[],5,FALSE)),"")</f>
        <v>25</v>
      </c>
      <c r="H52" s="59" t="str">
        <f>IFERROR(VLOOKUP($A52,TableHandbook[],H$2,FALSE),"")</f>
        <v>Y</v>
      </c>
      <c r="I52" s="47" t="str">
        <f>IFERROR(VLOOKUP($A52,TableHandbook[],I$2,FALSE),"")</f>
        <v>Y</v>
      </c>
      <c r="J52" s="47" t="str">
        <f>IFERROR(VLOOKUP($A52,TableHandbook[],J$2,FALSE),"")</f>
        <v/>
      </c>
      <c r="K52" s="60" t="str">
        <f>IFERROR(VLOOKUP($A52,TableHandbook[],K$2,FALSE),"")</f>
        <v/>
      </c>
      <c r="L52" s="46"/>
      <c r="M52" s="117">
        <v>22</v>
      </c>
      <c r="N52" s="15"/>
      <c r="O52" s="15"/>
      <c r="P52" s="15"/>
      <c r="Q52" s="15"/>
      <c r="R52" s="15"/>
      <c r="S52" s="15"/>
      <c r="T52" s="15"/>
      <c r="U52" s="15"/>
      <c r="V52" s="15"/>
      <c r="W52" s="15"/>
    </row>
    <row r="53" spans="1:23" x14ac:dyDescent="0.3">
      <c r="A53" s="158" t="str">
        <f t="shared" si="2"/>
        <v>POLS5002</v>
      </c>
      <c r="B53" s="100">
        <f>IFERROR(IF(VLOOKUP($A53,TableHandbook[],2,FALSE)=0,"",VLOOKUP($A53,TableHandbook[],2,FALSE)),"")</f>
        <v>2</v>
      </c>
      <c r="C53" s="100" t="str">
        <f>IFERROR(IF(VLOOKUP($A53,TableHandbook[],3,FALSE)=0,"",VLOOKUP($A53,TableHandbook[],3,FALSE)),"")</f>
        <v/>
      </c>
      <c r="D53" s="39" t="str">
        <f>IFERROR(IF(VLOOKUP($A53,TableHandbook[],4,FALSE)=0,"",VLOOKUP($A53,TableHandbook[],4,FALSE)),"")</f>
        <v>Security and Conflict in the Indian Ocean and the Middle East</v>
      </c>
      <c r="E53" s="40"/>
      <c r="F53" s="193" t="str">
        <f>IFERROR(IF(VLOOKUP($A53,TableHandbook[],6,FALSE)=0,"",VLOOKUP($A53,TableHandbook[],6,FALSE)),"")</f>
        <v>None</v>
      </c>
      <c r="G53" s="41">
        <f>IFERROR(IF(VLOOKUP($A53,TableHandbook[],5,FALSE)=0,"",VLOOKUP($A53,TableHandbook[],5,FALSE)),"")</f>
        <v>25</v>
      </c>
      <c r="H53" s="59" t="str">
        <f>IFERROR(VLOOKUP($A53,TableHandbook[],H$2,FALSE),"")</f>
        <v>Y</v>
      </c>
      <c r="I53" s="47" t="str">
        <f>IFERROR(VLOOKUP($A53,TableHandbook[],I$2,FALSE),"")</f>
        <v>Y</v>
      </c>
      <c r="J53" s="47" t="str">
        <f>IFERROR(VLOOKUP($A53,TableHandbook[],J$2,FALSE),"")</f>
        <v/>
      </c>
      <c r="K53" s="60" t="str">
        <f>IFERROR(VLOOKUP($A53,TableHandbook[],K$2,FALSE),"")</f>
        <v/>
      </c>
      <c r="L53" s="46"/>
      <c r="M53" s="117">
        <v>23</v>
      </c>
      <c r="N53" s="15"/>
      <c r="O53" s="15"/>
      <c r="P53" s="15"/>
      <c r="Q53" s="15"/>
      <c r="R53" s="15"/>
      <c r="S53" s="15"/>
      <c r="T53" s="15"/>
      <c r="U53" s="15"/>
      <c r="V53" s="15"/>
      <c r="W53" s="15"/>
    </row>
    <row r="54" spans="1:23" x14ac:dyDescent="0.3">
      <c r="A54" s="158" t="str">
        <f t="shared" si="2"/>
        <v>POLS5004</v>
      </c>
      <c r="B54" s="100">
        <f>IFERROR(IF(VLOOKUP($A54,TableHandbook[],2,FALSE)=0,"",VLOOKUP($A54,TableHandbook[],2,FALSE)),"")</f>
        <v>2</v>
      </c>
      <c r="C54" s="100" t="str">
        <f>IFERROR(IF(VLOOKUP($A54,TableHandbook[],3,FALSE)=0,"",VLOOKUP($A54,TableHandbook[],3,FALSE)),"")</f>
        <v/>
      </c>
      <c r="D54" s="39" t="str">
        <f>IFERROR(IF(VLOOKUP($A54,TableHandbook[],4,FALSE)=0,"",VLOOKUP($A54,TableHandbook[],4,FALSE)),"")</f>
        <v>Environmental and Energy Security</v>
      </c>
      <c r="E54" s="40"/>
      <c r="F54" s="193" t="str">
        <f>IFERROR(IF(VLOOKUP($A54,TableHandbook[],6,FALSE)=0,"",VLOOKUP($A54,TableHandbook[],6,FALSE)),"")</f>
        <v>None</v>
      </c>
      <c r="G54" s="41">
        <f>IFERROR(IF(VLOOKUP($A54,TableHandbook[],5,FALSE)=0,"",VLOOKUP($A54,TableHandbook[],5,FALSE)),"")</f>
        <v>25</v>
      </c>
      <c r="H54" s="59" t="str">
        <f>IFERROR(VLOOKUP($A54,TableHandbook[],H$2,FALSE),"")</f>
        <v/>
      </c>
      <c r="I54" s="47" t="str">
        <f>IFERROR(VLOOKUP($A54,TableHandbook[],I$2,FALSE),"")</f>
        <v/>
      </c>
      <c r="J54" s="47" t="str">
        <f>IFERROR(VLOOKUP($A54,TableHandbook[],J$2,FALSE),"")</f>
        <v>Y</v>
      </c>
      <c r="K54" s="60" t="str">
        <f>IFERROR(VLOOKUP($A54,TableHandbook[],K$2,FALSE),"")</f>
        <v>Y</v>
      </c>
      <c r="L54" s="46"/>
      <c r="M54" s="117">
        <v>24</v>
      </c>
      <c r="N54" s="15"/>
      <c r="O54" s="15"/>
      <c r="P54" s="15"/>
      <c r="Q54" s="15"/>
      <c r="R54" s="15"/>
      <c r="S54" s="15"/>
      <c r="T54" s="15"/>
      <c r="U54" s="15"/>
      <c r="V54" s="15"/>
      <c r="W54" s="15"/>
    </row>
    <row r="55" spans="1:23" x14ac:dyDescent="0.3">
      <c r="A55" s="158" t="str">
        <f t="shared" si="2"/>
        <v xml:space="preserve"> </v>
      </c>
      <c r="B55" s="100" t="str">
        <f>IFERROR(IF(VLOOKUP($A55,TableHandbook[],2,FALSE)=0,"",VLOOKUP($A55,TableHandbook[],2,FALSE)),"")</f>
        <v/>
      </c>
      <c r="C55" s="100" t="str">
        <f>IFERROR(IF(VLOOKUP($A55,TableHandbook[],3,FALSE)=0,"",VLOOKUP($A55,TableHandbook[],3,FALSE)),"")</f>
        <v/>
      </c>
      <c r="D55" s="39" t="str">
        <f>IFERROR(IF(VLOOKUP($A55,TableHandbook[],4,FALSE)=0,"",VLOOKUP($A55,TableHandbook[],4,FALSE)),"")</f>
        <v/>
      </c>
      <c r="E55" s="40"/>
      <c r="F55" s="193" t="str">
        <f>IFERROR(IF(VLOOKUP($A55,TableHandbook[],6,FALSE)=0,"",VLOOKUP($A55,TableHandbook[],6,FALSE)),"")</f>
        <v/>
      </c>
      <c r="G55" s="41" t="str">
        <f>IFERROR(IF(VLOOKUP($A55,TableHandbook[],5,FALSE)=0,"",VLOOKUP($A55,TableHandbook[],5,FALSE)),"")</f>
        <v/>
      </c>
      <c r="H55" s="59" t="str">
        <f>IFERROR(VLOOKUP($A55,TableHandbook[],H$2,FALSE),"")</f>
        <v/>
      </c>
      <c r="I55" s="47" t="str">
        <f>IFERROR(VLOOKUP($A55,TableHandbook[],I$2,FALSE),"")</f>
        <v/>
      </c>
      <c r="J55" s="47" t="str">
        <f>IFERROR(VLOOKUP($A55,TableHandbook[],J$2,FALSE),"")</f>
        <v/>
      </c>
      <c r="K55" s="60" t="str">
        <f>IFERROR(VLOOKUP($A55,TableHandbook[],K$2,FALSE),"")</f>
        <v/>
      </c>
      <c r="L55" s="46"/>
      <c r="M55" s="117">
        <v>25</v>
      </c>
      <c r="N55" s="15"/>
      <c r="O55" s="15"/>
      <c r="P55" s="15"/>
      <c r="Q55" s="15"/>
      <c r="R55" s="15"/>
      <c r="S55" s="15"/>
      <c r="T55" s="15"/>
      <c r="U55" s="15"/>
      <c r="V55" s="15"/>
      <c r="W55" s="15"/>
    </row>
    <row r="56" spans="1:23" x14ac:dyDescent="0.3">
      <c r="A56" s="158" t="str">
        <f t="shared" si="2"/>
        <v>Opt-HRIGTSt</v>
      </c>
      <c r="B56" s="100" t="str">
        <f>IFERROR(IF(VLOOKUP($A56,TableHandbook[],2,FALSE)=0,"",VLOOKUP($A56,TableHandbook[],2,FALSE)),"")</f>
        <v/>
      </c>
      <c r="C56" s="100" t="str">
        <f>IFERROR(IF(VLOOKUP($A56,TableHandbook[],3,FALSE)=0,"",VLOOKUP($A56,TableHandbook[],3,FALSE)),"")</f>
        <v/>
      </c>
      <c r="D56" s="39" t="str">
        <f>IFERROR(IF(VLOOKUP($A56,TableHandbook[],4,FALSE)=0,"",VLOOKUP($A56,TableHandbook[],4,FALSE)),"")</f>
        <v>Study an Option unit from HRIGT list below</v>
      </c>
      <c r="E56" s="40"/>
      <c r="F56" s="193" t="str">
        <f>IFERROR(IF(VLOOKUP($A56,TableHandbook[],6,FALSE)=0,"",VLOOKUP($A56,TableHandbook[],6,FALSE)),"")</f>
        <v>See below</v>
      </c>
      <c r="G56" s="41">
        <f>IFERROR(IF(VLOOKUP($A56,TableHandbook[],5,FALSE)=0,"",VLOOKUP($A56,TableHandbook[],5,FALSE)),"")</f>
        <v>25</v>
      </c>
      <c r="H56" s="59" t="str">
        <f>IFERROR(VLOOKUP($A56,TableHandbook[],H$2,FALSE),"")</f>
        <v/>
      </c>
      <c r="I56" s="47" t="str">
        <f>IFERROR(VLOOKUP($A56,TableHandbook[],I$2,FALSE),"")</f>
        <v/>
      </c>
      <c r="J56" s="47" t="str">
        <f>IFERROR(VLOOKUP($A56,TableHandbook[],J$2,FALSE),"")</f>
        <v/>
      </c>
      <c r="K56" s="60" t="str">
        <f>IFERROR(VLOOKUP($A56,TableHandbook[],K$2,FALSE),"")</f>
        <v/>
      </c>
      <c r="L56" s="46"/>
      <c r="M56" s="117">
        <v>26</v>
      </c>
      <c r="N56" s="15"/>
      <c r="O56" s="15"/>
      <c r="P56" s="15"/>
      <c r="Q56" s="15"/>
      <c r="R56" s="15"/>
      <c r="S56" s="15"/>
      <c r="T56" s="15"/>
      <c r="U56" s="15"/>
      <c r="V56" s="15"/>
      <c r="W56" s="15"/>
    </row>
    <row r="57" spans="1:23" x14ac:dyDescent="0.3">
      <c r="A57" s="158" t="str">
        <f t="shared" si="2"/>
        <v>HRIG5000</v>
      </c>
      <c r="B57" s="100">
        <f>IFERROR(IF(VLOOKUP($A57,TableHandbook[],2,FALSE)=0,"",VLOOKUP($A57,TableHandbook[],2,FALSE)),"")</f>
        <v>2</v>
      </c>
      <c r="C57" s="100" t="str">
        <f>IFERROR(IF(VLOOKUP($A57,TableHandbook[],3,FALSE)=0,"",VLOOKUP($A57,TableHandbook[],3,FALSE)),"")</f>
        <v/>
      </c>
      <c r="D57" s="39" t="str">
        <f>IFERROR(IF(VLOOKUP($A57,TableHandbook[],4,FALSE)=0,"",VLOOKUP($A57,TableHandbook[],4,FALSE)),"")</f>
        <v>Human Rights Education in Practice</v>
      </c>
      <c r="E57" s="40"/>
      <c r="F57" s="193" t="str">
        <f>IFERROR(IF(VLOOKUP($A57,TableHandbook[],6,FALSE)=0,"",VLOOKUP($A57,TableHandbook[],6,FALSE)),"")</f>
        <v>None</v>
      </c>
      <c r="G57" s="41">
        <f>IFERROR(IF(VLOOKUP($A57,TableHandbook[],5,FALSE)=0,"",VLOOKUP($A57,TableHandbook[],5,FALSE)),"")</f>
        <v>25</v>
      </c>
      <c r="H57" s="59" t="str">
        <f>IFERROR(VLOOKUP($A57,TableHandbook[],H$2,FALSE),"")</f>
        <v/>
      </c>
      <c r="I57" s="47" t="str">
        <f>IFERROR(VLOOKUP($A57,TableHandbook[],I$2,FALSE),"")</f>
        <v/>
      </c>
      <c r="J57" s="47" t="str">
        <f>IFERROR(VLOOKUP($A57,TableHandbook[],J$2,FALSE),"")</f>
        <v>Y</v>
      </c>
      <c r="K57" s="60" t="str">
        <f>IFERROR(VLOOKUP($A57,TableHandbook[],K$2,FALSE),"")</f>
        <v>Y</v>
      </c>
      <c r="L57" s="46"/>
      <c r="M57" s="117">
        <v>27</v>
      </c>
      <c r="N57" s="15"/>
      <c r="O57" s="15"/>
      <c r="P57" s="15"/>
      <c r="Q57" s="15"/>
      <c r="R57" s="15"/>
      <c r="S57" s="15"/>
      <c r="T57" s="15"/>
      <c r="U57" s="15"/>
      <c r="V57" s="15"/>
      <c r="W57" s="15"/>
    </row>
    <row r="58" spans="1:23" x14ac:dyDescent="0.3">
      <c r="A58" s="158" t="str">
        <f t="shared" si="2"/>
        <v>HRIG5001</v>
      </c>
      <c r="B58" s="100">
        <f>IFERROR(IF(VLOOKUP($A58,TableHandbook[],2,FALSE)=0,"",VLOOKUP($A58,TableHandbook[],2,FALSE)),"")</f>
        <v>2</v>
      </c>
      <c r="C58" s="100" t="str">
        <f>IFERROR(IF(VLOOKUP($A58,TableHandbook[],3,FALSE)=0,"",VLOOKUP($A58,TableHandbook[],3,FALSE)),"")</f>
        <v/>
      </c>
      <c r="D58" s="39" t="str">
        <f>IFERROR(IF(VLOOKUP($A58,TableHandbook[],4,FALSE)=0,"",VLOOKUP($A58,TableHandbook[],4,FALSE)),"")</f>
        <v>Social Justice and Development</v>
      </c>
      <c r="E58" s="40"/>
      <c r="F58" s="193" t="str">
        <f>IFERROR(IF(VLOOKUP($A58,TableHandbook[],6,FALSE)=0,"",VLOOKUP($A58,TableHandbook[],6,FALSE)),"")</f>
        <v>None</v>
      </c>
      <c r="G58" s="41">
        <f>IFERROR(IF(VLOOKUP($A58,TableHandbook[],5,FALSE)=0,"",VLOOKUP($A58,TableHandbook[],5,FALSE)),"")</f>
        <v>25</v>
      </c>
      <c r="H58" s="59" t="str">
        <f>IFERROR(VLOOKUP($A58,TableHandbook[],H$2,FALSE),"")</f>
        <v>Y</v>
      </c>
      <c r="I58" s="47" t="str">
        <f>IFERROR(VLOOKUP($A58,TableHandbook[],I$2,FALSE),"")</f>
        <v>Y</v>
      </c>
      <c r="J58" s="47" t="str">
        <f>IFERROR(VLOOKUP($A58,TableHandbook[],J$2,FALSE),"")</f>
        <v/>
      </c>
      <c r="K58" s="60" t="str">
        <f>IFERROR(VLOOKUP($A58,TableHandbook[],K$2,FALSE),"")</f>
        <v/>
      </c>
      <c r="L58" s="46"/>
      <c r="M58" s="117">
        <v>28</v>
      </c>
      <c r="N58" s="15"/>
      <c r="O58" s="15"/>
      <c r="P58" s="15"/>
      <c r="Q58" s="15"/>
      <c r="R58" s="15"/>
      <c r="S58" s="15"/>
      <c r="T58" s="15"/>
      <c r="U58" s="15"/>
      <c r="V58" s="15"/>
      <c r="W58" s="15"/>
    </row>
    <row r="59" spans="1:23" x14ac:dyDescent="0.3">
      <c r="A59" s="158" t="str">
        <f t="shared" si="2"/>
        <v>HRIG5002</v>
      </c>
      <c r="B59" s="100">
        <f>IFERROR(IF(VLOOKUP($A59,TableHandbook[],2,FALSE)=0,"",VLOOKUP($A59,TableHandbook[],2,FALSE)),"")</f>
        <v>2</v>
      </c>
      <c r="C59" s="100" t="str">
        <f>IFERROR(IF(VLOOKUP($A59,TableHandbook[],3,FALSE)=0,"",VLOOKUP($A59,TableHandbook[],3,FALSE)),"")</f>
        <v/>
      </c>
      <c r="D59" s="39" t="str">
        <f>IFERROR(IF(VLOOKUP($A59,TableHandbook[],4,FALSE)=0,"",VLOOKUP($A59,TableHandbook[],4,FALSE)),"")</f>
        <v>International Human Rights Law and Practice</v>
      </c>
      <c r="E59" s="40"/>
      <c r="F59" s="193" t="str">
        <f>IFERROR(IF(VLOOKUP($A59,TableHandbook[],6,FALSE)=0,"",VLOOKUP($A59,TableHandbook[],6,FALSE)),"")</f>
        <v>None</v>
      </c>
      <c r="G59" s="41">
        <f>IFERROR(IF(VLOOKUP($A59,TableHandbook[],5,FALSE)=0,"",VLOOKUP($A59,TableHandbook[],5,FALSE)),"")</f>
        <v>25</v>
      </c>
      <c r="H59" s="59" t="str">
        <f>IFERROR(VLOOKUP($A59,TableHandbook[],H$2,FALSE),"")</f>
        <v/>
      </c>
      <c r="I59" s="47" t="str">
        <f>IFERROR(VLOOKUP($A59,TableHandbook[],I$2,FALSE),"")</f>
        <v/>
      </c>
      <c r="J59" s="47" t="str">
        <f>IFERROR(VLOOKUP($A59,TableHandbook[],J$2,FALSE),"")</f>
        <v>Y</v>
      </c>
      <c r="K59" s="60" t="str">
        <f>IFERROR(VLOOKUP($A59,TableHandbook[],K$2,FALSE),"")</f>
        <v>Y</v>
      </c>
      <c r="L59" s="46"/>
      <c r="M59" s="117">
        <v>29</v>
      </c>
      <c r="N59" s="15"/>
      <c r="O59" s="15"/>
      <c r="P59" s="15"/>
      <c r="Q59" s="15"/>
      <c r="R59" s="15"/>
      <c r="S59" s="15"/>
      <c r="T59" s="15"/>
      <c r="U59" s="15"/>
      <c r="V59" s="15"/>
      <c r="W59" s="15"/>
    </row>
    <row r="60" spans="1:23" x14ac:dyDescent="0.3">
      <c r="A60" s="158" t="str">
        <f t="shared" si="2"/>
        <v>HRIG5003</v>
      </c>
      <c r="B60" s="100">
        <f>IFERROR(IF(VLOOKUP($A60,TableHandbook[],2,FALSE)=0,"",VLOOKUP($A60,TableHandbook[],2,FALSE)),"")</f>
        <v>2</v>
      </c>
      <c r="C60" s="100" t="str">
        <f>IFERROR(IF(VLOOKUP($A60,TableHandbook[],3,FALSE)=0,"",VLOOKUP($A60,TableHandbook[],3,FALSE)),"")</f>
        <v/>
      </c>
      <c r="D60" s="39" t="str">
        <f>IFERROR(IF(VLOOKUP($A60,TableHandbook[],4,FALSE)=0,"",VLOOKUP($A60,TableHandbook[],4,FALSE)),"")</f>
        <v>Activism, Advocacy and Change</v>
      </c>
      <c r="E60" s="40"/>
      <c r="F60" s="193" t="str">
        <f>IFERROR(IF(VLOOKUP($A60,TableHandbook[],6,FALSE)=0,"",VLOOKUP($A60,TableHandbook[],6,FALSE)),"")</f>
        <v>None</v>
      </c>
      <c r="G60" s="41">
        <f>IFERROR(IF(VLOOKUP($A60,TableHandbook[],5,FALSE)=0,"",VLOOKUP($A60,TableHandbook[],5,FALSE)),"")</f>
        <v>25</v>
      </c>
      <c r="H60" s="59" t="str">
        <f>IFERROR(VLOOKUP($A60,TableHandbook[],H$2,FALSE),"")</f>
        <v/>
      </c>
      <c r="I60" s="47" t="str">
        <f>IFERROR(VLOOKUP($A60,TableHandbook[],I$2,FALSE),"")</f>
        <v/>
      </c>
      <c r="J60" s="47" t="str">
        <f>IFERROR(VLOOKUP($A60,TableHandbook[],J$2,FALSE),"")</f>
        <v>Y</v>
      </c>
      <c r="K60" s="60" t="str">
        <f>IFERROR(VLOOKUP($A60,TableHandbook[],K$2,FALSE),"")</f>
        <v>Y</v>
      </c>
      <c r="L60" s="46"/>
      <c r="M60" s="117">
        <v>30</v>
      </c>
      <c r="N60" s="15"/>
      <c r="O60" s="15"/>
      <c r="P60" s="15"/>
      <c r="Q60" s="15"/>
      <c r="R60" s="15"/>
      <c r="S60" s="15"/>
      <c r="T60" s="15"/>
      <c r="U60" s="15"/>
      <c r="V60" s="15"/>
      <c r="W60" s="15"/>
    </row>
    <row r="61" spans="1:23" x14ac:dyDescent="0.3">
      <c r="A61" s="158" t="str">
        <f t="shared" si="2"/>
        <v>HRIG5004</v>
      </c>
      <c r="B61" s="100">
        <f>IFERROR(IF(VLOOKUP($A61,TableHandbook[],2,FALSE)=0,"",VLOOKUP($A61,TableHandbook[],2,FALSE)),"")</f>
        <v>3</v>
      </c>
      <c r="C61" s="100" t="str">
        <f>IFERROR(IF(VLOOKUP($A61,TableHandbook[],3,FALSE)=0,"",VLOOKUP($A61,TableHandbook[],3,FALSE)),"")</f>
        <v/>
      </c>
      <c r="D61" s="39" t="str">
        <f>IFERROR(IF(VLOOKUP($A61,TableHandbook[],4,FALSE)=0,"",VLOOKUP($A61,TableHandbook[],4,FALSE)),"")</f>
        <v>Forced Migration and Refugee Rights</v>
      </c>
      <c r="E61" s="40"/>
      <c r="F61" s="193" t="str">
        <f>IFERROR(IF(VLOOKUP($A61,TableHandbook[],6,FALSE)=0,"",VLOOKUP($A61,TableHandbook[],6,FALSE)),"")</f>
        <v>None</v>
      </c>
      <c r="G61" s="41">
        <f>IFERROR(IF(VLOOKUP($A61,TableHandbook[],5,FALSE)=0,"",VLOOKUP($A61,TableHandbook[],5,FALSE)),"")</f>
        <v>25</v>
      </c>
      <c r="H61" s="59" t="str">
        <f>IFERROR(VLOOKUP($A61,TableHandbook[],H$2,FALSE),"")</f>
        <v/>
      </c>
      <c r="I61" s="47" t="str">
        <f>IFERROR(VLOOKUP($A61,TableHandbook[],I$2,FALSE),"")</f>
        <v/>
      </c>
      <c r="J61" s="47" t="str">
        <f>IFERROR(VLOOKUP($A61,TableHandbook[],J$2,FALSE),"")</f>
        <v/>
      </c>
      <c r="K61" s="60" t="str">
        <f>IFERROR(VLOOKUP($A61,TableHandbook[],K$2,FALSE),"")</f>
        <v/>
      </c>
      <c r="L61" s="46"/>
      <c r="M61" s="117">
        <v>31</v>
      </c>
      <c r="N61" s="15"/>
      <c r="O61" s="15"/>
      <c r="P61" s="15"/>
      <c r="Q61" s="15"/>
      <c r="R61" s="15"/>
      <c r="S61" s="15"/>
      <c r="T61" s="15"/>
      <c r="U61" s="15"/>
      <c r="V61" s="15"/>
      <c r="W61" s="15"/>
    </row>
    <row r="62" spans="1:23" x14ac:dyDescent="0.3">
      <c r="A62" s="158" t="str">
        <f t="shared" si="2"/>
        <v>HRIG5014</v>
      </c>
      <c r="B62" s="100">
        <f>IFERROR(IF(VLOOKUP($A62,TableHandbook[],2,FALSE)=0,"",VLOOKUP($A62,TableHandbook[],2,FALSE)),"")</f>
        <v>2</v>
      </c>
      <c r="C62" s="100" t="str">
        <f>IFERROR(IF(VLOOKUP($A62,TableHandbook[],3,FALSE)=0,"",VLOOKUP($A62,TableHandbook[],3,FALSE)),"")</f>
        <v/>
      </c>
      <c r="D62" s="39" t="str">
        <f>IFERROR(IF(VLOOKUP($A62,TableHandbook[],4,FALSE)=0,"",VLOOKUP($A62,TableHandbook[],4,FALSE)),"")</f>
        <v>Dialogue across Cultures and Religions</v>
      </c>
      <c r="E62" s="40"/>
      <c r="F62" s="193" t="str">
        <f>IFERROR(IF(VLOOKUP($A62,TableHandbook[],6,FALSE)=0,"",VLOOKUP($A62,TableHandbook[],6,FALSE)),"")</f>
        <v>None</v>
      </c>
      <c r="G62" s="41">
        <f>IFERROR(IF(VLOOKUP($A62,TableHandbook[],5,FALSE)=0,"",VLOOKUP($A62,TableHandbook[],5,FALSE)),"")</f>
        <v>25</v>
      </c>
      <c r="H62" s="59" t="str">
        <f>IFERROR(VLOOKUP($A62,TableHandbook[],H$2,FALSE),"")</f>
        <v/>
      </c>
      <c r="I62" s="47" t="str">
        <f>IFERROR(VLOOKUP($A62,TableHandbook[],I$2,FALSE),"")</f>
        <v/>
      </c>
      <c r="J62" s="47" t="str">
        <f>IFERROR(VLOOKUP($A62,TableHandbook[],J$2,FALSE),"")</f>
        <v>Y</v>
      </c>
      <c r="K62" s="60" t="str">
        <f>IFERROR(VLOOKUP($A62,TableHandbook[],K$2,FALSE),"")</f>
        <v>Y</v>
      </c>
      <c r="L62" s="46"/>
      <c r="M62" s="117">
        <v>32</v>
      </c>
      <c r="N62" s="15"/>
      <c r="O62" s="15"/>
      <c r="P62" s="15"/>
      <c r="Q62" s="15"/>
      <c r="R62" s="15"/>
      <c r="S62" s="15"/>
      <c r="T62" s="15"/>
      <c r="U62" s="15"/>
      <c r="V62" s="15"/>
      <c r="W62" s="15"/>
    </row>
    <row r="63" spans="1:23" ht="15.6" x14ac:dyDescent="0.3">
      <c r="A63"/>
      <c r="B63"/>
      <c r="C63"/>
      <c r="D63"/>
      <c r="E63"/>
      <c r="F63"/>
      <c r="G63"/>
      <c r="H63"/>
      <c r="I63"/>
      <c r="J63"/>
      <c r="K63"/>
      <c r="L63"/>
      <c r="M63" s="117"/>
      <c r="N63" s="15"/>
      <c r="O63" s="15"/>
      <c r="P63" s="15"/>
      <c r="Q63" s="15"/>
      <c r="R63" s="15"/>
      <c r="S63" s="15"/>
      <c r="T63" s="15"/>
      <c r="U63" s="15"/>
      <c r="V63" s="15"/>
      <c r="W63" s="15"/>
    </row>
    <row r="64" spans="1:23" s="15" customFormat="1" ht="32.25" customHeight="1" x14ac:dyDescent="0.3">
      <c r="A64" s="299" t="s">
        <v>31</v>
      </c>
      <c r="B64" s="299"/>
      <c r="C64" s="299"/>
      <c r="D64" s="299"/>
      <c r="E64" s="299"/>
      <c r="F64" s="299"/>
      <c r="G64" s="299"/>
      <c r="H64" s="299"/>
      <c r="I64" s="299"/>
      <c r="J64" s="299"/>
      <c r="K64" s="299"/>
      <c r="L64" s="299"/>
    </row>
    <row r="65" spans="1:23" s="34" customFormat="1" ht="24.9" customHeight="1" x14ac:dyDescent="0.4">
      <c r="A65" s="30" t="s">
        <v>32</v>
      </c>
      <c r="B65" s="30"/>
      <c r="C65" s="30"/>
      <c r="D65" s="31"/>
      <c r="E65" s="31"/>
      <c r="F65" s="31"/>
      <c r="G65" s="31"/>
      <c r="H65" s="31"/>
      <c r="I65" s="31"/>
      <c r="J65" s="31"/>
      <c r="K65" s="31"/>
      <c r="L65" s="31"/>
      <c r="M65" s="120"/>
      <c r="N65" s="32"/>
      <c r="O65" s="32"/>
      <c r="P65" s="33"/>
      <c r="Q65" s="33"/>
      <c r="R65" s="33"/>
      <c r="S65" s="33"/>
      <c r="T65" s="33"/>
      <c r="U65" s="33"/>
      <c r="V65" s="33"/>
      <c r="W65" s="33"/>
    </row>
    <row r="66" spans="1:23" s="15" customFormat="1" ht="15" customHeight="1" x14ac:dyDescent="0.3">
      <c r="A66" s="35" t="s">
        <v>33</v>
      </c>
      <c r="B66" s="35"/>
      <c r="C66" s="35"/>
      <c r="D66" s="35"/>
      <c r="E66" s="42"/>
      <c r="F66" s="36"/>
      <c r="G66" s="43"/>
      <c r="H66" s="43"/>
      <c r="I66" s="43"/>
      <c r="J66" s="43"/>
      <c r="K66" s="43"/>
      <c r="L66" s="43" t="s">
        <v>34</v>
      </c>
    </row>
  </sheetData>
  <sheetProtection formatCells="0"/>
  <mergeCells count="3">
    <mergeCell ref="A3:D3"/>
    <mergeCell ref="A64:L64"/>
    <mergeCell ref="B7:L7"/>
  </mergeCells>
  <conditionalFormatting sqref="A10:L18 A20:L28 A32:L62">
    <cfRule type="expression" dxfId="117" priority="3">
      <formula>$A10=""</formula>
    </cfRule>
  </conditionalFormatting>
  <conditionalFormatting sqref="A32:L62">
    <cfRule type="expression" dxfId="116" priority="4">
      <formula>LEFT($D32,5)="Study"</formula>
    </cfRule>
  </conditionalFormatting>
  <conditionalFormatting sqref="D5:D6">
    <cfRule type="containsText" dxfId="115" priority="2" operator="containsText" text="Choose">
      <formula>NOT(ISERROR(SEARCH("Choose",D5)))</formula>
    </cfRule>
  </conditionalFormatting>
  <conditionalFormatting sqref="H10:K28">
    <cfRule type="expression" dxfId="114" priority="1">
      <formula>$E10=LEFT(H$9,4)</formula>
    </cfRule>
  </conditionalFormatting>
  <dataValidations count="1">
    <dataValidation type="list" allowBlank="1" showInputMessage="1" showErrorMessage="1" sqref="L24 L14" xr:uid="{00000000-0002-0000-0600-000000000000}"/>
  </dataValidations>
  <hyperlinks>
    <hyperlink ref="A65:L65"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6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Unitsets!$A$47:$A$49</xm:f>
          </x14:formula1>
          <xm:sqref>D6</xm:sqref>
        </x14:dataValidation>
        <x14:dataValidation type="list" showInputMessage="1" showErrorMessage="1" xr:uid="{00000000-0002-0000-0600-000002000000}">
          <x14:formula1>
            <xm:f>'Unitsets Other'!$A$150:$A$154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W41"/>
  <sheetViews>
    <sheetView showGridLines="0" topLeftCell="A3" zoomScaleNormal="100" workbookViewId="0">
      <selection activeCell="B61" sqref="B61"/>
    </sheetView>
  </sheetViews>
  <sheetFormatPr defaultColWidth="9" defaultRowHeight="14.4" x14ac:dyDescent="0.3"/>
  <cols>
    <col min="1" max="1" width="10.69921875" style="9" customWidth="1"/>
    <col min="2" max="2" width="3.19921875" style="9" customWidth="1"/>
    <col min="3" max="3" width="5.8984375" style="9" customWidth="1"/>
    <col min="4" max="4" width="49" style="8" bestFit="1" customWidth="1"/>
    <col min="5" max="5" width="7.19921875" style="8" customWidth="1"/>
    <col min="6" max="6" width="24.59765625" style="8" customWidth="1"/>
    <col min="7" max="7" width="5.59765625" style="8" customWidth="1"/>
    <col min="8" max="11" width="4.59765625" style="8" customWidth="1"/>
    <col min="12" max="12" width="18.59765625" style="8" customWidth="1"/>
    <col min="13" max="13" width="2.5" style="8" hidden="1" customWidth="1"/>
    <col min="14" max="16384" width="9" style="8"/>
  </cols>
  <sheetData>
    <row r="1" spans="1:23" hidden="1" x14ac:dyDescent="0.3">
      <c r="A1" s="4" t="s">
        <v>0</v>
      </c>
      <c r="B1" s="5" t="s">
        <v>1</v>
      </c>
      <c r="C1" s="5" t="s">
        <v>2</v>
      </c>
      <c r="D1" s="6" t="s">
        <v>3</v>
      </c>
      <c r="E1" s="6"/>
      <c r="F1" s="6" t="s">
        <v>4</v>
      </c>
      <c r="G1" s="6" t="s">
        <v>5</v>
      </c>
      <c r="H1" s="7" t="s">
        <v>6</v>
      </c>
      <c r="I1" s="6"/>
      <c r="J1" s="6"/>
      <c r="K1" s="6"/>
      <c r="L1" s="6" t="s">
        <v>7</v>
      </c>
      <c r="M1" s="118"/>
    </row>
    <row r="2" spans="1:23" hidden="1" x14ac:dyDescent="0.3">
      <c r="A2" s="105"/>
      <c r="B2" s="142">
        <v>2</v>
      </c>
      <c r="C2" s="142">
        <v>3</v>
      </c>
      <c r="D2" s="142">
        <v>4</v>
      </c>
      <c r="E2" s="142"/>
      <c r="F2" s="142">
        <v>6</v>
      </c>
      <c r="G2" s="142">
        <v>5</v>
      </c>
      <c r="H2" s="142">
        <v>7</v>
      </c>
      <c r="I2" s="142">
        <v>8</v>
      </c>
      <c r="J2" s="142">
        <v>9</v>
      </c>
      <c r="K2" s="142">
        <v>10</v>
      </c>
      <c r="L2" s="106"/>
      <c r="M2" s="118"/>
    </row>
    <row r="3" spans="1:23" ht="39.9" customHeight="1" x14ac:dyDescent="0.3">
      <c r="A3" s="295" t="s">
        <v>8</v>
      </c>
      <c r="B3" s="295"/>
      <c r="C3" s="295"/>
      <c r="D3" s="295"/>
      <c r="E3" s="121"/>
      <c r="F3" s="121"/>
      <c r="G3" s="121"/>
      <c r="H3" s="121"/>
      <c r="I3" s="121"/>
      <c r="J3" s="121"/>
      <c r="K3" s="121"/>
      <c r="L3" s="121"/>
      <c r="M3" s="118"/>
    </row>
    <row r="4" spans="1:23" ht="24.6" x14ac:dyDescent="0.3">
      <c r="A4" s="182"/>
      <c r="B4" s="183"/>
      <c r="C4" s="183"/>
      <c r="D4" s="184"/>
      <c r="E4" s="185" t="s">
        <v>254</v>
      </c>
      <c r="F4" s="183"/>
      <c r="G4" s="186"/>
      <c r="H4" s="186"/>
      <c r="I4" s="186"/>
      <c r="J4" s="186"/>
      <c r="K4" s="186"/>
      <c r="L4" s="186"/>
      <c r="M4" s="118"/>
    </row>
    <row r="5" spans="1:23" ht="20.100000000000001" customHeight="1" x14ac:dyDescent="0.3">
      <c r="B5" s="10"/>
      <c r="C5" s="104" t="s">
        <v>10</v>
      </c>
      <c r="D5" s="164" t="s">
        <v>88</v>
      </c>
      <c r="E5" s="11"/>
      <c r="F5" s="104" t="s">
        <v>12</v>
      </c>
      <c r="G5" s="11" t="str">
        <f>IFERROR(CONCATENATE(VLOOKUP(D5,TableCourses[],2,FALSE)," ",VLOOKUP(D5,TableCourses[],3,FALSE)),"")</f>
        <v>GC-HRIGHT v.1</v>
      </c>
      <c r="H5" s="11"/>
      <c r="I5" s="11"/>
      <c r="J5" s="11"/>
      <c r="K5" s="11"/>
      <c r="L5" s="291" t="str">
        <f>CONCATENATE(VLOOKUP(D5,TableCourses[],2,FALSE),VLOOKUP(D6,TableStudyPeriods[],2,FALSE))</f>
        <v>GC-HRIGHTSem2</v>
      </c>
      <c r="M5" s="118"/>
    </row>
    <row r="6" spans="1:23" ht="20.100000000000001" customHeight="1" thickBot="1" x14ac:dyDescent="0.35">
      <c r="A6" s="12"/>
      <c r="B6" s="13"/>
      <c r="C6" s="104" t="s">
        <v>16</v>
      </c>
      <c r="D6" s="11" t="s">
        <v>228</v>
      </c>
      <c r="E6" s="14"/>
      <c r="F6" s="104" t="s">
        <v>18</v>
      </c>
      <c r="G6" s="11" t="str">
        <f>IFERROR(VLOOKUP($D$5,TableCourses[],7,FALSE),"")</f>
        <v>100 credit points required</v>
      </c>
      <c r="H6" s="61"/>
      <c r="I6" s="61"/>
      <c r="J6" s="61"/>
      <c r="K6" s="61"/>
      <c r="L6" s="61"/>
      <c r="M6" s="119"/>
      <c r="N6" s="15"/>
      <c r="O6" s="15"/>
      <c r="P6" s="15"/>
      <c r="Q6" s="15"/>
      <c r="R6" s="15"/>
      <c r="S6" s="15"/>
      <c r="T6" s="15"/>
      <c r="U6" s="15"/>
      <c r="V6" s="15"/>
      <c r="W6" s="15"/>
    </row>
    <row r="7" spans="1:23" ht="50.1" customHeight="1" thickBot="1" x14ac:dyDescent="0.35">
      <c r="A7" s="241" t="s">
        <v>19</v>
      </c>
      <c r="B7" s="297" t="str">
        <f>IFERROR(VLOOKUP($L$30,RangeStructureNotes,2,FALSE),"")</f>
        <v>This fee paying course is only available for part-time study and the minimum completion time is 1 year.</v>
      </c>
      <c r="C7" s="297"/>
      <c r="D7" s="297"/>
      <c r="E7" s="297"/>
      <c r="F7" s="297"/>
      <c r="G7" s="297"/>
      <c r="H7" s="297"/>
      <c r="I7" s="297"/>
      <c r="J7" s="297"/>
      <c r="K7" s="297"/>
      <c r="L7" s="298"/>
      <c r="M7" s="119"/>
      <c r="N7" s="15"/>
      <c r="O7" s="15"/>
      <c r="P7" s="15"/>
      <c r="Q7" s="15"/>
      <c r="R7" s="15"/>
      <c r="S7" s="15"/>
      <c r="T7" s="15"/>
      <c r="U7" s="15"/>
      <c r="V7" s="15"/>
      <c r="W7" s="15"/>
    </row>
    <row r="8" spans="1:23" s="18" customFormat="1" ht="14.1" customHeight="1" x14ac:dyDescent="0.3">
      <c r="A8" s="132"/>
      <c r="B8" s="132"/>
      <c r="C8" s="132"/>
      <c r="D8" s="133"/>
      <c r="E8" s="134"/>
      <c r="F8" s="132"/>
      <c r="G8" s="132"/>
      <c r="H8" s="159" t="s">
        <v>20</v>
      </c>
      <c r="I8" s="135"/>
      <c r="J8" s="135"/>
      <c r="K8" s="136"/>
      <c r="L8" s="137"/>
      <c r="M8" s="116"/>
      <c r="N8" s="16"/>
      <c r="O8" s="16"/>
      <c r="P8" s="17"/>
      <c r="Q8" s="17"/>
      <c r="R8" s="17"/>
      <c r="S8" s="17"/>
      <c r="T8" s="17"/>
      <c r="U8" s="17"/>
      <c r="V8" s="17"/>
      <c r="W8" s="17"/>
    </row>
    <row r="9" spans="1:23" s="18" customFormat="1" ht="22.8" x14ac:dyDescent="0.3">
      <c r="A9" s="132" t="s">
        <v>21</v>
      </c>
      <c r="B9" s="132"/>
      <c r="C9" s="132"/>
      <c r="D9" s="133" t="s">
        <v>3</v>
      </c>
      <c r="E9" s="138" t="s">
        <v>22</v>
      </c>
      <c r="F9" s="192" t="s">
        <v>23</v>
      </c>
      <c r="G9" s="132" t="s">
        <v>24</v>
      </c>
      <c r="H9" s="139" t="s">
        <v>25</v>
      </c>
      <c r="I9" s="214" t="s">
        <v>26</v>
      </c>
      <c r="J9" s="138" t="s">
        <v>27</v>
      </c>
      <c r="K9" s="140" t="s">
        <v>28</v>
      </c>
      <c r="L9" s="141" t="s">
        <v>29</v>
      </c>
      <c r="M9" s="116"/>
      <c r="N9" s="16"/>
      <c r="O9" s="16"/>
      <c r="P9" s="17"/>
      <c r="Q9" s="17"/>
      <c r="R9" s="17"/>
      <c r="S9" s="17"/>
      <c r="T9" s="17"/>
      <c r="U9" s="17"/>
      <c r="V9" s="17"/>
      <c r="W9" s="17"/>
    </row>
    <row r="10" spans="1:23" s="21" customFormat="1" ht="20.100000000000001" customHeight="1" x14ac:dyDescent="0.25">
      <c r="A10" s="51" t="str">
        <f>IFERROR(IF(HLOOKUP($L$5,RangeHRIGHTUnitsets,M10,FALSE)=0,"",HLOOKUP($L$5,RangeHRIGHTUnitsets,M10,FALSE)),"")</f>
        <v>-PT-</v>
      </c>
      <c r="B10" s="45" t="str">
        <f>IFERROR(IF(VLOOKUP($A10,TableHandbook[],2,FALSE)=0,"",VLOOKUP($A10,TableHandbook[],2,FALSE)),"")</f>
        <v/>
      </c>
      <c r="C10" s="45" t="str">
        <f>IFERROR(IF(VLOOKUP($A10,TableHandbook[],3,FALSE)=0,"",VLOOKUP($A10,TableHandbook[],3,FALSE)),"")</f>
        <v/>
      </c>
      <c r="D10" s="52" t="str">
        <f>IFERROR(IF(VLOOKUP($A10,TableHandbook[],4,FALSE)=0,"",VLOOKUP($A10,TableHandbook[],4,FALSE)),"")</f>
        <v>Only available PART-TIME, study 100CPs from Option list below</v>
      </c>
      <c r="E10" s="45" t="str">
        <f>IF(OR(A10="",A10="*-*"),"",VLOOKUP($D$6,TableStudyPeriods[],2,FALSE))</f>
        <v>Sem2</v>
      </c>
      <c r="F10" s="197" t="str">
        <f>IFERROR(IF(VLOOKUP($A10,TableHandbook[],6,FALSE)=0,"",VLOOKUP($A10,TableHandbook[],6,FALSE)),"")</f>
        <v/>
      </c>
      <c r="G10" s="45">
        <f>IFERROR(IF(VLOOKUP($A10,TableHandbook[],5,FALSE)=0,"",VLOOKUP($A10,TableHandbook[],5,FALSE)),"")</f>
        <v>100</v>
      </c>
      <c r="H10" s="55" t="str">
        <f>IFERROR(VLOOKUP($A10,TableHandbook[],H$2,FALSE),"")</f>
        <v/>
      </c>
      <c r="I10" s="215" t="str">
        <f>IFERROR(VLOOKUP($A10,TableHandbook[],I$2,FALSE),"")</f>
        <v/>
      </c>
      <c r="J10" s="45" t="str">
        <f>IFERROR(VLOOKUP($A10,TableHandbook[],J$2,FALSE),"")</f>
        <v/>
      </c>
      <c r="K10" s="56" t="str">
        <f>IFERROR(VLOOKUP($A10,TableHandbook[],K$2,FALSE),"")</f>
        <v/>
      </c>
      <c r="L10" s="53"/>
      <c r="M10" s="117">
        <v>2</v>
      </c>
      <c r="N10" s="19"/>
      <c r="O10" s="19"/>
      <c r="P10" s="20"/>
      <c r="Q10" s="20"/>
      <c r="R10" s="20"/>
      <c r="S10" s="20"/>
      <c r="T10" s="20"/>
      <c r="U10" s="20"/>
      <c r="V10" s="20"/>
      <c r="W10" s="20"/>
    </row>
    <row r="11" spans="1:23" s="21" customFormat="1" ht="20.100000000000001" customHeight="1" x14ac:dyDescent="0.25">
      <c r="A11" s="51" t="str">
        <f>IFERROR(IF(HLOOKUP($L$5,RangeHRIGHTUnitsets,M11,FALSE)=0,"",HLOOKUP($L$5,RangeHRIGHTUnitsets,M11,FALSE)),"")</f>
        <v xml:space="preserve"> </v>
      </c>
      <c r="B11" s="45" t="str">
        <f>IFERROR(IF(VLOOKUP($A11,TableHandbook[],2,FALSE)=0,"",VLOOKUP($A11,TableHandbook[],2,FALSE)),"")</f>
        <v/>
      </c>
      <c r="C11" s="45" t="str">
        <f>IFERROR(IF(VLOOKUP($A11,TableHandbook[],3,FALSE)=0,"",VLOOKUP($A11,TableHandbook[],3,FALSE)),"")</f>
        <v/>
      </c>
      <c r="D11" s="52" t="str">
        <f>IFERROR(IF(VLOOKUP($A11,TableHandbook[],4,FALSE)=0,"",VLOOKUP($A11,TableHandbook[],4,FALSE)),"")</f>
        <v/>
      </c>
      <c r="E11" s="45" t="str">
        <f>IF(OR(A11="",A11="-",A11=" "),"",E10)</f>
        <v/>
      </c>
      <c r="F11" s="197" t="str">
        <f>IFERROR(IF(VLOOKUP($A11,TableHandbook[],6,FALSE)=0,"",VLOOKUP($A11,TableHandbook[],6,FALSE)),"")</f>
        <v/>
      </c>
      <c r="G11" s="45" t="str">
        <f>IFERROR(IF(VLOOKUP($A11,TableHandbook[],5,FALSE)=0,"",VLOOKUP($A11,TableHandbook[],5,FALSE)),"")</f>
        <v/>
      </c>
      <c r="H11" s="55" t="str">
        <f>IFERROR(VLOOKUP($A11,TableHandbook[],H$2,FALSE),"")</f>
        <v/>
      </c>
      <c r="I11" s="215" t="str">
        <f>IFERROR(VLOOKUP($A11,TableHandbook[],I$2,FALSE),"")</f>
        <v/>
      </c>
      <c r="J11" s="45" t="str">
        <f>IFERROR(VLOOKUP($A11,TableHandbook[],J$2,FALSE),"")</f>
        <v/>
      </c>
      <c r="K11" s="56" t="str">
        <f>IFERROR(VLOOKUP($A11,TableHandbook[],K$2,FALSE),"")</f>
        <v/>
      </c>
      <c r="L11" s="53"/>
      <c r="M11" s="117">
        <v>3</v>
      </c>
      <c r="N11" s="19"/>
      <c r="O11" s="19"/>
      <c r="P11" s="20"/>
      <c r="Q11" s="20"/>
      <c r="R11" s="20"/>
      <c r="S11" s="20"/>
      <c r="T11" s="20"/>
      <c r="U11" s="20"/>
      <c r="V11" s="20"/>
      <c r="W11" s="20"/>
    </row>
    <row r="12" spans="1:23" s="21" customFormat="1" ht="20.100000000000001" customHeight="1" x14ac:dyDescent="0.25">
      <c r="A12" s="51" t="str">
        <f>IFERROR(IF(HLOOKUP($L$5,RangeHRIGHTUnitsets,M12,FALSE)=0,"",HLOOKUP($L$5,RangeHRIGHTUnitsets,M12,FALSE)),"")</f>
        <v/>
      </c>
      <c r="B12" s="45" t="str">
        <f>IFERROR(IF(VLOOKUP($A12,TableHandbook[],2,FALSE)=0,"",VLOOKUP($A12,TableHandbook[],2,FALSE)),"")</f>
        <v/>
      </c>
      <c r="C12" s="45" t="str">
        <f>IFERROR(IF(VLOOKUP($A12,TableHandbook[],3,FALSE)=0,"",VLOOKUP($A12,TableHandbook[],3,FALSE)),"")</f>
        <v/>
      </c>
      <c r="D12" s="52" t="str">
        <f>IFERROR(IF(VLOOKUP($A12,TableHandbook[],4,FALSE)=0,"",VLOOKUP($A12,TableHandbook[],4,FALSE)),"")</f>
        <v/>
      </c>
      <c r="E12" s="45" t="str">
        <f t="shared" ref="E12:E13" si="0">IF(OR(A12="",A12="-",A12=" "),"",E11)</f>
        <v/>
      </c>
      <c r="F12" s="197" t="str">
        <f>IFERROR(IF(VLOOKUP($A12,TableHandbook[],6,FALSE)=0,"",VLOOKUP($A12,TableHandbook[],6,FALSE)),"")</f>
        <v/>
      </c>
      <c r="G12" s="45" t="str">
        <f>IFERROR(IF(VLOOKUP($A12,TableHandbook[],5,FALSE)=0,"",VLOOKUP($A12,TableHandbook[],5,FALSE)),"")</f>
        <v/>
      </c>
      <c r="H12" s="55" t="str">
        <f>IFERROR(VLOOKUP($A12,TableHandbook[],H$2,FALSE),"")</f>
        <v/>
      </c>
      <c r="I12" s="215" t="str">
        <f>IFERROR(VLOOKUP($A12,TableHandbook[],I$2,FALSE),"")</f>
        <v/>
      </c>
      <c r="J12" s="45" t="str">
        <f>IFERROR(VLOOKUP($A12,TableHandbook[],J$2,FALSE),"")</f>
        <v/>
      </c>
      <c r="K12" s="56" t="str">
        <f>IFERROR(VLOOKUP($A12,TableHandbook[],K$2,FALSE),"")</f>
        <v/>
      </c>
      <c r="L12" s="54"/>
      <c r="M12" s="117">
        <v>4</v>
      </c>
      <c r="N12" s="19"/>
      <c r="O12" s="19"/>
      <c r="P12" s="20"/>
      <c r="Q12" s="20"/>
      <c r="R12" s="20"/>
      <c r="S12" s="20"/>
      <c r="T12" s="20"/>
      <c r="U12" s="20"/>
      <c r="V12" s="20"/>
      <c r="W12" s="20"/>
    </row>
    <row r="13" spans="1:23" s="21" customFormat="1" ht="20.100000000000001" customHeight="1" x14ac:dyDescent="0.25">
      <c r="A13" s="51" t="str">
        <f>IFERROR(IF(HLOOKUP($L$5,RangeHRIGHTUnitsets,M13,FALSE)=0,"",HLOOKUP($L$5,RangeHRIGHTUnitsets,M13,FALSE)),"")</f>
        <v/>
      </c>
      <c r="B13" s="45" t="str">
        <f>IFERROR(IF(VLOOKUP($A13,TableHandbook[],2,FALSE)=0,"",VLOOKUP($A13,TableHandbook[],2,FALSE)),"")</f>
        <v/>
      </c>
      <c r="C13" s="45" t="str">
        <f>IFERROR(IF(VLOOKUP($A13,TableHandbook[],3,FALSE)=0,"",VLOOKUP($A13,TableHandbook[],3,FALSE)),"")</f>
        <v/>
      </c>
      <c r="D13" s="52" t="str">
        <f>IFERROR(IF(VLOOKUP($A13,TableHandbook[],4,FALSE)=0,"",VLOOKUP($A13,TableHandbook[],4,FALSE)),"")</f>
        <v/>
      </c>
      <c r="E13" s="45" t="str">
        <f t="shared" si="0"/>
        <v/>
      </c>
      <c r="F13" s="197" t="str">
        <f>IFERROR(IF(VLOOKUP($A13,TableHandbook[],6,FALSE)=0,"",VLOOKUP($A13,TableHandbook[],6,FALSE)),"")</f>
        <v/>
      </c>
      <c r="G13" s="45" t="str">
        <f>IFERROR(IF(VLOOKUP($A13,TableHandbook[],5,FALSE)=0,"",VLOOKUP($A13,TableHandbook[],5,FALSE)),"")</f>
        <v/>
      </c>
      <c r="H13" s="55" t="str">
        <f>IFERROR(VLOOKUP($A13,TableHandbook[],H$2,FALSE),"")</f>
        <v/>
      </c>
      <c r="I13" s="215" t="str">
        <f>IFERROR(VLOOKUP($A13,TableHandbook[],I$2,FALSE),"")</f>
        <v/>
      </c>
      <c r="J13" s="45" t="str">
        <f>IFERROR(VLOOKUP($A13,TableHandbook[],J$2,FALSE),"")</f>
        <v/>
      </c>
      <c r="K13" s="56" t="str">
        <f>IFERROR(VLOOKUP($A13,TableHandbook[],K$2,FALSE),"")</f>
        <v/>
      </c>
      <c r="L13" s="53"/>
      <c r="M13" s="117">
        <v>5</v>
      </c>
      <c r="N13" s="19"/>
      <c r="O13" s="19"/>
      <c r="P13" s="20"/>
      <c r="Q13" s="20"/>
      <c r="R13" s="20"/>
      <c r="S13" s="20"/>
      <c r="T13" s="20"/>
      <c r="U13" s="20"/>
      <c r="V13" s="20"/>
      <c r="W13" s="20"/>
    </row>
    <row r="14" spans="1:23" s="21" customFormat="1" ht="5.0999999999999996" customHeight="1" x14ac:dyDescent="0.25">
      <c r="A14" s="22"/>
      <c r="B14" s="23"/>
      <c r="C14" s="23"/>
      <c r="D14" s="24"/>
      <c r="E14" s="23"/>
      <c r="F14" s="200"/>
      <c r="G14" s="23"/>
      <c r="H14" s="57"/>
      <c r="I14" s="218"/>
      <c r="J14" s="23"/>
      <c r="K14" s="58"/>
      <c r="L14" s="26"/>
      <c r="M14" s="117"/>
      <c r="N14" s="19"/>
      <c r="O14" s="19"/>
      <c r="P14" s="19"/>
      <c r="Q14" s="20"/>
      <c r="R14" s="20"/>
      <c r="S14" s="20"/>
      <c r="T14" s="20"/>
      <c r="U14" s="20"/>
      <c r="V14" s="20"/>
      <c r="W14" s="20"/>
    </row>
    <row r="15" spans="1:23" s="21" customFormat="1" ht="20.100000000000001" customHeight="1" x14ac:dyDescent="0.25">
      <c r="A15" s="51" t="str">
        <f>IFERROR(IF(HLOOKUP($L$5,RangeHRIGHTUnitsets,M15,FALSE)=0,"",HLOOKUP($L$5,RangeHRIGHTUnitsets,M15,FALSE)),"")</f>
        <v/>
      </c>
      <c r="B15" s="47" t="str">
        <f>IFERROR(IF(VLOOKUP($A15,TableHandbook[],2,FALSE)=0,"",VLOOKUP($A15,TableHandbook[],2,FALSE)),"")</f>
        <v/>
      </c>
      <c r="C15" s="47" t="str">
        <f>IFERROR(IF(VLOOKUP($A15,TableHandbook[],3,FALSE)=0,"",VLOOKUP($A15,TableHandbook[],3,FALSE)),"")</f>
        <v/>
      </c>
      <c r="D15" s="52" t="str">
        <f>IFERROR(IF(VLOOKUP($A15,TableHandbook[],4,FALSE)=0,"",VLOOKUP($A15,TableHandbook[],4,FALSE)),"")</f>
        <v/>
      </c>
      <c r="E15" s="45" t="str">
        <f>IF(A15="","",VLOOKUP($D$6,TableStudyPeriods[],3,FALSE))</f>
        <v/>
      </c>
      <c r="F15" s="197" t="str">
        <f>IFERROR(IF(VLOOKUP($A15,TableHandbook[],6,FALSE)=0,"",VLOOKUP($A15,TableHandbook[],6,FALSE)),"")</f>
        <v/>
      </c>
      <c r="G15" s="47" t="str">
        <f>IFERROR(IF(VLOOKUP($A15,TableHandbook[],5,FALSE)=0,"",VLOOKUP($A15,TableHandbook[],5,FALSE)),"")</f>
        <v/>
      </c>
      <c r="H15" s="59" t="str">
        <f>IFERROR(VLOOKUP($A15,TableHandbook[],H$2,FALSE),"")</f>
        <v/>
      </c>
      <c r="I15" s="216" t="str">
        <f>IFERROR(VLOOKUP($A15,TableHandbook[],I$2,FALSE),"")</f>
        <v/>
      </c>
      <c r="J15" s="47" t="str">
        <f>IFERROR(VLOOKUP($A15,TableHandbook[],J$2,FALSE),"")</f>
        <v/>
      </c>
      <c r="K15" s="60" t="str">
        <f>IFERROR(VLOOKUP($A15,TableHandbook[],K$2,FALSE),"")</f>
        <v/>
      </c>
      <c r="L15" s="54"/>
      <c r="M15" s="117">
        <v>6</v>
      </c>
      <c r="N15" s="19"/>
      <c r="O15" s="19"/>
      <c r="P15" s="20"/>
      <c r="Q15" s="20"/>
      <c r="R15" s="20"/>
      <c r="S15" s="20"/>
      <c r="T15" s="20"/>
      <c r="U15" s="20"/>
      <c r="V15" s="20"/>
      <c r="W15" s="20"/>
    </row>
    <row r="16" spans="1:23" s="29" customFormat="1" ht="20.100000000000001" customHeight="1" x14ac:dyDescent="0.25">
      <c r="A16" s="51" t="str">
        <f>IFERROR(IF(HLOOKUP($L$5,RangeHRIGHTUnitsets,M16,FALSE)=0,"",HLOOKUP($L$5,RangeHRIGHTUnitsets,M16,FALSE)),"")</f>
        <v/>
      </c>
      <c r="B16" s="47" t="str">
        <f>IFERROR(IF(VLOOKUP($A16,TableHandbook[],2,FALSE)=0,"",VLOOKUP($A16,TableHandbook[],2,FALSE)),"")</f>
        <v/>
      </c>
      <c r="C16" s="47" t="str">
        <f>IFERROR(IF(VLOOKUP($A16,TableHandbook[],3,FALSE)=0,"",VLOOKUP($A16,TableHandbook[],3,FALSE)),"")</f>
        <v/>
      </c>
      <c r="D16" s="52" t="str">
        <f>IFERROR(IF(VLOOKUP($A16,TableHandbook[],4,FALSE)=0,"",VLOOKUP($A16,TableHandbook[],4,FALSE)),"")</f>
        <v/>
      </c>
      <c r="E16" s="45" t="str">
        <f>IF(OR(A16="",A16="-",A16=" "),"",E15)</f>
        <v/>
      </c>
      <c r="F16" s="197" t="str">
        <f>IFERROR(IF(VLOOKUP($A16,TableHandbook[],6,FALSE)=0,"",VLOOKUP($A16,TableHandbook[],6,FALSE)),"")</f>
        <v/>
      </c>
      <c r="G16" s="47" t="str">
        <f>IFERROR(IF(VLOOKUP($A16,TableHandbook[],5,FALSE)=0,"",VLOOKUP($A16,TableHandbook[],5,FALSE)),"")</f>
        <v/>
      </c>
      <c r="H16" s="59" t="str">
        <f>IFERROR(VLOOKUP($A16,TableHandbook[],H$2,FALSE),"")</f>
        <v/>
      </c>
      <c r="I16" s="216" t="str">
        <f>IFERROR(VLOOKUP($A16,TableHandbook[],I$2,FALSE),"")</f>
        <v/>
      </c>
      <c r="J16" s="47" t="str">
        <f>IFERROR(VLOOKUP($A16,TableHandbook[],J$2,FALSE),"")</f>
        <v/>
      </c>
      <c r="K16" s="60" t="str">
        <f>IFERROR(VLOOKUP($A16,TableHandbook[],K$2,FALSE),"")</f>
        <v/>
      </c>
      <c r="L16" s="54"/>
      <c r="M16" s="117">
        <v>7</v>
      </c>
      <c r="N16" s="27"/>
      <c r="O16" s="27"/>
      <c r="P16" s="28"/>
      <c r="Q16" s="28"/>
      <c r="R16" s="28"/>
      <c r="S16" s="28"/>
      <c r="T16" s="28"/>
      <c r="U16" s="28"/>
      <c r="V16" s="28"/>
      <c r="W16" s="28"/>
    </row>
    <row r="17" spans="1:23" s="29" customFormat="1" ht="20.100000000000001" customHeight="1" x14ac:dyDescent="0.25">
      <c r="A17" s="51" t="str">
        <f>IFERROR(IF(HLOOKUP($L$5,RangeHRIGHTUnitsets,M17,FALSE)=0,"",HLOOKUP($L$5,RangeHRIGHTUnitsets,M17,FALSE)),"")</f>
        <v/>
      </c>
      <c r="B17" s="47" t="str">
        <f>IFERROR(IF(VLOOKUP($A17,TableHandbook[],2,FALSE)=0,"",VLOOKUP($A17,TableHandbook[],2,FALSE)),"")</f>
        <v/>
      </c>
      <c r="C17" s="47" t="str">
        <f>IFERROR(IF(VLOOKUP($A17,TableHandbook[],3,FALSE)=0,"",VLOOKUP($A17,TableHandbook[],3,FALSE)),"")</f>
        <v/>
      </c>
      <c r="D17" s="52" t="str">
        <f>IFERROR(IF(VLOOKUP($A17,TableHandbook[],4,FALSE)=0,"",VLOOKUP($A17,TableHandbook[],4,FALSE)),"")</f>
        <v/>
      </c>
      <c r="E17" s="45" t="str">
        <f t="shared" ref="E17:E18" si="1">IF(OR(A17="",A17="-",A17=" "),"",E16)</f>
        <v/>
      </c>
      <c r="F17" s="197" t="str">
        <f>IFERROR(IF(VLOOKUP($A17,TableHandbook[],6,FALSE)=0,"",VLOOKUP($A17,TableHandbook[],6,FALSE)),"")</f>
        <v/>
      </c>
      <c r="G17" s="47" t="str">
        <f>IFERROR(IF(VLOOKUP($A17,TableHandbook[],5,FALSE)=0,"",VLOOKUP($A17,TableHandbook[],5,FALSE)),"")</f>
        <v/>
      </c>
      <c r="H17" s="59" t="str">
        <f>IFERROR(VLOOKUP($A17,TableHandbook[],H$2,FALSE),"")</f>
        <v/>
      </c>
      <c r="I17" s="216" t="str">
        <f>IFERROR(VLOOKUP($A17,TableHandbook[],I$2,FALSE),"")</f>
        <v/>
      </c>
      <c r="J17" s="47" t="str">
        <f>IFERROR(VLOOKUP($A17,TableHandbook[],J$2,FALSE),"")</f>
        <v/>
      </c>
      <c r="K17" s="60" t="str">
        <f>IFERROR(VLOOKUP($A17,TableHandbook[],K$2,FALSE),"")</f>
        <v/>
      </c>
      <c r="L17" s="54"/>
      <c r="M17" s="117">
        <v>8</v>
      </c>
      <c r="N17" s="27"/>
      <c r="O17" s="27"/>
      <c r="P17" s="28"/>
      <c r="Q17" s="28"/>
      <c r="R17" s="28"/>
      <c r="S17" s="28"/>
      <c r="T17" s="28"/>
      <c r="U17" s="28"/>
      <c r="V17" s="28"/>
      <c r="W17" s="28"/>
    </row>
    <row r="18" spans="1:23" s="29" customFormat="1" ht="20.100000000000001" customHeight="1" x14ac:dyDescent="0.25">
      <c r="A18" s="51" t="str">
        <f>IFERROR(IF(HLOOKUP($L$5,RangeHRIGHTUnitsets,M18,FALSE)=0,"",HLOOKUP($L$5,RangeHRIGHTUnitsets,M18,FALSE)),"")</f>
        <v/>
      </c>
      <c r="B18" s="47" t="str">
        <f>IFERROR(IF(VLOOKUP($A18,TableHandbook[],2,FALSE)=0,"",VLOOKUP($A18,TableHandbook[],2,FALSE)),"")</f>
        <v/>
      </c>
      <c r="C18" s="47" t="str">
        <f>IFERROR(IF(VLOOKUP($A18,TableHandbook[],3,FALSE)=0,"",VLOOKUP($A18,TableHandbook[],3,FALSE)),"")</f>
        <v/>
      </c>
      <c r="D18" s="50" t="str">
        <f>IFERROR(IF(VLOOKUP($A18,TableHandbook[],4,FALSE)=0,"",VLOOKUP($A18,TableHandbook[],4,FALSE)),"")</f>
        <v/>
      </c>
      <c r="E18" s="47" t="str">
        <f t="shared" si="1"/>
        <v/>
      </c>
      <c r="F18" s="197" t="str">
        <f>IFERROR(IF(VLOOKUP($A18,TableHandbook[],6,FALSE)=0,"",VLOOKUP($A18,TableHandbook[],6,FALSE)),"")</f>
        <v/>
      </c>
      <c r="G18" s="47" t="str">
        <f>IFERROR(IF(VLOOKUP($A18,TableHandbook[],5,FALSE)=0,"",VLOOKUP($A18,TableHandbook[],5,FALSE)),"")</f>
        <v/>
      </c>
      <c r="H18" s="59" t="str">
        <f>IFERROR(VLOOKUP($A18,TableHandbook[],H$2,FALSE),"")</f>
        <v/>
      </c>
      <c r="I18" s="216" t="str">
        <f>IFERROR(VLOOKUP($A18,TableHandbook[],I$2,FALSE),"")</f>
        <v/>
      </c>
      <c r="J18" s="47" t="str">
        <f>IFERROR(VLOOKUP($A18,TableHandbook[],J$2,FALSE),"")</f>
        <v/>
      </c>
      <c r="K18" s="60" t="str">
        <f>IFERROR(VLOOKUP($A18,TableHandbook[],K$2,FALSE),"")</f>
        <v/>
      </c>
      <c r="L18" s="54"/>
      <c r="M18" s="117">
        <v>9</v>
      </c>
      <c r="N18" s="27"/>
      <c r="O18" s="27"/>
      <c r="P18" s="28"/>
      <c r="Q18" s="28"/>
      <c r="R18" s="28"/>
      <c r="S18" s="28"/>
      <c r="T18" s="28"/>
      <c r="U18" s="28"/>
      <c r="V18" s="28"/>
      <c r="W18" s="28"/>
    </row>
    <row r="19" spans="1:23" s="18" customFormat="1" ht="22.8" x14ac:dyDescent="0.3">
      <c r="A19" s="132" t="s">
        <v>30</v>
      </c>
      <c r="B19" s="132"/>
      <c r="C19" s="132"/>
      <c r="D19" s="133" t="s">
        <v>3</v>
      </c>
      <c r="E19" s="138" t="s">
        <v>22</v>
      </c>
      <c r="F19" s="192" t="s">
        <v>23</v>
      </c>
      <c r="G19" s="132" t="s">
        <v>24</v>
      </c>
      <c r="H19" s="139" t="str">
        <f>H$9</f>
        <v>Sem1 BEN</v>
      </c>
      <c r="I19" s="214" t="str">
        <f t="shared" ref="I19:L19" si="2">I$9</f>
        <v>Sem1 FO</v>
      </c>
      <c r="J19" s="138" t="str">
        <f t="shared" si="2"/>
        <v>Sem2 BEN</v>
      </c>
      <c r="K19" s="140" t="str">
        <f t="shared" si="2"/>
        <v>Sem2 FO</v>
      </c>
      <c r="L19" s="141" t="str">
        <f t="shared" si="2"/>
        <v>Notes / Progress</v>
      </c>
      <c r="M19" s="116"/>
      <c r="N19" s="16"/>
      <c r="O19" s="16"/>
      <c r="P19" s="17"/>
      <c r="Q19" s="17"/>
      <c r="R19" s="17"/>
      <c r="S19" s="17"/>
      <c r="T19" s="17"/>
      <c r="U19" s="17"/>
      <c r="V19" s="17"/>
      <c r="W19" s="17"/>
    </row>
    <row r="20" spans="1:23" s="21" customFormat="1" ht="20.100000000000001" customHeight="1" x14ac:dyDescent="0.25">
      <c r="A20" s="51" t="str">
        <f>IFERROR(IF(HLOOKUP($L$5,RangeHRIGHTUnitsets,M20,FALSE)=0,"",HLOOKUP($L$5,RangeHRIGHTUnitsets,M20,FALSE)),"")</f>
        <v/>
      </c>
      <c r="B20" s="47" t="str">
        <f>IFERROR(IF(VLOOKUP($A20,TableHandbook[],2,FALSE)=0,"",VLOOKUP($A20,TableHandbook[],2,FALSE)),"")</f>
        <v/>
      </c>
      <c r="C20" s="47" t="str">
        <f>IFERROR(IF(VLOOKUP($A20,TableHandbook[],3,FALSE)=0,"",VLOOKUP($A20,TableHandbook[],3,FALSE)),"")</f>
        <v/>
      </c>
      <c r="D20" s="48" t="str">
        <f>IFERROR(IF(VLOOKUP($A20,TableHandbook[],4,FALSE)=0,"",VLOOKUP($A20,TableHandbook[],4,FALSE)),"")</f>
        <v/>
      </c>
      <c r="E20" s="47" t="str">
        <f>IF(A20="","",VLOOKUP($D$6,TableStudyPeriods[],2,FALSE))</f>
        <v/>
      </c>
      <c r="F20" s="197" t="str">
        <f>IFERROR(IF(VLOOKUP($A20,TableHandbook[],6,FALSE)=0,"",VLOOKUP($A20,TableHandbook[],6,FALSE)),"")</f>
        <v/>
      </c>
      <c r="G20" s="45" t="str">
        <f>IFERROR(IF(VLOOKUP($A20,TableHandbook[],5,FALSE)=0,"",VLOOKUP($A20,TableHandbook[],5,FALSE)),"")</f>
        <v/>
      </c>
      <c r="H20" s="55" t="str">
        <f>IFERROR(VLOOKUP($A20,TableHandbook[],H$2,FALSE),"")</f>
        <v/>
      </c>
      <c r="I20" s="215" t="str">
        <f>IFERROR(VLOOKUP($A20,TableHandbook[],I$2,FALSE),"")</f>
        <v/>
      </c>
      <c r="J20" s="45" t="str">
        <f>IFERROR(VLOOKUP($A20,TableHandbook[],J$2,FALSE),"")</f>
        <v/>
      </c>
      <c r="K20" s="56" t="str">
        <f>IFERROR(VLOOKUP($A20,TableHandbook[],K$2,FALSE),"")</f>
        <v/>
      </c>
      <c r="L20" s="49"/>
      <c r="M20" s="117">
        <v>10</v>
      </c>
      <c r="N20" s="19"/>
      <c r="O20" s="19"/>
      <c r="P20" s="20"/>
      <c r="Q20" s="20"/>
      <c r="R20" s="20"/>
      <c r="S20" s="20"/>
      <c r="T20" s="20"/>
      <c r="U20" s="20"/>
      <c r="V20" s="20"/>
      <c r="W20" s="20"/>
    </row>
    <row r="21" spans="1:23" s="21" customFormat="1" ht="20.100000000000001" customHeight="1" x14ac:dyDescent="0.25">
      <c r="A21" s="51" t="str">
        <f>IFERROR(IF(HLOOKUP($L$5,RangeHRIGHTUnitsets,M21,FALSE)=0,"",HLOOKUP($L$5,RangeHRIGHTUnitsets,M21,FALSE)),"")</f>
        <v/>
      </c>
      <c r="B21" s="47" t="str">
        <f>IFERROR(IF(VLOOKUP($A21,TableHandbook[],2,FALSE)=0,"",VLOOKUP($A21,TableHandbook[],2,FALSE)),"")</f>
        <v/>
      </c>
      <c r="C21" s="47" t="str">
        <f>IFERROR(IF(VLOOKUP($A21,TableHandbook[],3,FALSE)=0,"",VLOOKUP($A21,TableHandbook[],3,FALSE)),"")</f>
        <v/>
      </c>
      <c r="D21" s="50" t="str">
        <f>IFERROR(IF(VLOOKUP($A21,TableHandbook[],4,FALSE)=0,"",VLOOKUP($A21,TableHandbook[],4,FALSE)),"")</f>
        <v/>
      </c>
      <c r="E21" s="47" t="str">
        <f>IF(OR(A21="",A21="-"),"",E20)</f>
        <v/>
      </c>
      <c r="F21" s="197" t="str">
        <f>IFERROR(IF(VLOOKUP($A21,TableHandbook[],6,FALSE)=0,"",VLOOKUP($A21,TableHandbook[],6,FALSE)),"")</f>
        <v/>
      </c>
      <c r="G21" s="45" t="str">
        <f>IFERROR(IF(VLOOKUP($A21,TableHandbook[],5,FALSE)=0,"",VLOOKUP($A21,TableHandbook[],5,FALSE)),"")</f>
        <v/>
      </c>
      <c r="H21" s="55" t="str">
        <f>IFERROR(VLOOKUP($A21,TableHandbook[],H$2,FALSE),"")</f>
        <v/>
      </c>
      <c r="I21" s="215" t="str">
        <f>IFERROR(VLOOKUP($A21,TableHandbook[],I$2,FALSE),"")</f>
        <v/>
      </c>
      <c r="J21" s="45" t="str">
        <f>IFERROR(VLOOKUP($A21,TableHandbook[],J$2,FALSE),"")</f>
        <v/>
      </c>
      <c r="K21" s="56" t="str">
        <f>IFERROR(VLOOKUP($A21,TableHandbook[],K$2,FALSE),"")</f>
        <v/>
      </c>
      <c r="L21" s="49"/>
      <c r="M21" s="117">
        <v>11</v>
      </c>
      <c r="N21" s="19"/>
      <c r="O21" s="19"/>
      <c r="P21" s="20"/>
      <c r="Q21" s="20"/>
      <c r="R21" s="20"/>
      <c r="S21" s="20"/>
      <c r="T21" s="20"/>
      <c r="U21" s="20"/>
      <c r="V21" s="20"/>
      <c r="W21" s="20"/>
    </row>
    <row r="22" spans="1:23" s="21" customFormat="1" ht="20.100000000000001" customHeight="1" x14ac:dyDescent="0.25">
      <c r="A22" s="51" t="str">
        <f>IFERROR(IF(HLOOKUP($L$5,RangeHRIGHTUnitsets,M22,FALSE)=0,"",HLOOKUP($L$5,RangeHRIGHTUnitsets,M22,FALSE)),"")</f>
        <v/>
      </c>
      <c r="B22" s="47" t="str">
        <f>IFERROR(IF(VLOOKUP($A22,TableHandbook[],2,FALSE)=0,"",VLOOKUP($A22,TableHandbook[],2,FALSE)),"")</f>
        <v/>
      </c>
      <c r="C22" s="47" t="str">
        <f>IFERROR(IF(VLOOKUP($A22,TableHandbook[],3,FALSE)=0,"",VLOOKUP($A22,TableHandbook[],3,FALSE)),"")</f>
        <v/>
      </c>
      <c r="D22" s="50" t="str">
        <f>IFERROR(IF(VLOOKUP($A22,TableHandbook[],4,FALSE)=0,"",VLOOKUP($A22,TableHandbook[],4,FALSE)),"")</f>
        <v/>
      </c>
      <c r="E22" s="47" t="str">
        <f t="shared" ref="E22:E23" si="3">IF(OR(A22="",A22="-"),"",E21)</f>
        <v/>
      </c>
      <c r="F22" s="197" t="str">
        <f>IFERROR(IF(VLOOKUP($A22,TableHandbook[],6,FALSE)=0,"",VLOOKUP($A22,TableHandbook[],6,FALSE)),"")</f>
        <v/>
      </c>
      <c r="G22" s="45" t="str">
        <f>IFERROR(IF(VLOOKUP($A22,TableHandbook[],5,FALSE)=0,"",VLOOKUP($A22,TableHandbook[],5,FALSE)),"")</f>
        <v/>
      </c>
      <c r="H22" s="55" t="str">
        <f>IFERROR(VLOOKUP($A22,TableHandbook[],H$2,FALSE),"")</f>
        <v/>
      </c>
      <c r="I22" s="215" t="str">
        <f>IFERROR(VLOOKUP($A22,TableHandbook[],I$2,FALSE),"")</f>
        <v/>
      </c>
      <c r="J22" s="45" t="str">
        <f>IFERROR(VLOOKUP($A22,TableHandbook[],J$2,FALSE),"")</f>
        <v/>
      </c>
      <c r="K22" s="56" t="str">
        <f>IFERROR(VLOOKUP($A22,TableHandbook[],K$2,FALSE),"")</f>
        <v/>
      </c>
      <c r="L22" s="49"/>
      <c r="M22" s="117">
        <v>12</v>
      </c>
      <c r="N22" s="19"/>
      <c r="O22" s="19"/>
      <c r="P22" s="20"/>
      <c r="Q22" s="20"/>
      <c r="R22" s="20"/>
      <c r="S22" s="20"/>
      <c r="T22" s="20"/>
      <c r="U22" s="20"/>
      <c r="V22" s="20"/>
      <c r="W22" s="20"/>
    </row>
    <row r="23" spans="1:23" s="21" customFormat="1" ht="20.100000000000001" customHeight="1" x14ac:dyDescent="0.25">
      <c r="A23" s="51" t="str">
        <f>IFERROR(IF(HLOOKUP($L$5,RangeHRIGHTUnitsets,M23,FALSE)=0,"",HLOOKUP($L$5,RangeHRIGHTUnitsets,M23,FALSE)),"")</f>
        <v/>
      </c>
      <c r="B23" s="47" t="str">
        <f>IFERROR(IF(VLOOKUP($A23,TableHandbook[],2,FALSE)=0,"",VLOOKUP($A23,TableHandbook[],2,FALSE)),"")</f>
        <v/>
      </c>
      <c r="C23" s="47" t="str">
        <f>IFERROR(IF(VLOOKUP($A23,TableHandbook[],3,FALSE)=0,"",VLOOKUP($A23,TableHandbook[],3,FALSE)),"")</f>
        <v/>
      </c>
      <c r="D23" s="50" t="str">
        <f>IFERROR(IF(VLOOKUP($A23,TableHandbook[],4,FALSE)=0,"",VLOOKUP($A23,TableHandbook[],4,FALSE)),"")</f>
        <v/>
      </c>
      <c r="E23" s="47" t="str">
        <f t="shared" si="3"/>
        <v/>
      </c>
      <c r="F23" s="197" t="str">
        <f>IFERROR(IF(VLOOKUP($A23,TableHandbook[],6,FALSE)=0,"",VLOOKUP($A23,TableHandbook[],6,FALSE)),"")</f>
        <v/>
      </c>
      <c r="G23" s="45" t="str">
        <f>IFERROR(IF(VLOOKUP($A23,TableHandbook[],5,FALSE)=0,"",VLOOKUP($A23,TableHandbook[],5,FALSE)),"")</f>
        <v/>
      </c>
      <c r="H23" s="55" t="str">
        <f>IFERROR(VLOOKUP($A23,TableHandbook[],H$2,FALSE),"")</f>
        <v/>
      </c>
      <c r="I23" s="215" t="str">
        <f>IFERROR(VLOOKUP($A23,TableHandbook[],I$2,FALSE),"")</f>
        <v/>
      </c>
      <c r="J23" s="45" t="str">
        <f>IFERROR(VLOOKUP($A23,TableHandbook[],J$2,FALSE),"")</f>
        <v/>
      </c>
      <c r="K23" s="56" t="str">
        <f>IFERROR(VLOOKUP($A23,TableHandbook[],K$2,FALSE),"")</f>
        <v/>
      </c>
      <c r="L23" s="49"/>
      <c r="M23" s="117">
        <v>13</v>
      </c>
      <c r="N23" s="19"/>
      <c r="O23" s="19"/>
      <c r="P23" s="20"/>
      <c r="Q23" s="20"/>
      <c r="R23" s="20"/>
      <c r="S23" s="20"/>
      <c r="T23" s="20"/>
      <c r="U23" s="20"/>
      <c r="V23" s="20"/>
      <c r="W23" s="20"/>
    </row>
    <row r="24" spans="1:23" s="21" customFormat="1" ht="5.0999999999999996" customHeight="1" x14ac:dyDescent="0.25">
      <c r="A24" s="22"/>
      <c r="B24" s="23"/>
      <c r="C24" s="23"/>
      <c r="D24" s="24"/>
      <c r="E24" s="23"/>
      <c r="F24" s="200"/>
      <c r="G24" s="23"/>
      <c r="H24" s="57"/>
      <c r="I24" s="218"/>
      <c r="J24" s="23"/>
      <c r="K24" s="58"/>
      <c r="L24" s="26"/>
      <c r="M24" s="117"/>
      <c r="N24" s="19"/>
      <c r="O24" s="19"/>
      <c r="P24" s="19"/>
      <c r="Q24" s="20"/>
      <c r="R24" s="20"/>
      <c r="S24" s="20"/>
      <c r="T24" s="20"/>
      <c r="U24" s="20"/>
      <c r="V24" s="20"/>
      <c r="W24" s="20"/>
    </row>
    <row r="25" spans="1:23" s="21" customFormat="1" ht="20.100000000000001" customHeight="1" x14ac:dyDescent="0.25">
      <c r="A25" s="51" t="str">
        <f>IFERROR(IF(HLOOKUP($L$5,RangeHRIGHTUnitsets,M25,FALSE)=0,"",HLOOKUP($L$5,RangeHRIGHTUnitsets,M25,FALSE)),"")</f>
        <v/>
      </c>
      <c r="B25" s="47" t="str">
        <f>IFERROR(IF(VLOOKUP($A25,TableHandbook[],2,FALSE)=0,"",VLOOKUP($A25,TableHandbook[],2,FALSE)),"")</f>
        <v/>
      </c>
      <c r="C25" s="47" t="str">
        <f>IFERROR(IF(VLOOKUP($A25,TableHandbook[],3,FALSE)=0,"",VLOOKUP($A25,TableHandbook[],3,FALSE)),"")</f>
        <v/>
      </c>
      <c r="D25" s="50" t="str">
        <f>IFERROR(IF(VLOOKUP($A25,TableHandbook[],4,FALSE)=0,"",VLOOKUP($A25,TableHandbook[],4,FALSE)),"")</f>
        <v/>
      </c>
      <c r="E25" s="47" t="str">
        <f>IF(A25="","",VLOOKUP($D$6,TableStudyPeriods[],3,FALSE))</f>
        <v/>
      </c>
      <c r="F25" s="197" t="str">
        <f>IFERROR(IF(VLOOKUP($A25,TableHandbook[],6,FALSE)=0,"",VLOOKUP($A25,TableHandbook[],6,FALSE)),"")</f>
        <v/>
      </c>
      <c r="G25" s="45" t="str">
        <f>IFERROR(IF(VLOOKUP($A25,TableHandbook[],5,FALSE)=0,"",VLOOKUP($A25,TableHandbook[],5,FALSE)),"")</f>
        <v/>
      </c>
      <c r="H25" s="55" t="str">
        <f>IFERROR(VLOOKUP($A25,TableHandbook[],H$2,FALSE),"")</f>
        <v/>
      </c>
      <c r="I25" s="215" t="str">
        <f>IFERROR(VLOOKUP($A25,TableHandbook[],I$2,FALSE),"")</f>
        <v/>
      </c>
      <c r="J25" s="45" t="str">
        <f>IFERROR(VLOOKUP($A25,TableHandbook[],J$2,FALSE),"")</f>
        <v/>
      </c>
      <c r="K25" s="56" t="str">
        <f>IFERROR(VLOOKUP($A25,TableHandbook[],K$2,FALSE),"")</f>
        <v/>
      </c>
      <c r="L25" s="49"/>
      <c r="M25" s="117">
        <v>14</v>
      </c>
      <c r="N25" s="19"/>
      <c r="O25" s="19"/>
      <c r="P25" s="20"/>
      <c r="Q25" s="20"/>
      <c r="R25" s="20"/>
      <c r="S25" s="20"/>
      <c r="T25" s="20"/>
      <c r="U25" s="20"/>
      <c r="V25" s="20"/>
      <c r="W25" s="20"/>
    </row>
    <row r="26" spans="1:23" s="21" customFormat="1" ht="20.100000000000001" customHeight="1" x14ac:dyDescent="0.25">
      <c r="A26" s="51" t="str">
        <f>IFERROR(IF(HLOOKUP($L$5,RangeHRIGHTUnitsets,M26,FALSE)=0,"",HLOOKUP($L$5,RangeHRIGHTUnitsets,M26,FALSE)),"")</f>
        <v/>
      </c>
      <c r="B26" s="47" t="str">
        <f>IFERROR(IF(VLOOKUP($A26,TableHandbook[],2,FALSE)=0,"",VLOOKUP($A26,TableHandbook[],2,FALSE)),"")</f>
        <v/>
      </c>
      <c r="C26" s="47" t="str">
        <f>IFERROR(IF(VLOOKUP($A26,TableHandbook[],3,FALSE)=0,"",VLOOKUP($A26,TableHandbook[],3,FALSE)),"")</f>
        <v/>
      </c>
      <c r="D26" s="50" t="str">
        <f>IFERROR(IF(VLOOKUP($A26,TableHandbook[],4,FALSE)=0,"",VLOOKUP($A26,TableHandbook[],4,FALSE)),"")</f>
        <v/>
      </c>
      <c r="E26" s="47" t="str">
        <f>IF(OR(A26="",A26="-"),"",E25)</f>
        <v/>
      </c>
      <c r="F26" s="197" t="str">
        <f>IFERROR(IF(VLOOKUP($A26,TableHandbook[],6,FALSE)=0,"",VLOOKUP($A26,TableHandbook[],6,FALSE)),"")</f>
        <v/>
      </c>
      <c r="G26" s="45" t="str">
        <f>IFERROR(IF(VLOOKUP($A26,TableHandbook[],5,FALSE)=0,"",VLOOKUP($A26,TableHandbook[],5,FALSE)),"")</f>
        <v/>
      </c>
      <c r="H26" s="55" t="str">
        <f>IFERROR(VLOOKUP($A26,TableHandbook[],H$2,FALSE),"")</f>
        <v/>
      </c>
      <c r="I26" s="215" t="str">
        <f>IFERROR(VLOOKUP($A26,TableHandbook[],I$2,FALSE),"")</f>
        <v/>
      </c>
      <c r="J26" s="45" t="str">
        <f>IFERROR(VLOOKUP($A26,TableHandbook[],J$2,FALSE),"")</f>
        <v/>
      </c>
      <c r="K26" s="56" t="str">
        <f>IFERROR(VLOOKUP($A26,TableHandbook[],K$2,FALSE),"")</f>
        <v/>
      </c>
      <c r="L26" s="49"/>
      <c r="M26" s="117">
        <v>15</v>
      </c>
      <c r="N26" s="19"/>
      <c r="O26" s="19"/>
      <c r="P26" s="20"/>
      <c r="Q26" s="20"/>
      <c r="R26" s="20"/>
      <c r="S26" s="20"/>
      <c r="T26" s="20"/>
      <c r="U26" s="20"/>
      <c r="V26" s="20"/>
      <c r="W26" s="20"/>
    </row>
    <row r="27" spans="1:23" s="29" customFormat="1" ht="20.100000000000001" customHeight="1" x14ac:dyDescent="0.25">
      <c r="A27" s="51" t="str">
        <f>IFERROR(IF(HLOOKUP($L$5,RangeHRIGHTUnitsets,M27,FALSE)=0,"",HLOOKUP($L$5,RangeHRIGHTUnitsets,M27,FALSE)),"")</f>
        <v/>
      </c>
      <c r="B27" s="47" t="str">
        <f>IFERROR(IF(VLOOKUP($A27,TableHandbook[],2,FALSE)=0,"",VLOOKUP($A27,TableHandbook[],2,FALSE)),"")</f>
        <v/>
      </c>
      <c r="C27" s="47" t="str">
        <f>IFERROR(IF(VLOOKUP($A27,TableHandbook[],3,FALSE)=0,"",VLOOKUP($A27,TableHandbook[],3,FALSE)),"")</f>
        <v/>
      </c>
      <c r="D27" s="50" t="str">
        <f>IFERROR(IF(VLOOKUP($A27,TableHandbook[],4,FALSE)=0,"",VLOOKUP($A27,TableHandbook[],4,FALSE)),"")</f>
        <v/>
      </c>
      <c r="E27" s="47" t="str">
        <f t="shared" ref="E27:E28" si="4">IF(OR(A27="",A27="-"),"",E26)</f>
        <v/>
      </c>
      <c r="F27" s="197" t="str">
        <f>IFERROR(IF(VLOOKUP($A27,TableHandbook[],6,FALSE)=0,"",VLOOKUP($A27,TableHandbook[],6,FALSE)),"")</f>
        <v/>
      </c>
      <c r="G27" s="45" t="str">
        <f>IFERROR(IF(VLOOKUP($A27,TableHandbook[],5,FALSE)=0,"",VLOOKUP($A27,TableHandbook[],5,FALSE)),"")</f>
        <v/>
      </c>
      <c r="H27" s="55" t="str">
        <f>IFERROR(VLOOKUP($A27,TableHandbook[],H$2,FALSE),"")</f>
        <v/>
      </c>
      <c r="I27" s="215" t="str">
        <f>IFERROR(VLOOKUP($A27,TableHandbook[],I$2,FALSE),"")</f>
        <v/>
      </c>
      <c r="J27" s="45" t="str">
        <f>IFERROR(VLOOKUP($A27,TableHandbook[],J$2,FALSE),"")</f>
        <v/>
      </c>
      <c r="K27" s="56" t="str">
        <f>IFERROR(VLOOKUP($A27,TableHandbook[],K$2,FALSE),"")</f>
        <v/>
      </c>
      <c r="L27" s="49"/>
      <c r="M27" s="117">
        <v>16</v>
      </c>
      <c r="N27" s="27"/>
      <c r="O27" s="27"/>
      <c r="P27" s="28"/>
      <c r="Q27" s="28"/>
      <c r="R27" s="28"/>
      <c r="S27" s="28"/>
      <c r="T27" s="28"/>
      <c r="U27" s="28"/>
      <c r="V27" s="28"/>
      <c r="W27" s="28"/>
    </row>
    <row r="28" spans="1:23" s="29" customFormat="1" ht="20.100000000000001" customHeight="1" x14ac:dyDescent="0.25">
      <c r="A28" s="51" t="str">
        <f>IFERROR(IF(HLOOKUP($L$5,RangeHRIGHTUnitsets,M28,FALSE)=0,"",HLOOKUP($L$5,RangeHRIGHTUnitsets,M28,FALSE)),"")</f>
        <v/>
      </c>
      <c r="B28" s="47" t="str">
        <f>IFERROR(IF(VLOOKUP($A28,TableHandbook[],2,FALSE)=0,"",VLOOKUP($A28,TableHandbook[],2,FALSE)),"")</f>
        <v/>
      </c>
      <c r="C28" s="47" t="str">
        <f>IFERROR(IF(VLOOKUP($A28,TableHandbook[],3,FALSE)=0,"",VLOOKUP($A28,TableHandbook[],3,FALSE)),"")</f>
        <v/>
      </c>
      <c r="D28" s="50" t="str">
        <f>IFERROR(IF(VLOOKUP($A28,TableHandbook[],4,FALSE)=0,"",VLOOKUP($A28,TableHandbook[],4,FALSE)),"")</f>
        <v/>
      </c>
      <c r="E28" s="45" t="str">
        <f t="shared" si="4"/>
        <v/>
      </c>
      <c r="F28" s="197" t="str">
        <f>IFERROR(IF(VLOOKUP($A28,TableHandbook[],6,FALSE)=0,"",VLOOKUP($A28,TableHandbook[],6,FALSE)),"")</f>
        <v/>
      </c>
      <c r="G28" s="45" t="str">
        <f>IFERROR(IF(VLOOKUP($A28,TableHandbook[],5,FALSE)=0,"",VLOOKUP($A28,TableHandbook[],5,FALSE)),"")</f>
        <v/>
      </c>
      <c r="H28" s="55" t="str">
        <f>IFERROR(VLOOKUP($A28,TableHandbook[],H$2,FALSE),"")</f>
        <v/>
      </c>
      <c r="I28" s="215" t="str">
        <f>IFERROR(VLOOKUP($A28,TableHandbook[],I$2,FALSE),"")</f>
        <v/>
      </c>
      <c r="J28" s="45" t="str">
        <f>IFERROR(VLOOKUP($A28,TableHandbook[],J$2,FALSE),"")</f>
        <v/>
      </c>
      <c r="K28" s="56" t="str">
        <f>IFERROR(VLOOKUP($A28,TableHandbook[],K$2,FALSE),"")</f>
        <v/>
      </c>
      <c r="L28" s="49"/>
      <c r="M28" s="117">
        <v>17</v>
      </c>
      <c r="N28" s="27"/>
      <c r="O28" s="27"/>
      <c r="P28" s="28"/>
      <c r="Q28" s="28"/>
      <c r="R28" s="28"/>
      <c r="S28" s="28"/>
      <c r="T28" s="28"/>
      <c r="U28" s="28"/>
      <c r="V28" s="28"/>
      <c r="W28" s="28"/>
    </row>
    <row r="29" spans="1:23" s="29" customFormat="1" ht="20.100000000000001" customHeight="1" x14ac:dyDescent="0.25">
      <c r="A29" s="123"/>
      <c r="B29" s="124"/>
      <c r="C29" s="124"/>
      <c r="D29" s="143"/>
      <c r="E29" s="123"/>
      <c r="F29" s="198"/>
      <c r="G29" s="123"/>
      <c r="H29" s="123"/>
      <c r="I29" s="123"/>
      <c r="J29" s="123"/>
      <c r="K29" s="123"/>
      <c r="L29" s="145"/>
      <c r="M29" s="117"/>
      <c r="N29" s="27"/>
      <c r="O29" s="27"/>
      <c r="P29" s="28"/>
      <c r="Q29" s="28"/>
      <c r="R29" s="28"/>
      <c r="S29" s="28"/>
      <c r="T29" s="28"/>
      <c r="U29" s="28"/>
      <c r="V29" s="28"/>
      <c r="W29" s="28"/>
    </row>
    <row r="30" spans="1:23" ht="20.399999999999999" x14ac:dyDescent="0.3">
      <c r="A30" s="161" t="s">
        <v>255</v>
      </c>
      <c r="B30" s="125"/>
      <c r="C30" s="125"/>
      <c r="D30" s="126"/>
      <c r="E30" s="127"/>
      <c r="F30" s="199"/>
      <c r="G30" s="127"/>
      <c r="H30" s="160" t="str">
        <f>H8</f>
        <v>2025 Availabilities</v>
      </c>
      <c r="I30" s="128"/>
      <c r="J30" s="129"/>
      <c r="K30" s="130"/>
      <c r="L30" s="294" t="str">
        <f>VLOOKUP(D5,TableCourses[],2,FALSE)</f>
        <v>GC-HRIGHT</v>
      </c>
      <c r="M30" s="119"/>
      <c r="N30" s="15"/>
      <c r="O30" s="15"/>
      <c r="P30" s="15"/>
      <c r="Q30" s="15"/>
      <c r="R30" s="15"/>
      <c r="S30" s="15"/>
      <c r="T30" s="15"/>
      <c r="U30" s="15"/>
      <c r="V30" s="15"/>
      <c r="W30" s="15"/>
    </row>
    <row r="31" spans="1:23" s="38" customFormat="1" ht="22.8" x14ac:dyDescent="0.3">
      <c r="A31" s="132"/>
      <c r="B31" s="132"/>
      <c r="C31" s="132"/>
      <c r="D31" s="133" t="s">
        <v>3</v>
      </c>
      <c r="E31" s="138"/>
      <c r="F31" s="192" t="s">
        <v>23</v>
      </c>
      <c r="G31" s="132" t="s">
        <v>24</v>
      </c>
      <c r="H31" s="139" t="str">
        <f>H$9</f>
        <v>Sem1 BEN</v>
      </c>
      <c r="I31" s="214" t="str">
        <f t="shared" ref="I31:L31" si="5">I$9</f>
        <v>Sem1 FO</v>
      </c>
      <c r="J31" s="138" t="str">
        <f t="shared" si="5"/>
        <v>Sem2 BEN</v>
      </c>
      <c r="K31" s="140" t="str">
        <f t="shared" si="5"/>
        <v>Sem2 FO</v>
      </c>
      <c r="L31" s="141" t="str">
        <f t="shared" si="5"/>
        <v>Notes / Progress</v>
      </c>
      <c r="M31" s="119"/>
      <c r="N31" s="37"/>
      <c r="O31" s="37"/>
      <c r="P31" s="37"/>
      <c r="Q31" s="37"/>
      <c r="R31" s="37"/>
      <c r="S31" s="37"/>
      <c r="T31" s="37"/>
      <c r="U31" s="37"/>
      <c r="V31" s="37"/>
      <c r="W31" s="37"/>
    </row>
    <row r="32" spans="1:23" x14ac:dyDescent="0.3">
      <c r="A32" s="158" t="str">
        <f t="shared" ref="A32:A38" si="6">IFERROR(IF(HLOOKUP($L$30,RangeHRIGHTOptions,$M32,FALSE)=0,"",HLOOKUP($L$30,RangeHRIGHTOptions,$M32,FALSE)),"")</f>
        <v>HRIG5000</v>
      </c>
      <c r="B32" s="100">
        <f>IFERROR(IF(VLOOKUP($A32,TableHandbook[],2,FALSE)=0,"",VLOOKUP($A32,TableHandbook[],2,FALSE)),"")</f>
        <v>2</v>
      </c>
      <c r="C32" s="100" t="str">
        <f>IFERROR(IF(VLOOKUP($A32,TableHandbook[],3,FALSE)=0,"",VLOOKUP($A32,TableHandbook[],3,FALSE)),"")</f>
        <v/>
      </c>
      <c r="D32" s="39" t="str">
        <f>IFERROR(IF(VLOOKUP($A32,TableHandbook[],4,FALSE)=0,"",VLOOKUP($A32,TableHandbook[],4,FALSE)),"")</f>
        <v>Human Rights Education in Practice</v>
      </c>
      <c r="E32" s="40"/>
      <c r="F32" s="193" t="str">
        <f>IFERROR(IF(VLOOKUP($A32,TableHandbook[],6,FALSE)=0,"",VLOOKUP($A32,TableHandbook[],6,FALSE)),"")</f>
        <v>None</v>
      </c>
      <c r="G32" s="41">
        <f>IFERROR(IF(VLOOKUP($A32,TableHandbook[],5,FALSE)=0,"",VLOOKUP($A32,TableHandbook[],5,FALSE)),"")</f>
        <v>25</v>
      </c>
      <c r="H32" s="55" t="str">
        <f>IFERROR(VLOOKUP($A32,TableHandbook[],H$2,FALSE),"")</f>
        <v/>
      </c>
      <c r="I32" s="215" t="str">
        <f>IFERROR(VLOOKUP($A32,TableHandbook[],I$2,FALSE),"")</f>
        <v/>
      </c>
      <c r="J32" s="45" t="str">
        <f>IFERROR(VLOOKUP($A32,TableHandbook[],J$2,FALSE),"")</f>
        <v>Y</v>
      </c>
      <c r="K32" s="56" t="str">
        <f>IFERROR(VLOOKUP($A32,TableHandbook[],K$2,FALSE),"")</f>
        <v>Y</v>
      </c>
      <c r="L32" s="46"/>
      <c r="M32" s="117">
        <v>2</v>
      </c>
      <c r="N32" s="15"/>
      <c r="O32" s="15"/>
      <c r="P32" s="15"/>
      <c r="Q32" s="15"/>
      <c r="R32" s="15"/>
      <c r="S32" s="15"/>
      <c r="T32" s="15"/>
      <c r="U32" s="15"/>
      <c r="V32" s="15"/>
      <c r="W32" s="15"/>
    </row>
    <row r="33" spans="1:23" x14ac:dyDescent="0.3">
      <c r="A33" s="158" t="str">
        <f t="shared" si="6"/>
        <v>HRIG5001</v>
      </c>
      <c r="B33" s="100">
        <f>IFERROR(IF(VLOOKUP($A33,TableHandbook[],2,FALSE)=0,"",VLOOKUP($A33,TableHandbook[],2,FALSE)),"")</f>
        <v>2</v>
      </c>
      <c r="C33" s="100" t="str">
        <f>IFERROR(IF(VLOOKUP($A33,TableHandbook[],3,FALSE)=0,"",VLOOKUP($A33,TableHandbook[],3,FALSE)),"")</f>
        <v/>
      </c>
      <c r="D33" s="39" t="str">
        <f>IFERROR(IF(VLOOKUP($A33,TableHandbook[],4,FALSE)=0,"",VLOOKUP($A33,TableHandbook[],4,FALSE)),"")</f>
        <v>Social Justice and Development</v>
      </c>
      <c r="E33" s="40"/>
      <c r="F33" s="193" t="str">
        <f>IFERROR(IF(VLOOKUP($A33,TableHandbook[],6,FALSE)=0,"",VLOOKUP($A33,TableHandbook[],6,FALSE)),"")</f>
        <v>None</v>
      </c>
      <c r="G33" s="41">
        <f>IFERROR(IF(VLOOKUP($A33,TableHandbook[],5,FALSE)=0,"",VLOOKUP($A33,TableHandbook[],5,FALSE)),"")</f>
        <v>25</v>
      </c>
      <c r="H33" s="55" t="str">
        <f>IFERROR(VLOOKUP($A33,TableHandbook[],H$2,FALSE),"")</f>
        <v>Y</v>
      </c>
      <c r="I33" s="215" t="str">
        <f>IFERROR(VLOOKUP($A33,TableHandbook[],I$2,FALSE),"")</f>
        <v>Y</v>
      </c>
      <c r="J33" s="45" t="str">
        <f>IFERROR(VLOOKUP($A33,TableHandbook[],J$2,FALSE),"")</f>
        <v/>
      </c>
      <c r="K33" s="56" t="str">
        <f>IFERROR(VLOOKUP($A33,TableHandbook[],K$2,FALSE),"")</f>
        <v/>
      </c>
      <c r="L33" s="46"/>
      <c r="M33" s="117">
        <v>3</v>
      </c>
      <c r="N33" s="15"/>
      <c r="O33" s="15"/>
      <c r="P33" s="15"/>
      <c r="Q33" s="15"/>
      <c r="R33" s="15"/>
      <c r="S33" s="15"/>
      <c r="T33" s="15"/>
      <c r="U33" s="15"/>
      <c r="V33" s="15"/>
      <c r="W33" s="15"/>
    </row>
    <row r="34" spans="1:23" x14ac:dyDescent="0.3">
      <c r="A34" s="158" t="str">
        <f t="shared" si="6"/>
        <v>HRIG5002</v>
      </c>
      <c r="B34" s="100">
        <f>IFERROR(IF(VLOOKUP($A34,TableHandbook[],2,FALSE)=0,"",VLOOKUP($A34,TableHandbook[],2,FALSE)),"")</f>
        <v>2</v>
      </c>
      <c r="C34" s="100" t="str">
        <f>IFERROR(IF(VLOOKUP($A34,TableHandbook[],3,FALSE)=0,"",VLOOKUP($A34,TableHandbook[],3,FALSE)),"")</f>
        <v/>
      </c>
      <c r="D34" s="39" t="str">
        <f>IFERROR(IF(VLOOKUP($A34,TableHandbook[],4,FALSE)=0,"",VLOOKUP($A34,TableHandbook[],4,FALSE)),"")</f>
        <v>International Human Rights Law and Practice</v>
      </c>
      <c r="E34" s="40"/>
      <c r="F34" s="193" t="str">
        <f>IFERROR(IF(VLOOKUP($A34,TableHandbook[],6,FALSE)=0,"",VLOOKUP($A34,TableHandbook[],6,FALSE)),"")</f>
        <v>None</v>
      </c>
      <c r="G34" s="41">
        <f>IFERROR(IF(VLOOKUP($A34,TableHandbook[],5,FALSE)=0,"",VLOOKUP($A34,TableHandbook[],5,FALSE)),"")</f>
        <v>25</v>
      </c>
      <c r="H34" s="55" t="str">
        <f>IFERROR(VLOOKUP($A34,TableHandbook[],H$2,FALSE),"")</f>
        <v/>
      </c>
      <c r="I34" s="215" t="str">
        <f>IFERROR(VLOOKUP($A34,TableHandbook[],I$2,FALSE),"")</f>
        <v/>
      </c>
      <c r="J34" s="45" t="str">
        <f>IFERROR(VLOOKUP($A34,TableHandbook[],J$2,FALSE),"")</f>
        <v>Y</v>
      </c>
      <c r="K34" s="56" t="str">
        <f>IFERROR(VLOOKUP($A34,TableHandbook[],K$2,FALSE),"")</f>
        <v>Y</v>
      </c>
      <c r="L34" s="46"/>
      <c r="M34" s="117">
        <v>4</v>
      </c>
      <c r="N34" s="15"/>
      <c r="O34" s="15"/>
      <c r="P34" s="15"/>
      <c r="Q34" s="15"/>
      <c r="R34" s="15"/>
      <c r="S34" s="15"/>
      <c r="T34" s="15"/>
      <c r="U34" s="15"/>
      <c r="V34" s="15"/>
      <c r="W34" s="15"/>
    </row>
    <row r="35" spans="1:23" x14ac:dyDescent="0.3">
      <c r="A35" s="158" t="str">
        <f t="shared" si="6"/>
        <v>HRIG5003</v>
      </c>
      <c r="B35" s="100">
        <f>IFERROR(IF(VLOOKUP($A35,TableHandbook[],2,FALSE)=0,"",VLOOKUP($A35,TableHandbook[],2,FALSE)),"")</f>
        <v>2</v>
      </c>
      <c r="C35" s="100" t="str">
        <f>IFERROR(IF(VLOOKUP($A35,TableHandbook[],3,FALSE)=0,"",VLOOKUP($A35,TableHandbook[],3,FALSE)),"")</f>
        <v/>
      </c>
      <c r="D35" s="39" t="str">
        <f>IFERROR(IF(VLOOKUP($A35,TableHandbook[],4,FALSE)=0,"",VLOOKUP($A35,TableHandbook[],4,FALSE)),"")</f>
        <v>Activism, Advocacy and Change</v>
      </c>
      <c r="E35" s="40"/>
      <c r="F35" s="193" t="str">
        <f>IFERROR(IF(VLOOKUP($A35,TableHandbook[],6,FALSE)=0,"",VLOOKUP($A35,TableHandbook[],6,FALSE)),"")</f>
        <v>None</v>
      </c>
      <c r="G35" s="41">
        <f>IFERROR(IF(VLOOKUP($A35,TableHandbook[],5,FALSE)=0,"",VLOOKUP($A35,TableHandbook[],5,FALSE)),"")</f>
        <v>25</v>
      </c>
      <c r="H35" s="55" t="str">
        <f>IFERROR(VLOOKUP($A35,TableHandbook[],H$2,FALSE),"")</f>
        <v/>
      </c>
      <c r="I35" s="215" t="str">
        <f>IFERROR(VLOOKUP($A35,TableHandbook[],I$2,FALSE),"")</f>
        <v/>
      </c>
      <c r="J35" s="45" t="str">
        <f>IFERROR(VLOOKUP($A35,TableHandbook[],J$2,FALSE),"")</f>
        <v>Y</v>
      </c>
      <c r="K35" s="56" t="str">
        <f>IFERROR(VLOOKUP($A35,TableHandbook[],K$2,FALSE),"")</f>
        <v>Y</v>
      </c>
      <c r="L35" s="46"/>
      <c r="M35" s="117">
        <v>5</v>
      </c>
      <c r="N35" s="15"/>
      <c r="O35" s="15"/>
      <c r="P35" s="15"/>
      <c r="Q35" s="15"/>
      <c r="R35" s="15"/>
      <c r="S35" s="15"/>
      <c r="T35" s="15"/>
      <c r="U35" s="15"/>
      <c r="V35" s="15"/>
      <c r="W35" s="15"/>
    </row>
    <row r="36" spans="1:23" x14ac:dyDescent="0.3">
      <c r="A36" s="158" t="str">
        <f t="shared" si="6"/>
        <v>HRIG5004</v>
      </c>
      <c r="B36" s="100">
        <f>IFERROR(IF(VLOOKUP($A36,TableHandbook[],2,FALSE)=0,"",VLOOKUP($A36,TableHandbook[],2,FALSE)),"")</f>
        <v>3</v>
      </c>
      <c r="C36" s="100" t="str">
        <f>IFERROR(IF(VLOOKUP($A36,TableHandbook[],3,FALSE)=0,"",VLOOKUP($A36,TableHandbook[],3,FALSE)),"")</f>
        <v/>
      </c>
      <c r="D36" s="39" t="str">
        <f>IFERROR(IF(VLOOKUP($A36,TableHandbook[],4,FALSE)=0,"",VLOOKUP($A36,TableHandbook[],4,FALSE)),"")</f>
        <v>Forced Migration and Refugee Rights</v>
      </c>
      <c r="E36" s="40"/>
      <c r="F36" s="193" t="str">
        <f>IFERROR(IF(VLOOKUP($A36,TableHandbook[],6,FALSE)=0,"",VLOOKUP($A36,TableHandbook[],6,FALSE)),"")</f>
        <v>None</v>
      </c>
      <c r="G36" s="41">
        <f>IFERROR(IF(VLOOKUP($A36,TableHandbook[],5,FALSE)=0,"",VLOOKUP($A36,TableHandbook[],5,FALSE)),"")</f>
        <v>25</v>
      </c>
      <c r="H36" s="55" t="str">
        <f>IFERROR(VLOOKUP($A36,TableHandbook[],H$2,FALSE),"")</f>
        <v/>
      </c>
      <c r="I36" s="215" t="str">
        <f>IFERROR(VLOOKUP($A36,TableHandbook[],I$2,FALSE),"")</f>
        <v/>
      </c>
      <c r="J36" s="45" t="str">
        <f>IFERROR(VLOOKUP($A36,TableHandbook[],J$2,FALSE),"")</f>
        <v/>
      </c>
      <c r="K36" s="56" t="str">
        <f>IFERROR(VLOOKUP($A36,TableHandbook[],K$2,FALSE),"")</f>
        <v/>
      </c>
      <c r="L36" s="46"/>
      <c r="M36" s="117">
        <v>6</v>
      </c>
      <c r="N36" s="15"/>
      <c r="O36" s="15"/>
      <c r="P36" s="15"/>
      <c r="Q36" s="15"/>
      <c r="R36" s="15"/>
      <c r="S36" s="15"/>
      <c r="T36" s="15"/>
      <c r="U36" s="15"/>
      <c r="V36" s="15"/>
      <c r="W36" s="15"/>
    </row>
    <row r="37" spans="1:23" x14ac:dyDescent="0.3">
      <c r="A37" s="158" t="str">
        <f t="shared" si="6"/>
        <v>HRIG5014</v>
      </c>
      <c r="B37" s="100">
        <f>IFERROR(IF(VLOOKUP($A37,TableHandbook[],2,FALSE)=0,"",VLOOKUP($A37,TableHandbook[],2,FALSE)),"")</f>
        <v>2</v>
      </c>
      <c r="C37" s="100" t="str">
        <f>IFERROR(IF(VLOOKUP($A37,TableHandbook[],3,FALSE)=0,"",VLOOKUP($A37,TableHandbook[],3,FALSE)),"")</f>
        <v/>
      </c>
      <c r="D37" s="39" t="str">
        <f>IFERROR(IF(VLOOKUP($A37,TableHandbook[],4,FALSE)=0,"",VLOOKUP($A37,TableHandbook[],4,FALSE)),"")</f>
        <v>Dialogue across Cultures and Religions</v>
      </c>
      <c r="E37" s="40"/>
      <c r="F37" s="193" t="str">
        <f>IFERROR(IF(VLOOKUP($A37,TableHandbook[],6,FALSE)=0,"",VLOOKUP($A37,TableHandbook[],6,FALSE)),"")</f>
        <v>None</v>
      </c>
      <c r="G37" s="41">
        <f>IFERROR(IF(VLOOKUP($A37,TableHandbook[],5,FALSE)=0,"",VLOOKUP($A37,TableHandbook[],5,FALSE)),"")</f>
        <v>25</v>
      </c>
      <c r="H37" s="55" t="str">
        <f>IFERROR(VLOOKUP($A37,TableHandbook[],H$2,FALSE),"")</f>
        <v/>
      </c>
      <c r="I37" s="215" t="str">
        <f>IFERROR(VLOOKUP($A37,TableHandbook[],I$2,FALSE),"")</f>
        <v/>
      </c>
      <c r="J37" s="45" t="str">
        <f>IFERROR(VLOOKUP($A37,TableHandbook[],J$2,FALSE),"")</f>
        <v>Y</v>
      </c>
      <c r="K37" s="56" t="str">
        <f>IFERROR(VLOOKUP($A37,TableHandbook[],K$2,FALSE),"")</f>
        <v>Y</v>
      </c>
      <c r="L37" s="46"/>
      <c r="M37" s="117">
        <v>7</v>
      </c>
      <c r="N37" s="15"/>
      <c r="O37" s="15"/>
      <c r="P37" s="15"/>
      <c r="Q37" s="15"/>
      <c r="R37" s="15"/>
      <c r="S37" s="15"/>
      <c r="T37" s="15"/>
      <c r="U37" s="15"/>
      <c r="V37" s="15"/>
      <c r="W37" s="15"/>
    </row>
    <row r="38" spans="1:23" x14ac:dyDescent="0.3">
      <c r="A38" s="158" t="str">
        <f t="shared" si="6"/>
        <v/>
      </c>
      <c r="B38" s="100" t="str">
        <f>IFERROR(IF(VLOOKUP($A38,TableHandbook[],2,FALSE)=0,"",VLOOKUP($A38,TableHandbook[],2,FALSE)),"")</f>
        <v/>
      </c>
      <c r="C38" s="100" t="str">
        <f>IFERROR(IF(VLOOKUP($A38,TableHandbook[],3,FALSE)=0,"",VLOOKUP($A38,TableHandbook[],3,FALSE)),"")</f>
        <v/>
      </c>
      <c r="D38" s="39" t="str">
        <f>IFERROR(IF(VLOOKUP($A38,TableHandbook[],4,FALSE)=0,"",VLOOKUP($A38,TableHandbook[],4,FALSE)),"")</f>
        <v/>
      </c>
      <c r="E38" s="40"/>
      <c r="F38" s="193" t="str">
        <f>IFERROR(IF(VLOOKUP($A38,TableHandbook[],6,FALSE)=0,"",VLOOKUP($A38,TableHandbook[],6,FALSE)),"")</f>
        <v/>
      </c>
      <c r="G38" s="41" t="str">
        <f>IFERROR(IF(VLOOKUP($A38,TableHandbook[],5,FALSE)=0,"",VLOOKUP($A38,TableHandbook[],5,FALSE)),"")</f>
        <v/>
      </c>
      <c r="H38" s="55" t="str">
        <f>IFERROR(VLOOKUP($A38,TableHandbook[],H$2,FALSE),"")</f>
        <v/>
      </c>
      <c r="I38" s="215" t="str">
        <f>IFERROR(VLOOKUP($A38,TableHandbook[],I$2,FALSE),"")</f>
        <v/>
      </c>
      <c r="J38" s="45" t="str">
        <f>IFERROR(VLOOKUP($A38,TableHandbook[],J$2,FALSE),"")</f>
        <v/>
      </c>
      <c r="K38" s="56" t="str">
        <f>IFERROR(VLOOKUP($A38,TableHandbook[],K$2,FALSE),"")</f>
        <v/>
      </c>
      <c r="L38" s="46"/>
      <c r="M38" s="117">
        <v>8</v>
      </c>
      <c r="N38" s="15"/>
      <c r="O38" s="15"/>
      <c r="P38" s="15"/>
      <c r="Q38" s="15"/>
      <c r="R38" s="15"/>
      <c r="S38" s="15"/>
      <c r="T38" s="15"/>
      <c r="U38" s="15"/>
      <c r="V38" s="15"/>
      <c r="W38" s="15"/>
    </row>
    <row r="39" spans="1:23" s="15" customFormat="1" ht="32.25" customHeight="1" x14ac:dyDescent="0.3">
      <c r="A39" s="296" t="s">
        <v>31</v>
      </c>
      <c r="B39" s="296"/>
      <c r="C39" s="296"/>
      <c r="D39" s="296"/>
      <c r="E39" s="296"/>
      <c r="F39" s="296"/>
      <c r="G39" s="296"/>
      <c r="H39" s="296"/>
      <c r="I39" s="296"/>
      <c r="J39" s="296"/>
      <c r="K39" s="296"/>
      <c r="L39" s="296"/>
    </row>
    <row r="40" spans="1:23" s="34" customFormat="1" ht="24.9" customHeight="1" x14ac:dyDescent="0.4">
      <c r="A40" s="30" t="s">
        <v>32</v>
      </c>
      <c r="B40" s="30"/>
      <c r="C40" s="30"/>
      <c r="D40" s="31"/>
      <c r="E40" s="31"/>
      <c r="F40" s="31"/>
      <c r="G40" s="31"/>
      <c r="H40" s="31"/>
      <c r="I40" s="31"/>
      <c r="J40" s="31"/>
      <c r="K40" s="31"/>
      <c r="L40" s="31"/>
      <c r="M40" s="120"/>
      <c r="N40" s="32"/>
      <c r="O40" s="32"/>
      <c r="P40" s="33"/>
      <c r="Q40" s="33"/>
      <c r="R40" s="33"/>
      <c r="S40" s="33"/>
      <c r="T40" s="33"/>
      <c r="U40" s="33"/>
      <c r="V40" s="33"/>
      <c r="W40" s="33"/>
    </row>
    <row r="41" spans="1:23" s="15" customFormat="1" ht="15" customHeight="1" x14ac:dyDescent="0.3">
      <c r="A41" s="35" t="s">
        <v>33</v>
      </c>
      <c r="B41" s="35"/>
      <c r="C41" s="35"/>
      <c r="D41" s="35"/>
      <c r="E41" s="42"/>
      <c r="F41" s="36"/>
      <c r="G41" s="43"/>
      <c r="H41" s="43"/>
      <c r="I41" s="43"/>
      <c r="J41" s="43"/>
      <c r="K41" s="43"/>
      <c r="L41" s="43" t="s">
        <v>34</v>
      </c>
    </row>
  </sheetData>
  <sheetProtection formatCells="0"/>
  <mergeCells count="3">
    <mergeCell ref="A3:D3"/>
    <mergeCell ref="A39:L39"/>
    <mergeCell ref="B7:L7"/>
  </mergeCells>
  <conditionalFormatting sqref="A10:L18 A20:L28 A32:L38">
    <cfRule type="expression" dxfId="113" priority="3">
      <formula>$A10=""</formula>
    </cfRule>
  </conditionalFormatting>
  <conditionalFormatting sqref="A32:L38">
    <cfRule type="expression" dxfId="112" priority="4">
      <formula>LEFT($D32,5)="Study"</formula>
    </cfRule>
  </conditionalFormatting>
  <conditionalFormatting sqref="D5:D6">
    <cfRule type="containsText" dxfId="111" priority="2" operator="containsText" text="Choose">
      <formula>NOT(ISERROR(SEARCH("Choose",D5)))</formula>
    </cfRule>
  </conditionalFormatting>
  <conditionalFormatting sqref="H10:K28">
    <cfRule type="expression" dxfId="110" priority="1">
      <formula>$E10=LEFT(H$9,4)</formula>
    </cfRule>
  </conditionalFormatting>
  <dataValidations count="1">
    <dataValidation type="list" allowBlank="1" showInputMessage="1" showErrorMessage="1" sqref="L24 L14" xr:uid="{00000000-0002-0000-0300-000000000000}"/>
  </dataValidations>
  <hyperlinks>
    <hyperlink ref="A40:L40"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62"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Unitsets!$A$47:$A$49</xm:f>
          </x14:formula1>
          <xm:sqref>D6</xm:sqref>
        </x14:dataValidation>
        <x14:dataValidation type="list" showInputMessage="1" showErrorMessage="1" xr:uid="{00000000-0002-0000-0300-000002000000}">
          <x14:formula1>
            <xm:f>'Unitsets Other'!$A$3:$A$6</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W54"/>
  <sheetViews>
    <sheetView showGridLines="0" topLeftCell="A27" zoomScaleNormal="100" workbookViewId="0">
      <selection activeCell="B61" sqref="B61"/>
    </sheetView>
  </sheetViews>
  <sheetFormatPr defaultColWidth="9" defaultRowHeight="14.4" x14ac:dyDescent="0.3"/>
  <cols>
    <col min="1" max="1" width="11.09765625" style="9" customWidth="1"/>
    <col min="2" max="2" width="3.19921875" style="9" customWidth="1"/>
    <col min="3" max="3" width="5.8984375" style="9" customWidth="1"/>
    <col min="4" max="4" width="54" style="8" customWidth="1"/>
    <col min="5" max="5" width="7.19921875" style="8" customWidth="1"/>
    <col min="6" max="6" width="22.19921875" style="8" bestFit="1" customWidth="1"/>
    <col min="7" max="7" width="5.59765625" style="8" customWidth="1"/>
    <col min="8" max="11" width="4.59765625" style="8" customWidth="1"/>
    <col min="12" max="12" width="18.59765625" style="8" customWidth="1"/>
    <col min="13" max="13" width="2.5" style="8" hidden="1" customWidth="1"/>
    <col min="14" max="16384" width="9" style="8"/>
  </cols>
  <sheetData>
    <row r="1" spans="1:23" hidden="1" x14ac:dyDescent="0.3">
      <c r="A1" s="4" t="s">
        <v>0</v>
      </c>
      <c r="B1" s="5" t="s">
        <v>1</v>
      </c>
      <c r="C1" s="5" t="s">
        <v>2</v>
      </c>
      <c r="D1" s="6" t="s">
        <v>3</v>
      </c>
      <c r="E1" s="6"/>
      <c r="F1" s="6" t="s">
        <v>4</v>
      </c>
      <c r="G1" s="6" t="s">
        <v>5</v>
      </c>
      <c r="H1" s="7" t="s">
        <v>6</v>
      </c>
      <c r="I1" s="6"/>
      <c r="J1" s="6"/>
      <c r="K1" s="6"/>
      <c r="L1" s="6" t="s">
        <v>7</v>
      </c>
      <c r="M1" s="118"/>
    </row>
    <row r="2" spans="1:23" hidden="1" x14ac:dyDescent="0.3">
      <c r="A2" s="105"/>
      <c r="B2" s="142">
        <v>2</v>
      </c>
      <c r="C2" s="142">
        <v>3</v>
      </c>
      <c r="D2" s="142">
        <v>4</v>
      </c>
      <c r="E2" s="142"/>
      <c r="F2" s="142">
        <v>6</v>
      </c>
      <c r="G2" s="142">
        <v>5</v>
      </c>
      <c r="H2" s="142">
        <v>7</v>
      </c>
      <c r="I2" s="142">
        <v>8</v>
      </c>
      <c r="J2" s="142">
        <v>9</v>
      </c>
      <c r="K2" s="142">
        <v>10</v>
      </c>
      <c r="L2" s="106"/>
      <c r="M2" s="118"/>
    </row>
    <row r="3" spans="1:23" ht="39.9" customHeight="1" x14ac:dyDescent="0.3">
      <c r="A3" s="295" t="s">
        <v>8</v>
      </c>
      <c r="B3" s="295"/>
      <c r="C3" s="295"/>
      <c r="D3" s="295"/>
      <c r="E3" s="121"/>
      <c r="F3" s="121"/>
      <c r="G3" s="121"/>
      <c r="H3" s="121"/>
      <c r="I3" s="121"/>
      <c r="J3" s="121"/>
      <c r="K3" s="121"/>
      <c r="L3" s="121"/>
      <c r="M3" s="118"/>
    </row>
    <row r="4" spans="1:23" ht="24.6" x14ac:dyDescent="0.3">
      <c r="A4" s="182"/>
      <c r="B4" s="183"/>
      <c r="C4" s="183"/>
      <c r="D4" s="187"/>
      <c r="E4" s="185" t="s">
        <v>254</v>
      </c>
      <c r="F4" s="183"/>
      <c r="G4" s="186"/>
      <c r="H4" s="186"/>
      <c r="I4" s="186"/>
      <c r="J4" s="186"/>
      <c r="K4" s="186"/>
      <c r="L4" s="186"/>
      <c r="M4" s="118"/>
    </row>
    <row r="5" spans="1:23" ht="19.5" customHeight="1" x14ac:dyDescent="0.3">
      <c r="B5" s="10"/>
      <c r="C5" s="104" t="s">
        <v>10</v>
      </c>
      <c r="D5" s="247" t="s">
        <v>132</v>
      </c>
      <c r="E5" s="11"/>
      <c r="F5" s="104" t="s">
        <v>12</v>
      </c>
      <c r="G5" s="11" t="str">
        <f>IFERROR(CONCATENATE(VLOOKUP(D5,TableCourses[],2,FALSE)," ",VLOOKUP(D5,TableCourses[],3,FALSE)),"")</f>
        <v>GC-INTSEC v.1</v>
      </c>
      <c r="H5" s="11"/>
      <c r="I5" s="11"/>
      <c r="J5" s="11"/>
      <c r="K5" s="11"/>
      <c r="L5" s="291" t="str">
        <f>CONCATENATE(VLOOKUP(D5,TableCourses[],2,FALSE),VLOOKUP(D6,TableStudyPeriods[],2,FALSE))</f>
        <v>GC-INTSECSem1</v>
      </c>
      <c r="M5" s="118"/>
    </row>
    <row r="6" spans="1:23" ht="20.100000000000001" customHeight="1" thickBot="1" x14ac:dyDescent="0.35">
      <c r="A6" s="12"/>
      <c r="B6" s="13"/>
      <c r="C6" s="104" t="s">
        <v>16</v>
      </c>
      <c r="D6" s="11" t="s">
        <v>17</v>
      </c>
      <c r="E6" s="14"/>
      <c r="F6" s="104" t="s">
        <v>18</v>
      </c>
      <c r="G6" s="11" t="str">
        <f>IFERROR(VLOOKUP($D$5,TableCourses[],7,FALSE),"")</f>
        <v>100 credit points required</v>
      </c>
      <c r="H6" s="61"/>
      <c r="I6" s="61"/>
      <c r="J6" s="61"/>
      <c r="K6" s="61"/>
      <c r="L6" s="61"/>
      <c r="M6" s="119"/>
      <c r="N6" s="15"/>
      <c r="O6" s="15"/>
      <c r="P6" s="15"/>
      <c r="Q6" s="15"/>
      <c r="R6" s="15"/>
      <c r="S6" s="15"/>
      <c r="T6" s="15"/>
      <c r="U6" s="15"/>
      <c r="V6" s="15"/>
      <c r="W6" s="15"/>
    </row>
    <row r="7" spans="1:23" ht="51.75" customHeight="1" thickBot="1" x14ac:dyDescent="0.35">
      <c r="A7" s="241" t="s">
        <v>19</v>
      </c>
      <c r="B7" s="297" t="str">
        <f>IFERROR(VLOOKUP($L$30,RangeStructureNotes,2,FALSE),"")</f>
        <v>This course is 6 months full-time or equivalent part-time study. This course has a February and July intake.</v>
      </c>
      <c r="C7" s="297"/>
      <c r="D7" s="297"/>
      <c r="E7" s="297"/>
      <c r="F7" s="297"/>
      <c r="G7" s="297"/>
      <c r="H7" s="297"/>
      <c r="I7" s="297"/>
      <c r="J7" s="297"/>
      <c r="K7" s="297"/>
      <c r="L7" s="298"/>
      <c r="M7" s="119"/>
      <c r="N7" s="15"/>
      <c r="O7" s="15"/>
      <c r="P7" s="15"/>
      <c r="Q7" s="15"/>
      <c r="R7" s="15"/>
      <c r="S7" s="15"/>
      <c r="T7" s="15"/>
      <c r="U7" s="15"/>
      <c r="V7" s="15"/>
      <c r="W7" s="15"/>
    </row>
    <row r="8" spans="1:23" s="18" customFormat="1" ht="14.1" customHeight="1" x14ac:dyDescent="0.3">
      <c r="A8" s="132"/>
      <c r="B8" s="132"/>
      <c r="C8" s="132"/>
      <c r="D8" s="133"/>
      <c r="E8" s="134"/>
      <c r="F8" s="132"/>
      <c r="G8" s="132"/>
      <c r="H8" s="159" t="s">
        <v>20</v>
      </c>
      <c r="I8" s="135"/>
      <c r="J8" s="135"/>
      <c r="K8" s="136"/>
      <c r="L8" s="137"/>
      <c r="M8" s="116"/>
      <c r="N8" s="16"/>
      <c r="O8" s="16"/>
      <c r="P8" s="17"/>
      <c r="Q8" s="17"/>
      <c r="R8" s="17"/>
      <c r="S8" s="17"/>
      <c r="T8" s="17"/>
      <c r="U8" s="17"/>
      <c r="V8" s="17"/>
      <c r="W8" s="17"/>
    </row>
    <row r="9" spans="1:23" s="18" customFormat="1" ht="22.8" x14ac:dyDescent="0.3">
      <c r="A9" s="192" t="s">
        <v>21</v>
      </c>
      <c r="B9" s="132"/>
      <c r="C9" s="132"/>
      <c r="D9" s="133" t="s">
        <v>3</v>
      </c>
      <c r="E9" s="138" t="s">
        <v>22</v>
      </c>
      <c r="F9" s="132" t="s">
        <v>23</v>
      </c>
      <c r="G9" s="132" t="s">
        <v>24</v>
      </c>
      <c r="H9" s="139" t="s">
        <v>25</v>
      </c>
      <c r="I9" s="140" t="s">
        <v>26</v>
      </c>
      <c r="J9" s="139" t="s">
        <v>27</v>
      </c>
      <c r="K9" s="140" t="s">
        <v>28</v>
      </c>
      <c r="L9" s="141" t="s">
        <v>256</v>
      </c>
      <c r="M9" s="116"/>
      <c r="N9" s="16"/>
      <c r="O9" s="16"/>
      <c r="P9" s="17"/>
      <c r="Q9" s="17"/>
      <c r="R9" s="17"/>
      <c r="S9" s="17"/>
      <c r="T9" s="17"/>
      <c r="U9" s="17"/>
      <c r="V9" s="17"/>
      <c r="W9" s="17"/>
    </row>
    <row r="10" spans="1:23" s="21" customFormat="1" ht="20.100000000000001" customHeight="1" x14ac:dyDescent="0.25">
      <c r="A10" s="194" t="str">
        <f>IFERROR(IF(HLOOKUP($L$5,RangeINTRNSUnitsets,M10,FALSE)=0,"",HLOOKUP($L$5,RangeINTRNSUnitsets,M10,FALSE)),"")</f>
        <v>POLS5000</v>
      </c>
      <c r="B10" s="45">
        <f>IFERROR(IF(VLOOKUP($A10,TableHandbook[],2,FALSE)=0,"",VLOOKUP($A10,TableHandbook[],2,FALSE)),"")</f>
        <v>3</v>
      </c>
      <c r="C10" s="45" t="str">
        <f>IFERROR(IF(VLOOKUP($A10,TableHandbook[],3,FALSE)=0,"",VLOOKUP($A10,TableHandbook[],3,FALSE)),"")</f>
        <v/>
      </c>
      <c r="D10" s="52" t="str">
        <f>IFERROR(IF(VLOOKUP($A10,TableHandbook[],4,FALSE)=0,"",VLOOKUP($A10,TableHandbook[],4,FALSE)),"")</f>
        <v>International Security in Theory and Practice</v>
      </c>
      <c r="E10" s="45" t="str">
        <f>IF(A10="","",VLOOKUP($D$6,TableStudyPeriods[],2,FALSE))</f>
        <v>Sem1</v>
      </c>
      <c r="F10" s="44" t="str">
        <f>IFERROR(IF(VLOOKUP($A10,TableHandbook[],6,FALSE)=0,"",VLOOKUP($A10,TableHandbook[],6,FALSE)),"")</f>
        <v>None</v>
      </c>
      <c r="G10" s="45">
        <f>IFERROR(IF(VLOOKUP($A10,TableHandbook[],5,FALSE)=0,"",VLOOKUP($A10,TableHandbook[],5,FALSE)),"")</f>
        <v>25</v>
      </c>
      <c r="H10" s="55" t="str">
        <f>IFERROR(VLOOKUP($A10,TableHandbook[],H$2,FALSE),"")</f>
        <v>Y</v>
      </c>
      <c r="I10" s="56" t="str">
        <f>IFERROR(VLOOKUP($A10,TableHandbook[],I$2,FALSE),"")</f>
        <v>Y</v>
      </c>
      <c r="J10" s="55" t="str">
        <f>IFERROR(VLOOKUP($A10,TableHandbook[],J$2,FALSE),"")</f>
        <v/>
      </c>
      <c r="K10" s="56" t="str">
        <f>IFERROR(VLOOKUP($A10,TableHandbook[],K$2,FALSE),"")</f>
        <v/>
      </c>
      <c r="L10" s="53"/>
      <c r="M10" s="117">
        <v>2</v>
      </c>
      <c r="N10" s="19"/>
      <c r="O10" s="19"/>
      <c r="P10" s="20"/>
      <c r="Q10" s="20"/>
      <c r="R10" s="20"/>
      <c r="S10" s="20"/>
      <c r="T10" s="20"/>
      <c r="U10" s="20"/>
      <c r="V10" s="20"/>
      <c r="W10" s="20"/>
    </row>
    <row r="11" spans="1:23" s="21" customFormat="1" ht="20.100000000000001" customHeight="1" x14ac:dyDescent="0.25">
      <c r="A11" s="194" t="str">
        <f>IFERROR(IF(HLOOKUP($L$5,RangeINTRNSUnitsets,M11,FALSE)=0,"",HLOOKUP($L$5,RangeINTRNSUnitsets,M11,FALSE)),"")</f>
        <v>Opt-INTSEC</v>
      </c>
      <c r="B11" s="45" t="str">
        <f>IFERROR(IF(VLOOKUP($A11,TableHandbook[],2,FALSE)=0,"",VLOOKUP($A11,TableHandbook[],2,FALSE)),"")</f>
        <v/>
      </c>
      <c r="C11" s="45" t="str">
        <f>IFERROR(IF(VLOOKUP($A11,TableHandbook[],3,FALSE)=0,"",VLOOKUP($A11,TableHandbook[],3,FALSE)),"")</f>
        <v/>
      </c>
      <c r="D11" s="52" t="str">
        <f>IFERROR(IF(VLOOKUP($A11,TableHandbook[],4,FALSE)=0,"",VLOOKUP($A11,TableHandbook[],4,FALSE)),"")</f>
        <v>Study an Option unit from the list below</v>
      </c>
      <c r="E11" s="45" t="str">
        <f>IF(OR(A11="",A11="-",A11=" "),"",E10)</f>
        <v>Sem1</v>
      </c>
      <c r="F11" s="44" t="str">
        <f>IFERROR(IF(VLOOKUP($A11,TableHandbook[],6,FALSE)=0,"",VLOOKUP($A11,TableHandbook[],6,FALSE)),"")</f>
        <v>See below</v>
      </c>
      <c r="G11" s="45">
        <f>IFERROR(IF(VLOOKUP($A11,TableHandbook[],5,FALSE)=0,"",VLOOKUP($A11,TableHandbook[],5,FALSE)),"")</f>
        <v>25</v>
      </c>
      <c r="H11" s="55" t="str">
        <f>IFERROR(VLOOKUP($A11,TableHandbook[],H$2,FALSE),"")</f>
        <v/>
      </c>
      <c r="I11" s="56" t="str">
        <f>IFERROR(VLOOKUP($A11,TableHandbook[],I$2,FALSE),"")</f>
        <v/>
      </c>
      <c r="J11" s="55" t="str">
        <f>IFERROR(VLOOKUP($A11,TableHandbook[],J$2,FALSE),"")</f>
        <v/>
      </c>
      <c r="K11" s="56" t="str">
        <f>IFERROR(VLOOKUP($A11,TableHandbook[],K$2,FALSE),"")</f>
        <v/>
      </c>
      <c r="L11" s="53"/>
      <c r="M11" s="117">
        <v>3</v>
      </c>
      <c r="N11" s="19"/>
      <c r="O11" s="19"/>
      <c r="P11" s="20"/>
      <c r="Q11" s="20"/>
      <c r="R11" s="20"/>
      <c r="S11" s="20"/>
      <c r="T11" s="20"/>
      <c r="U11" s="20"/>
      <c r="V11" s="20"/>
      <c r="W11" s="20"/>
    </row>
    <row r="12" spans="1:23" s="21" customFormat="1" ht="20.100000000000001" customHeight="1" x14ac:dyDescent="0.25">
      <c r="A12" s="194" t="str">
        <f>IFERROR(IF(HLOOKUP($L$5,RangeINTRNSUnitsets,M12,FALSE)=0,"",HLOOKUP($L$5,RangeINTRNSUnitsets,M12,FALSE)),"")</f>
        <v>Opt-INTSEC</v>
      </c>
      <c r="B12" s="45" t="str">
        <f>IFERROR(IF(VLOOKUP($A12,TableHandbook[],2,FALSE)=0,"",VLOOKUP($A12,TableHandbook[],2,FALSE)),"")</f>
        <v/>
      </c>
      <c r="C12" s="45" t="str">
        <f>IFERROR(IF(VLOOKUP($A12,TableHandbook[],3,FALSE)=0,"",VLOOKUP($A12,TableHandbook[],3,FALSE)),"")</f>
        <v/>
      </c>
      <c r="D12" s="52" t="str">
        <f>IFERROR(IF(VLOOKUP($A12,TableHandbook[],4,FALSE)=0,"",VLOOKUP($A12,TableHandbook[],4,FALSE)),"")</f>
        <v>Study an Option unit from the list below</v>
      </c>
      <c r="E12" s="45" t="str">
        <f>IF(OR(A12="",A12="-",A12=" "),"",E10)</f>
        <v>Sem1</v>
      </c>
      <c r="F12" s="44" t="str">
        <f>IFERROR(IF(VLOOKUP($A12,TableHandbook[],6,FALSE)=0,"",VLOOKUP($A12,TableHandbook[],6,FALSE)),"")</f>
        <v>See below</v>
      </c>
      <c r="G12" s="45">
        <f>IFERROR(IF(VLOOKUP($A12,TableHandbook[],5,FALSE)=0,"",VLOOKUP($A12,TableHandbook[],5,FALSE)),"")</f>
        <v>25</v>
      </c>
      <c r="H12" s="55" t="str">
        <f>IFERROR(VLOOKUP($A12,TableHandbook[],H$2,FALSE),"")</f>
        <v/>
      </c>
      <c r="I12" s="56" t="str">
        <f>IFERROR(VLOOKUP($A12,TableHandbook[],I$2,FALSE),"")</f>
        <v/>
      </c>
      <c r="J12" s="55" t="str">
        <f>IFERROR(VLOOKUP($A12,TableHandbook[],J$2,FALSE),"")</f>
        <v/>
      </c>
      <c r="K12" s="56" t="str">
        <f>IFERROR(VLOOKUP($A12,TableHandbook[],K$2,FALSE),"")</f>
        <v/>
      </c>
      <c r="L12" s="54"/>
      <c r="M12" s="117">
        <v>4</v>
      </c>
      <c r="N12" s="19"/>
      <c r="O12" s="19"/>
      <c r="P12" s="20"/>
      <c r="Q12" s="20"/>
      <c r="R12" s="20"/>
      <c r="S12" s="20"/>
      <c r="T12" s="20"/>
      <c r="U12" s="20"/>
      <c r="V12" s="20"/>
      <c r="W12" s="20"/>
    </row>
    <row r="13" spans="1:23" s="21" customFormat="1" ht="20.100000000000001" customHeight="1" x14ac:dyDescent="0.25">
      <c r="A13" s="194" t="str">
        <f>IFERROR(IF(HLOOKUP($L$5,RangeINTRNSUnitsets,M13,FALSE)=0,"",HLOOKUP($L$5,RangeINTRNSUnitsets,M13,FALSE)),"")</f>
        <v>Opt-INTSEC</v>
      </c>
      <c r="B13" s="45" t="str">
        <f>IFERROR(IF(VLOOKUP($A13,TableHandbook[],2,FALSE)=0,"",VLOOKUP($A13,TableHandbook[],2,FALSE)),"")</f>
        <v/>
      </c>
      <c r="C13" s="45" t="str">
        <f>IFERROR(IF(VLOOKUP($A13,TableHandbook[],3,FALSE)=0,"",VLOOKUP($A13,TableHandbook[],3,FALSE)),"")</f>
        <v/>
      </c>
      <c r="D13" s="52" t="str">
        <f>IFERROR(IF(VLOOKUP($A13,TableHandbook[],4,FALSE)=0,"",VLOOKUP($A13,TableHandbook[],4,FALSE)),"")</f>
        <v>Study an Option unit from the list below</v>
      </c>
      <c r="E13" s="45" t="str">
        <f>IF(OR(A13="",A13="-",A13=" "),"",E10)</f>
        <v>Sem1</v>
      </c>
      <c r="F13" s="44" t="str">
        <f>IFERROR(IF(VLOOKUP($A13,TableHandbook[],6,FALSE)=0,"",VLOOKUP($A13,TableHandbook[],6,FALSE)),"")</f>
        <v>See below</v>
      </c>
      <c r="G13" s="45">
        <f>IFERROR(IF(VLOOKUP($A13,TableHandbook[],5,FALSE)=0,"",VLOOKUP($A13,TableHandbook[],5,FALSE)),"")</f>
        <v>25</v>
      </c>
      <c r="H13" s="55" t="str">
        <f>IFERROR(VLOOKUP($A13,TableHandbook[],H$2,FALSE),"")</f>
        <v/>
      </c>
      <c r="I13" s="56" t="str">
        <f>IFERROR(VLOOKUP($A13,TableHandbook[],I$2,FALSE),"")</f>
        <v/>
      </c>
      <c r="J13" s="55" t="str">
        <f>IFERROR(VLOOKUP($A13,TableHandbook[],J$2,FALSE),"")</f>
        <v/>
      </c>
      <c r="K13" s="56" t="str">
        <f>IFERROR(VLOOKUP($A13,TableHandbook[],K$2,FALSE),"")</f>
        <v/>
      </c>
      <c r="L13" s="53"/>
      <c r="M13" s="117">
        <v>5</v>
      </c>
      <c r="N13" s="19"/>
      <c r="O13" s="19"/>
      <c r="P13" s="20"/>
      <c r="Q13" s="20"/>
      <c r="R13" s="20"/>
      <c r="S13" s="20"/>
      <c r="T13" s="20"/>
      <c r="U13" s="20"/>
      <c r="V13" s="20"/>
      <c r="W13" s="20"/>
    </row>
    <row r="14" spans="1:23" s="21" customFormat="1" ht="5.0999999999999996" customHeight="1" x14ac:dyDescent="0.25">
      <c r="A14" s="195"/>
      <c r="B14" s="23"/>
      <c r="C14" s="23"/>
      <c r="D14" s="24"/>
      <c r="E14" s="23"/>
      <c r="F14" s="25"/>
      <c r="G14" s="23"/>
      <c r="H14" s="57"/>
      <c r="I14" s="58"/>
      <c r="J14" s="57"/>
      <c r="K14" s="58"/>
      <c r="L14" s="26"/>
      <c r="M14" s="117"/>
      <c r="N14" s="19"/>
      <c r="O14" s="19"/>
      <c r="P14" s="19"/>
      <c r="Q14" s="20"/>
      <c r="R14" s="20"/>
      <c r="S14" s="20"/>
      <c r="T14" s="20"/>
      <c r="U14" s="20"/>
      <c r="V14" s="20"/>
      <c r="W14" s="20"/>
    </row>
    <row r="15" spans="1:23" s="21" customFormat="1" ht="20.100000000000001" customHeight="1" x14ac:dyDescent="0.25">
      <c r="A15" s="194" t="str">
        <f>IFERROR(IF(HLOOKUP($L$5,RangeINTRNSUnitsets,M15,FALSE)=0,"",HLOOKUP($L$5,RangeINTRNSUnitsets,M15,FALSE)),"")</f>
        <v/>
      </c>
      <c r="B15" s="47" t="str">
        <f>IFERROR(IF(VLOOKUP($A15,TableHandbook[],2,FALSE)=0,"",VLOOKUP($A15,TableHandbook[],2,FALSE)),"")</f>
        <v/>
      </c>
      <c r="C15" s="47" t="str">
        <f>IFERROR(IF(VLOOKUP($A15,TableHandbook[],3,FALSE)=0,"",VLOOKUP($A15,TableHandbook[],3,FALSE)),"")</f>
        <v/>
      </c>
      <c r="D15" s="52" t="str">
        <f>IFERROR(IF(VLOOKUP($A15,TableHandbook[],4,FALSE)=0,"",VLOOKUP($A15,TableHandbook[],4,FALSE)),"")</f>
        <v/>
      </c>
      <c r="E15" s="45" t="str">
        <f>IF(A15="","",VLOOKUP($D$6,TableStudyPeriods[],3,FALSE))</f>
        <v/>
      </c>
      <c r="F15" s="44" t="str">
        <f>IFERROR(IF(VLOOKUP($A15,TableHandbook[],6,FALSE)=0,"",VLOOKUP($A15,TableHandbook[],6,FALSE)),"")</f>
        <v/>
      </c>
      <c r="G15" s="47" t="str">
        <f>IFERROR(IF(VLOOKUP($A15,TableHandbook[],5,FALSE)=0,"",VLOOKUP($A15,TableHandbook[],5,FALSE)),"")</f>
        <v/>
      </c>
      <c r="H15" s="59" t="str">
        <f>IFERROR(VLOOKUP($A15,TableHandbook[],H$2,FALSE),"")</f>
        <v/>
      </c>
      <c r="I15" s="60" t="str">
        <f>IFERROR(VLOOKUP($A15,TableHandbook[],I$2,FALSE),"")</f>
        <v/>
      </c>
      <c r="J15" s="59" t="str">
        <f>IFERROR(VLOOKUP($A15,TableHandbook[],J$2,FALSE),"")</f>
        <v/>
      </c>
      <c r="K15" s="60" t="str">
        <f>IFERROR(VLOOKUP($A15,TableHandbook[],K$2,FALSE),"")</f>
        <v/>
      </c>
      <c r="L15" s="54"/>
      <c r="M15" s="117">
        <v>6</v>
      </c>
      <c r="N15" s="19"/>
      <c r="O15" s="19"/>
      <c r="P15" s="20"/>
      <c r="Q15" s="20"/>
      <c r="R15" s="20"/>
      <c r="S15" s="20"/>
      <c r="T15" s="20"/>
      <c r="U15" s="20"/>
      <c r="V15" s="20"/>
      <c r="W15" s="20"/>
    </row>
    <row r="16" spans="1:23" s="29" customFormat="1" ht="20.100000000000001" customHeight="1" x14ac:dyDescent="0.25">
      <c r="A16" s="194" t="str">
        <f>IFERROR(IF(HLOOKUP($L$5,RangeINTRNSUnitsets,M16,FALSE)=0,"",HLOOKUP($L$5,RangeINTRNSUnitsets,M16,FALSE)),"")</f>
        <v/>
      </c>
      <c r="B16" s="47" t="str">
        <f>IFERROR(IF(VLOOKUP($A16,TableHandbook[],2,FALSE)=0,"",VLOOKUP($A16,TableHandbook[],2,FALSE)),"")</f>
        <v/>
      </c>
      <c r="C16" s="47" t="str">
        <f>IFERROR(IF(VLOOKUP($A16,TableHandbook[],3,FALSE)=0,"",VLOOKUP($A16,TableHandbook[],3,FALSE)),"")</f>
        <v/>
      </c>
      <c r="D16" s="52" t="str">
        <f>IFERROR(IF(VLOOKUP($A16,TableHandbook[],4,FALSE)=0,"",VLOOKUP($A16,TableHandbook[],4,FALSE)),"")</f>
        <v/>
      </c>
      <c r="E16" s="45" t="str">
        <f>IF(OR(A16="",A16="-",A16=" "),"",E15)</f>
        <v/>
      </c>
      <c r="F16" s="44" t="str">
        <f>IFERROR(IF(VLOOKUP($A16,TableHandbook[],6,FALSE)=0,"",VLOOKUP($A16,TableHandbook[],6,FALSE)),"")</f>
        <v/>
      </c>
      <c r="G16" s="47" t="str">
        <f>IFERROR(IF(VLOOKUP($A16,TableHandbook[],5,FALSE)=0,"",VLOOKUP($A16,TableHandbook[],5,FALSE)),"")</f>
        <v/>
      </c>
      <c r="H16" s="59" t="str">
        <f>IFERROR(VLOOKUP($A16,TableHandbook[],H$2,FALSE),"")</f>
        <v/>
      </c>
      <c r="I16" s="60" t="str">
        <f>IFERROR(VLOOKUP($A16,TableHandbook[],I$2,FALSE),"")</f>
        <v/>
      </c>
      <c r="J16" s="59" t="str">
        <f>IFERROR(VLOOKUP($A16,TableHandbook[],J$2,FALSE),"")</f>
        <v/>
      </c>
      <c r="K16" s="60" t="str">
        <f>IFERROR(VLOOKUP($A16,TableHandbook[],K$2,FALSE),"")</f>
        <v/>
      </c>
      <c r="L16" s="54"/>
      <c r="M16" s="117">
        <v>7</v>
      </c>
      <c r="N16" s="27"/>
      <c r="O16" s="27"/>
      <c r="P16" s="28"/>
      <c r="Q16" s="28"/>
      <c r="R16" s="28"/>
      <c r="S16" s="28"/>
      <c r="T16" s="28"/>
      <c r="U16" s="28"/>
      <c r="V16" s="28"/>
      <c r="W16" s="28"/>
    </row>
    <row r="17" spans="1:23" s="29" customFormat="1" ht="20.100000000000001" customHeight="1" x14ac:dyDescent="0.25">
      <c r="A17" s="194" t="str">
        <f>IFERROR(IF(HLOOKUP($L$5,RangeINTRNSUnitsets,M17,FALSE)=0,"",HLOOKUP($L$5,RangeINTRNSUnitsets,M17,FALSE)),"")</f>
        <v/>
      </c>
      <c r="B17" s="47" t="str">
        <f>IFERROR(IF(VLOOKUP($A17,TableHandbook[],2,FALSE)=0,"",VLOOKUP($A17,TableHandbook[],2,FALSE)),"")</f>
        <v/>
      </c>
      <c r="C17" s="47" t="str">
        <f>IFERROR(IF(VLOOKUP($A17,TableHandbook[],3,FALSE)=0,"",VLOOKUP($A17,TableHandbook[],3,FALSE)),"")</f>
        <v/>
      </c>
      <c r="D17" s="52" t="str">
        <f>IFERROR(IF(VLOOKUP($A17,TableHandbook[],4,FALSE)=0,"",VLOOKUP($A17,TableHandbook[],4,FALSE)),"")</f>
        <v/>
      </c>
      <c r="E17" s="45" t="str">
        <f>IF(OR(A17="",A17="-",A17=" "),"",E15)</f>
        <v/>
      </c>
      <c r="F17" s="44" t="str">
        <f>IFERROR(IF(VLOOKUP($A17,TableHandbook[],6,FALSE)=0,"",VLOOKUP($A17,TableHandbook[],6,FALSE)),"")</f>
        <v/>
      </c>
      <c r="G17" s="47" t="str">
        <f>IFERROR(IF(VLOOKUP($A17,TableHandbook[],5,FALSE)=0,"",VLOOKUP($A17,TableHandbook[],5,FALSE)),"")</f>
        <v/>
      </c>
      <c r="H17" s="59" t="str">
        <f>IFERROR(VLOOKUP($A17,TableHandbook[],H$2,FALSE),"")</f>
        <v/>
      </c>
      <c r="I17" s="60" t="str">
        <f>IFERROR(VLOOKUP($A17,TableHandbook[],I$2,FALSE),"")</f>
        <v/>
      </c>
      <c r="J17" s="59" t="str">
        <f>IFERROR(VLOOKUP($A17,TableHandbook[],J$2,FALSE),"")</f>
        <v/>
      </c>
      <c r="K17" s="60" t="str">
        <f>IFERROR(VLOOKUP($A17,TableHandbook[],K$2,FALSE),"")</f>
        <v/>
      </c>
      <c r="L17" s="54"/>
      <c r="M17" s="117">
        <v>8</v>
      </c>
      <c r="N17" s="27"/>
      <c r="O17" s="27"/>
      <c r="P17" s="28"/>
      <c r="Q17" s="28"/>
      <c r="R17" s="28"/>
      <c r="S17" s="28"/>
      <c r="T17" s="28"/>
      <c r="U17" s="28"/>
      <c r="V17" s="28"/>
      <c r="W17" s="28"/>
    </row>
    <row r="18" spans="1:23" s="29" customFormat="1" ht="20.100000000000001" customHeight="1" x14ac:dyDescent="0.25">
      <c r="A18" s="194" t="str">
        <f>IFERROR(IF(HLOOKUP($L$5,RangeINTRNSUnitsets,M18,FALSE)=0,"",HLOOKUP($L$5,RangeINTRNSUnitsets,M18,FALSE)),"")</f>
        <v/>
      </c>
      <c r="B18" s="47" t="str">
        <f>IFERROR(IF(VLOOKUP($A18,TableHandbook[],2,FALSE)=0,"",VLOOKUP($A18,TableHandbook[],2,FALSE)),"")</f>
        <v/>
      </c>
      <c r="C18" s="47" t="str">
        <f>IFERROR(IF(VLOOKUP($A18,TableHandbook[],3,FALSE)=0,"",VLOOKUP($A18,TableHandbook[],3,FALSE)),"")</f>
        <v/>
      </c>
      <c r="D18" s="50" t="str">
        <f>IFERROR(IF(VLOOKUP($A18,TableHandbook[],4,FALSE)=0,"",VLOOKUP($A18,TableHandbook[],4,FALSE)),"")</f>
        <v/>
      </c>
      <c r="E18" s="47" t="str">
        <f>IF(OR(A18="",A18="-",A18=" "),"",E15)</f>
        <v/>
      </c>
      <c r="F18" s="44" t="str">
        <f>IFERROR(IF(VLOOKUP($A18,TableHandbook[],6,FALSE)=0,"",VLOOKUP($A18,TableHandbook[],6,FALSE)),"")</f>
        <v/>
      </c>
      <c r="G18" s="47" t="str">
        <f>IFERROR(IF(VLOOKUP($A18,TableHandbook[],5,FALSE)=0,"",VLOOKUP($A18,TableHandbook[],5,FALSE)),"")</f>
        <v/>
      </c>
      <c r="H18" s="59" t="str">
        <f>IFERROR(VLOOKUP($A18,TableHandbook[],H$2,FALSE),"")</f>
        <v/>
      </c>
      <c r="I18" s="60" t="str">
        <f>IFERROR(VLOOKUP($A18,TableHandbook[],I$2,FALSE),"")</f>
        <v/>
      </c>
      <c r="J18" s="59" t="str">
        <f>IFERROR(VLOOKUP($A18,TableHandbook[],J$2,FALSE),"")</f>
        <v/>
      </c>
      <c r="K18" s="60" t="str">
        <f>IFERROR(VLOOKUP($A18,TableHandbook[],K$2,FALSE),"")</f>
        <v/>
      </c>
      <c r="L18" s="54"/>
      <c r="M18" s="117">
        <v>9</v>
      </c>
      <c r="N18" s="27"/>
      <c r="O18" s="27"/>
      <c r="P18" s="28"/>
      <c r="Q18" s="28"/>
      <c r="R18" s="28"/>
      <c r="S18" s="28"/>
      <c r="T18" s="28"/>
      <c r="U18" s="28"/>
      <c r="V18" s="28"/>
      <c r="W18" s="28"/>
    </row>
    <row r="19" spans="1:23" s="18" customFormat="1" ht="22.8" x14ac:dyDescent="0.3">
      <c r="A19" s="132" t="s">
        <v>30</v>
      </c>
      <c r="B19" s="132"/>
      <c r="C19" s="132"/>
      <c r="D19" s="133" t="s">
        <v>3</v>
      </c>
      <c r="E19" s="138" t="s">
        <v>22</v>
      </c>
      <c r="F19" s="132" t="s">
        <v>23</v>
      </c>
      <c r="G19" s="132" t="s">
        <v>24</v>
      </c>
      <c r="H19" s="139" t="str">
        <f>H$9</f>
        <v>Sem1 BEN</v>
      </c>
      <c r="I19" s="140" t="str">
        <f t="shared" ref="I19:L19" si="0">I$9</f>
        <v>Sem1 FO</v>
      </c>
      <c r="J19" s="139" t="str">
        <f t="shared" si="0"/>
        <v>Sem2 BEN</v>
      </c>
      <c r="K19" s="140" t="str">
        <f t="shared" si="0"/>
        <v>Sem2 FO</v>
      </c>
      <c r="L19" s="141" t="str">
        <f t="shared" si="0"/>
        <v>Progress</v>
      </c>
      <c r="M19" s="116"/>
      <c r="N19" s="16"/>
      <c r="O19" s="16"/>
      <c r="P19" s="17"/>
      <c r="Q19" s="17"/>
      <c r="R19" s="17"/>
      <c r="S19" s="17"/>
      <c r="T19" s="17"/>
      <c r="U19" s="17"/>
      <c r="V19" s="17"/>
      <c r="W19" s="17"/>
    </row>
    <row r="20" spans="1:23" s="21" customFormat="1" ht="20.100000000000001" customHeight="1" x14ac:dyDescent="0.25">
      <c r="A20" s="194" t="str">
        <f>IFERROR(IF(HLOOKUP($L$5,RangeINTRNSUnitsets,M20,FALSE)=0,"",HLOOKUP($L$5,RangeINTRNSUnitsets,M20,FALSE)),"")</f>
        <v/>
      </c>
      <c r="B20" s="47" t="str">
        <f>IFERROR(IF(VLOOKUP($A20,TableHandbook[],2,FALSE)=0,"",VLOOKUP($A20,TableHandbook[],2,FALSE)),"")</f>
        <v/>
      </c>
      <c r="C20" s="47" t="str">
        <f>IFERROR(IF(VLOOKUP($A20,TableHandbook[],3,FALSE)=0,"",VLOOKUP($A20,TableHandbook[],3,FALSE)),"")</f>
        <v/>
      </c>
      <c r="D20" s="48" t="str">
        <f>IFERROR(IF(VLOOKUP($A20,TableHandbook[],4,FALSE)=0,"",VLOOKUP($A20,TableHandbook[],4,FALSE)),"")</f>
        <v/>
      </c>
      <c r="E20" s="47" t="str">
        <f>IF(A20="","",VLOOKUP($D$6,TableStudyPeriods[],2,FALSE))</f>
        <v/>
      </c>
      <c r="F20" s="44" t="str">
        <f>IFERROR(IF(VLOOKUP($A20,TableHandbook[],6,FALSE)=0,"",VLOOKUP($A20,TableHandbook[],6,FALSE)),"")</f>
        <v/>
      </c>
      <c r="G20" s="45" t="str">
        <f>IFERROR(IF(VLOOKUP($A20,TableHandbook[],5,FALSE)=0,"",VLOOKUP($A20,TableHandbook[],5,FALSE)),"")</f>
        <v/>
      </c>
      <c r="H20" s="55" t="str">
        <f>IFERROR(VLOOKUP($A20,TableHandbook[],H$2,FALSE),"")</f>
        <v/>
      </c>
      <c r="I20" s="56" t="str">
        <f>IFERROR(VLOOKUP($A20,TableHandbook[],I$2,FALSE),"")</f>
        <v/>
      </c>
      <c r="J20" s="55" t="str">
        <f>IFERROR(VLOOKUP($A20,TableHandbook[],J$2,FALSE),"")</f>
        <v/>
      </c>
      <c r="K20" s="56" t="str">
        <f>IFERROR(VLOOKUP($A20,TableHandbook[],K$2,FALSE),"")</f>
        <v/>
      </c>
      <c r="L20" s="49"/>
      <c r="M20" s="117">
        <v>10</v>
      </c>
      <c r="N20" s="19"/>
      <c r="O20" s="19"/>
      <c r="P20" s="20"/>
      <c r="Q20" s="20"/>
      <c r="R20" s="20"/>
      <c r="S20" s="20"/>
      <c r="T20" s="20"/>
      <c r="U20" s="20"/>
      <c r="V20" s="20"/>
      <c r="W20" s="20"/>
    </row>
    <row r="21" spans="1:23" s="21" customFormat="1" ht="20.100000000000001" customHeight="1" x14ac:dyDescent="0.25">
      <c r="A21" s="194" t="str">
        <f>IFERROR(IF(HLOOKUP($L$5,RangeINTRNSUnitsets,M21,FALSE)=0,"",HLOOKUP($L$5,RangeINTRNSUnitsets,M21,FALSE)),"")</f>
        <v/>
      </c>
      <c r="B21" s="47" t="str">
        <f>IFERROR(IF(VLOOKUP($A21,TableHandbook[],2,FALSE)=0,"",VLOOKUP($A21,TableHandbook[],2,FALSE)),"")</f>
        <v/>
      </c>
      <c r="C21" s="47" t="str">
        <f>IFERROR(IF(VLOOKUP($A21,TableHandbook[],3,FALSE)=0,"",VLOOKUP($A21,TableHandbook[],3,FALSE)),"")</f>
        <v/>
      </c>
      <c r="D21" s="48" t="str">
        <f>IFERROR(IF(VLOOKUP($A21,TableHandbook[],4,FALSE)=0,"",VLOOKUP($A21,TableHandbook[],4,FALSE)),"")</f>
        <v/>
      </c>
      <c r="E21" s="47" t="str">
        <f>IF(OR(A21="",A21="-",A21=" "),"",E20)</f>
        <v/>
      </c>
      <c r="F21" s="44" t="str">
        <f>IFERROR(IF(VLOOKUP($A21,TableHandbook[],6,FALSE)=0,"",VLOOKUP($A21,TableHandbook[],6,FALSE)),"")</f>
        <v/>
      </c>
      <c r="G21" s="45" t="str">
        <f>IFERROR(IF(VLOOKUP($A21,TableHandbook[],5,FALSE)=0,"",VLOOKUP($A21,TableHandbook[],5,FALSE)),"")</f>
        <v/>
      </c>
      <c r="H21" s="55" t="str">
        <f>IFERROR(VLOOKUP($A21,TableHandbook[],H$2,FALSE),"")</f>
        <v/>
      </c>
      <c r="I21" s="56" t="str">
        <f>IFERROR(VLOOKUP($A21,TableHandbook[],I$2,FALSE),"")</f>
        <v/>
      </c>
      <c r="J21" s="55" t="str">
        <f>IFERROR(VLOOKUP($A21,TableHandbook[],J$2,FALSE),"")</f>
        <v/>
      </c>
      <c r="K21" s="56" t="str">
        <f>IFERROR(VLOOKUP($A21,TableHandbook[],K$2,FALSE),"")</f>
        <v/>
      </c>
      <c r="L21" s="49"/>
      <c r="M21" s="117">
        <v>11</v>
      </c>
      <c r="N21" s="19"/>
      <c r="O21" s="19"/>
      <c r="P21" s="20"/>
      <c r="Q21" s="20"/>
      <c r="R21" s="20"/>
      <c r="S21" s="20"/>
      <c r="T21" s="20"/>
      <c r="U21" s="20"/>
      <c r="V21" s="20"/>
      <c r="W21" s="20"/>
    </row>
    <row r="22" spans="1:23" s="21" customFormat="1" ht="20.100000000000001" customHeight="1" x14ac:dyDescent="0.25">
      <c r="A22" s="194" t="str">
        <f>IFERROR(IF(HLOOKUP($L$5,RangeINTRNSUnitsets,M22,FALSE)=0,"",HLOOKUP($L$5,RangeINTRNSUnitsets,M22,FALSE)),"")</f>
        <v/>
      </c>
      <c r="B22" s="47" t="str">
        <f>IFERROR(IF(VLOOKUP($A22,TableHandbook[],2,FALSE)=0,"",VLOOKUP($A22,TableHandbook[],2,FALSE)),"")</f>
        <v/>
      </c>
      <c r="C22" s="47" t="str">
        <f>IFERROR(IF(VLOOKUP($A22,TableHandbook[],3,FALSE)=0,"",VLOOKUP($A22,TableHandbook[],3,FALSE)),"")</f>
        <v/>
      </c>
      <c r="D22" s="48" t="str">
        <f>IFERROR(IF(VLOOKUP($A22,TableHandbook[],4,FALSE)=0,"",VLOOKUP($A22,TableHandbook[],4,FALSE)),"")</f>
        <v/>
      </c>
      <c r="E22" s="47" t="str">
        <f>IF(OR(A22="",A22="-",A22=" "),"",E20)</f>
        <v/>
      </c>
      <c r="F22" s="44" t="str">
        <f>IFERROR(IF(VLOOKUP($A22,TableHandbook[],6,FALSE)=0,"",VLOOKUP($A22,TableHandbook[],6,FALSE)),"")</f>
        <v/>
      </c>
      <c r="G22" s="45" t="str">
        <f>IFERROR(IF(VLOOKUP($A22,TableHandbook[],5,FALSE)=0,"",VLOOKUP($A22,TableHandbook[],5,FALSE)),"")</f>
        <v/>
      </c>
      <c r="H22" s="55" t="str">
        <f>IFERROR(VLOOKUP($A22,TableHandbook[],H$2,FALSE),"")</f>
        <v/>
      </c>
      <c r="I22" s="56" t="str">
        <f>IFERROR(VLOOKUP($A22,TableHandbook[],I$2,FALSE),"")</f>
        <v/>
      </c>
      <c r="J22" s="55" t="str">
        <f>IFERROR(VLOOKUP($A22,TableHandbook[],J$2,FALSE),"")</f>
        <v/>
      </c>
      <c r="K22" s="56" t="str">
        <f>IFERROR(VLOOKUP($A22,TableHandbook[],K$2,FALSE),"")</f>
        <v/>
      </c>
      <c r="L22" s="49"/>
      <c r="M22" s="117">
        <v>12</v>
      </c>
      <c r="N22" s="19"/>
      <c r="O22" s="19"/>
      <c r="P22" s="20"/>
      <c r="Q22" s="20"/>
      <c r="R22" s="20"/>
      <c r="S22" s="20"/>
      <c r="T22" s="20"/>
      <c r="U22" s="20"/>
      <c r="V22" s="20"/>
      <c r="W22" s="20"/>
    </row>
    <row r="23" spans="1:23" s="21" customFormat="1" ht="20.100000000000001" customHeight="1" x14ac:dyDescent="0.25">
      <c r="A23" s="194" t="str">
        <f>IFERROR(IF(HLOOKUP($L$5,RangeINTRNSUnitsets,M23,FALSE)=0,"",HLOOKUP($L$5,RangeINTRNSUnitsets,M23,FALSE)),"")</f>
        <v/>
      </c>
      <c r="B23" s="47" t="str">
        <f>IFERROR(IF(VLOOKUP($A23,TableHandbook[],2,FALSE)=0,"",VLOOKUP($A23,TableHandbook[],2,FALSE)),"")</f>
        <v/>
      </c>
      <c r="C23" s="47" t="str">
        <f>IFERROR(IF(VLOOKUP($A23,TableHandbook[],3,FALSE)=0,"",VLOOKUP($A23,TableHandbook[],3,FALSE)),"")</f>
        <v/>
      </c>
      <c r="D23" s="48" t="str">
        <f>IFERROR(IF(VLOOKUP($A23,TableHandbook[],4,FALSE)=0,"",VLOOKUP($A23,TableHandbook[],4,FALSE)),"")</f>
        <v/>
      </c>
      <c r="E23" s="47" t="str">
        <f>IF(OR(A23="",A23="-",A23=" "),"",E20)</f>
        <v/>
      </c>
      <c r="F23" s="44" t="str">
        <f>IFERROR(IF(VLOOKUP($A23,TableHandbook[],6,FALSE)=0,"",VLOOKUP($A23,TableHandbook[],6,FALSE)),"")</f>
        <v/>
      </c>
      <c r="G23" s="45" t="str">
        <f>IFERROR(IF(VLOOKUP($A23,TableHandbook[],5,FALSE)=0,"",VLOOKUP($A23,TableHandbook[],5,FALSE)),"")</f>
        <v/>
      </c>
      <c r="H23" s="55" t="str">
        <f>IFERROR(VLOOKUP($A23,TableHandbook[],H$2,FALSE),"")</f>
        <v/>
      </c>
      <c r="I23" s="56" t="str">
        <f>IFERROR(VLOOKUP($A23,TableHandbook[],I$2,FALSE),"")</f>
        <v/>
      </c>
      <c r="J23" s="55" t="str">
        <f>IFERROR(VLOOKUP($A23,TableHandbook[],J$2,FALSE),"")</f>
        <v/>
      </c>
      <c r="K23" s="56" t="str">
        <f>IFERROR(VLOOKUP($A23,TableHandbook[],K$2,FALSE),"")</f>
        <v/>
      </c>
      <c r="L23" s="49"/>
      <c r="M23" s="117">
        <v>13</v>
      </c>
      <c r="N23" s="19"/>
      <c r="O23" s="19"/>
      <c r="P23" s="20"/>
      <c r="Q23" s="20"/>
      <c r="R23" s="20"/>
      <c r="S23" s="20"/>
      <c r="T23" s="20"/>
      <c r="U23" s="20"/>
      <c r="V23" s="20"/>
      <c r="W23" s="20"/>
    </row>
    <row r="24" spans="1:23" s="21" customFormat="1" ht="5.0999999999999996" customHeight="1" x14ac:dyDescent="0.25">
      <c r="A24" s="195"/>
      <c r="B24" s="23"/>
      <c r="C24" s="23"/>
      <c r="D24" s="24"/>
      <c r="E24" s="23"/>
      <c r="F24" s="25"/>
      <c r="G24" s="23"/>
      <c r="H24" s="57"/>
      <c r="I24" s="58"/>
      <c r="J24" s="57"/>
      <c r="K24" s="58"/>
      <c r="L24" s="26"/>
      <c r="M24" s="117"/>
      <c r="N24" s="19"/>
      <c r="O24" s="19"/>
      <c r="P24" s="19"/>
      <c r="Q24" s="20"/>
      <c r="R24" s="20"/>
      <c r="S24" s="20"/>
      <c r="T24" s="20"/>
      <c r="U24" s="20"/>
      <c r="V24" s="20"/>
      <c r="W24" s="20"/>
    </row>
    <row r="25" spans="1:23" s="21" customFormat="1" ht="20.100000000000001" customHeight="1" x14ac:dyDescent="0.25">
      <c r="A25" s="194" t="str">
        <f>IFERROR(IF(HLOOKUP($L$5,RangeINTRNSUnitsets,M25,FALSE)=0,"",HLOOKUP($L$5,RangeINTRNSUnitsets,M25,FALSE)),"")</f>
        <v/>
      </c>
      <c r="B25" s="47" t="str">
        <f>IFERROR(IF(VLOOKUP($A25,TableHandbook[],2,FALSE)=0,"",VLOOKUP($A25,TableHandbook[],2,FALSE)),"")</f>
        <v/>
      </c>
      <c r="C25" s="47" t="str">
        <f>IFERROR(IF(VLOOKUP($A25,TableHandbook[],3,FALSE)=0,"",VLOOKUP($A25,TableHandbook[],3,FALSE)),"")</f>
        <v/>
      </c>
      <c r="D25" s="48" t="str">
        <f>IFERROR(IF(VLOOKUP($A25,TableHandbook[],4,FALSE)=0,"",VLOOKUP($A25,TableHandbook[],4,FALSE)),"")</f>
        <v/>
      </c>
      <c r="E25" s="47" t="str">
        <f>IF(A25="","",VLOOKUP($D$6,TableStudyPeriods[],3,FALSE))</f>
        <v/>
      </c>
      <c r="F25" s="44" t="str">
        <f>IFERROR(IF(VLOOKUP($A25,TableHandbook[],6,FALSE)=0,"",VLOOKUP($A25,TableHandbook[],6,FALSE)),"")</f>
        <v/>
      </c>
      <c r="G25" s="45" t="str">
        <f>IFERROR(IF(VLOOKUP($A25,TableHandbook[],5,FALSE)=0,"",VLOOKUP($A25,TableHandbook[],5,FALSE)),"")</f>
        <v/>
      </c>
      <c r="H25" s="55" t="str">
        <f>IFERROR(VLOOKUP($A25,TableHandbook[],H$2,FALSE),"")</f>
        <v/>
      </c>
      <c r="I25" s="56" t="str">
        <f>IFERROR(VLOOKUP($A25,TableHandbook[],I$2,FALSE),"")</f>
        <v/>
      </c>
      <c r="J25" s="55" t="str">
        <f>IFERROR(VLOOKUP($A25,TableHandbook[],J$2,FALSE),"")</f>
        <v/>
      </c>
      <c r="K25" s="56" t="str">
        <f>IFERROR(VLOOKUP($A25,TableHandbook[],K$2,FALSE),"")</f>
        <v/>
      </c>
      <c r="L25" s="49"/>
      <c r="M25" s="117">
        <v>14</v>
      </c>
      <c r="N25" s="19"/>
      <c r="O25" s="19"/>
      <c r="P25" s="20"/>
      <c r="Q25" s="20"/>
      <c r="R25" s="20"/>
      <c r="S25" s="20"/>
      <c r="T25" s="20"/>
      <c r="U25" s="20"/>
      <c r="V25" s="20"/>
      <c r="W25" s="20"/>
    </row>
    <row r="26" spans="1:23" s="21" customFormat="1" ht="20.100000000000001" customHeight="1" x14ac:dyDescent="0.25">
      <c r="A26" s="194" t="str">
        <f>IFERROR(IF(HLOOKUP($L$5,RangeINTRNSUnitsets,M26,FALSE)=0,"",HLOOKUP($L$5,RangeINTRNSUnitsets,M26,FALSE)),"")</f>
        <v/>
      </c>
      <c r="B26" s="47" t="str">
        <f>IFERROR(IF(VLOOKUP($A26,TableHandbook[],2,FALSE)=0,"",VLOOKUP($A26,TableHandbook[],2,FALSE)),"")</f>
        <v/>
      </c>
      <c r="C26" s="47" t="str">
        <f>IFERROR(IF(VLOOKUP($A26,TableHandbook[],3,FALSE)=0,"",VLOOKUP($A26,TableHandbook[],3,FALSE)),"")</f>
        <v/>
      </c>
      <c r="D26" s="50" t="str">
        <f>IFERROR(IF(VLOOKUP($A26,TableHandbook[],4,FALSE)=0,"",VLOOKUP($A26,TableHandbook[],4,FALSE)),"")</f>
        <v/>
      </c>
      <c r="E26" s="47" t="str">
        <f>IF(OR(A26="",A26="-",A26=" "),"",E25)</f>
        <v/>
      </c>
      <c r="F26" s="44" t="str">
        <f>IFERROR(IF(VLOOKUP($A26,TableHandbook[],6,FALSE)=0,"",VLOOKUP($A26,TableHandbook[],6,FALSE)),"")</f>
        <v/>
      </c>
      <c r="G26" s="45" t="str">
        <f>IFERROR(IF(VLOOKUP($A26,TableHandbook[],5,FALSE)=0,"",VLOOKUP($A26,TableHandbook[],5,FALSE)),"")</f>
        <v/>
      </c>
      <c r="H26" s="55" t="str">
        <f>IFERROR(VLOOKUP($A26,TableHandbook[],H$2,FALSE),"")</f>
        <v/>
      </c>
      <c r="I26" s="56" t="str">
        <f>IFERROR(VLOOKUP($A26,TableHandbook[],I$2,FALSE),"")</f>
        <v/>
      </c>
      <c r="J26" s="55" t="str">
        <f>IFERROR(VLOOKUP($A26,TableHandbook[],J$2,FALSE),"")</f>
        <v/>
      </c>
      <c r="K26" s="56" t="str">
        <f>IFERROR(VLOOKUP($A26,TableHandbook[],K$2,FALSE),"")</f>
        <v/>
      </c>
      <c r="L26" s="49"/>
      <c r="M26" s="117">
        <v>15</v>
      </c>
      <c r="N26" s="19"/>
      <c r="O26" s="19"/>
      <c r="P26" s="20"/>
      <c r="Q26" s="20"/>
      <c r="R26" s="20"/>
      <c r="S26" s="20"/>
      <c r="T26" s="20"/>
      <c r="U26" s="20"/>
      <c r="V26" s="20"/>
      <c r="W26" s="20"/>
    </row>
    <row r="27" spans="1:23" s="21" customFormat="1" ht="20.100000000000001" customHeight="1" x14ac:dyDescent="0.25">
      <c r="A27" s="194" t="str">
        <f>IFERROR(IF(HLOOKUP($L$5,RangeINTRNSUnitsets,M27,FALSE)=0,"",HLOOKUP($L$5,RangeINTRNSUnitsets,M27,FALSE)),"")</f>
        <v/>
      </c>
      <c r="B27" s="47" t="str">
        <f>IFERROR(IF(VLOOKUP($A27,TableHandbook[],2,FALSE)=0,"",VLOOKUP($A27,TableHandbook[],2,FALSE)),"")</f>
        <v/>
      </c>
      <c r="C27" s="47" t="str">
        <f>IFERROR(IF(VLOOKUP($A27,TableHandbook[],3,FALSE)=0,"",VLOOKUP($A27,TableHandbook[],3,FALSE)),"")</f>
        <v/>
      </c>
      <c r="D27" s="50" t="str">
        <f>IFERROR(IF(VLOOKUP($A27,TableHandbook[],4,FALSE)=0,"",VLOOKUP($A27,TableHandbook[],4,FALSE)),"")</f>
        <v/>
      </c>
      <c r="E27" s="47" t="str">
        <f>IF(OR(A27="",A27="-",A27=" "),"",E25)</f>
        <v/>
      </c>
      <c r="F27" s="44" t="str">
        <f>IFERROR(IF(VLOOKUP($A27,TableHandbook[],6,FALSE)=0,"",VLOOKUP($A27,TableHandbook[],6,FALSE)),"")</f>
        <v/>
      </c>
      <c r="G27" s="45" t="str">
        <f>IFERROR(IF(VLOOKUP($A27,TableHandbook[],5,FALSE)=0,"",VLOOKUP($A27,TableHandbook[],5,FALSE)),"")</f>
        <v/>
      </c>
      <c r="H27" s="55" t="str">
        <f>IFERROR(VLOOKUP($A27,TableHandbook[],H$2,FALSE),"")</f>
        <v/>
      </c>
      <c r="I27" s="56" t="str">
        <f>IFERROR(VLOOKUP($A27,TableHandbook[],I$2,FALSE),"")</f>
        <v/>
      </c>
      <c r="J27" s="55" t="str">
        <f>IFERROR(VLOOKUP($A27,TableHandbook[],J$2,FALSE),"")</f>
        <v/>
      </c>
      <c r="K27" s="56" t="str">
        <f>IFERROR(VLOOKUP($A27,TableHandbook[],K$2,FALSE),"")</f>
        <v/>
      </c>
      <c r="L27" s="49"/>
      <c r="M27" s="117">
        <v>16</v>
      </c>
      <c r="N27" s="19"/>
      <c r="O27" s="19"/>
      <c r="P27" s="20"/>
      <c r="Q27" s="20"/>
      <c r="R27" s="20"/>
      <c r="S27" s="20"/>
      <c r="T27" s="20"/>
      <c r="U27" s="20"/>
      <c r="V27" s="20"/>
      <c r="W27" s="20"/>
    </row>
    <row r="28" spans="1:23" s="21" customFormat="1" ht="20.100000000000001" customHeight="1" x14ac:dyDescent="0.25">
      <c r="A28" s="194" t="str">
        <f>IFERROR(IF(HLOOKUP($L$5,RangeINTRNSUnitsets,M28,FALSE)=0,"",HLOOKUP($L$5,RangeINTRNSUnitsets,M28,FALSE)),"")</f>
        <v/>
      </c>
      <c r="B28" s="47" t="str">
        <f>IFERROR(IF(VLOOKUP($A28,TableHandbook[],2,FALSE)=0,"",VLOOKUP($A28,TableHandbook[],2,FALSE)),"")</f>
        <v/>
      </c>
      <c r="C28" s="47" t="str">
        <f>IFERROR(IF(VLOOKUP($A28,TableHandbook[],3,FALSE)=0,"",VLOOKUP($A28,TableHandbook[],3,FALSE)),"")</f>
        <v/>
      </c>
      <c r="D28" s="50" t="str">
        <f>IFERROR(IF(VLOOKUP($A28,TableHandbook[],4,FALSE)=0,"",VLOOKUP($A28,TableHandbook[],4,FALSE)),"")</f>
        <v/>
      </c>
      <c r="E28" s="47" t="str">
        <f>IF(OR(A28="",A28="-",A28=" "),"",E25)</f>
        <v/>
      </c>
      <c r="F28" s="44" t="str">
        <f>IFERROR(IF(VLOOKUP($A28,TableHandbook[],6,FALSE)=0,"",VLOOKUP($A28,TableHandbook[],6,FALSE)),"")</f>
        <v/>
      </c>
      <c r="G28" s="45" t="str">
        <f>IFERROR(IF(VLOOKUP($A28,TableHandbook[],5,FALSE)=0,"",VLOOKUP($A28,TableHandbook[],5,FALSE)),"")</f>
        <v/>
      </c>
      <c r="H28" s="55" t="str">
        <f>IFERROR(VLOOKUP($A28,TableHandbook[],H$2,FALSE),"")</f>
        <v/>
      </c>
      <c r="I28" s="56" t="str">
        <f>IFERROR(VLOOKUP($A28,TableHandbook[],I$2,FALSE),"")</f>
        <v/>
      </c>
      <c r="J28" s="55" t="str">
        <f>IFERROR(VLOOKUP($A28,TableHandbook[],J$2,FALSE),"")</f>
        <v/>
      </c>
      <c r="K28" s="56" t="str">
        <f>IFERROR(VLOOKUP($A28,TableHandbook[],K$2,FALSE),"")</f>
        <v/>
      </c>
      <c r="L28" s="49"/>
      <c r="M28" s="117">
        <v>17</v>
      </c>
      <c r="N28" s="19"/>
      <c r="O28" s="19"/>
      <c r="P28" s="20"/>
      <c r="Q28" s="20"/>
      <c r="R28" s="20"/>
      <c r="S28" s="20"/>
      <c r="T28" s="20"/>
      <c r="U28" s="20"/>
      <c r="V28" s="20"/>
      <c r="W28" s="20"/>
    </row>
    <row r="29" spans="1:23" s="29" customFormat="1" ht="20.100000000000001" customHeight="1" x14ac:dyDescent="0.25">
      <c r="A29" s="123"/>
      <c r="B29" s="124"/>
      <c r="C29" s="124"/>
      <c r="D29" s="143"/>
      <c r="E29" s="123"/>
      <c r="F29" s="144"/>
      <c r="G29" s="123"/>
      <c r="H29" s="123"/>
      <c r="I29" s="123"/>
      <c r="J29" s="123"/>
      <c r="K29" s="123"/>
      <c r="L29" s="145"/>
      <c r="M29" s="117"/>
      <c r="N29" s="27"/>
      <c r="O29" s="27"/>
      <c r="P29" s="28"/>
      <c r="Q29" s="28"/>
      <c r="R29" s="28"/>
      <c r="S29" s="28"/>
      <c r="T29" s="28"/>
      <c r="U29" s="28"/>
      <c r="V29" s="28"/>
      <c r="W29" s="28"/>
    </row>
    <row r="30" spans="1:23" ht="20.399999999999999" x14ac:dyDescent="0.3">
      <c r="A30" s="161" t="s">
        <v>253</v>
      </c>
      <c r="B30" s="125"/>
      <c r="C30" s="125"/>
      <c r="D30" s="126"/>
      <c r="E30" s="127"/>
      <c r="F30" s="127"/>
      <c r="G30" s="127"/>
      <c r="H30" s="160" t="str">
        <f>H8</f>
        <v>2025 Availabilities</v>
      </c>
      <c r="I30" s="128"/>
      <c r="J30" s="129"/>
      <c r="K30" s="130"/>
      <c r="L30" s="294" t="str">
        <f>VLOOKUP(D5,TableCourses[],2,FALSE)</f>
        <v>GC-INTSEC</v>
      </c>
      <c r="M30" s="119"/>
      <c r="N30" s="15"/>
      <c r="O30" s="15"/>
      <c r="P30" s="15"/>
      <c r="Q30" s="15"/>
      <c r="R30" s="15"/>
      <c r="S30" s="15"/>
      <c r="T30" s="15"/>
      <c r="U30" s="15"/>
      <c r="V30" s="15"/>
      <c r="W30" s="15"/>
    </row>
    <row r="31" spans="1:23" s="38" customFormat="1" ht="22.8" x14ac:dyDescent="0.3">
      <c r="A31" s="192"/>
      <c r="B31" s="132"/>
      <c r="C31" s="132"/>
      <c r="D31" s="133" t="s">
        <v>3</v>
      </c>
      <c r="E31" s="138"/>
      <c r="F31" s="132" t="s">
        <v>23</v>
      </c>
      <c r="G31" s="132" t="s">
        <v>24</v>
      </c>
      <c r="H31" s="139" t="str">
        <f>H$9</f>
        <v>Sem1 BEN</v>
      </c>
      <c r="I31" s="140" t="str">
        <f t="shared" ref="I31:L31" si="1">I$9</f>
        <v>Sem1 FO</v>
      </c>
      <c r="J31" s="139" t="str">
        <f t="shared" si="1"/>
        <v>Sem2 BEN</v>
      </c>
      <c r="K31" s="140" t="str">
        <f t="shared" si="1"/>
        <v>Sem2 FO</v>
      </c>
      <c r="L31" s="132" t="str">
        <f t="shared" si="1"/>
        <v>Progress</v>
      </c>
      <c r="M31" s="119"/>
      <c r="N31" s="37"/>
      <c r="O31" s="37"/>
      <c r="P31" s="37"/>
      <c r="Q31" s="37"/>
      <c r="R31" s="37"/>
      <c r="S31" s="37"/>
      <c r="T31" s="37"/>
      <c r="U31" s="37"/>
      <c r="V31" s="37"/>
      <c r="W31" s="37"/>
    </row>
    <row r="32" spans="1:23" x14ac:dyDescent="0.3">
      <c r="A32" s="158" t="str">
        <f t="shared" ref="A32:A50" si="2">IFERROR(IF(HLOOKUP($L$30,RangeINTRNSOptions,$M32,FALSE)=0,"",HLOOKUP($L$30,RangeINTRNSOptions,$M32,FALSE)),"")</f>
        <v>AC-INTSEC3</v>
      </c>
      <c r="B32" s="100" t="str">
        <f>IFERROR(IF(VLOOKUP($A32,TableHandbook[],2,FALSE)=0,"",VLOOKUP($A32,TableHandbook[],2,FALSE)),"")</f>
        <v/>
      </c>
      <c r="C32" s="100" t="str">
        <f>IFERROR(IF(VLOOKUP($A32,TableHandbook[],3,FALSE)=0,"",VLOOKUP($A32,TableHandbook[],3,FALSE)),"")</f>
        <v/>
      </c>
      <c r="D32" s="39" t="str">
        <f>IFERROR(IF(VLOOKUP($A32,TableHandbook[],4,FALSE)=0,"",VLOOKUP($A32,TableHandbook[],4,FALSE)),"")</f>
        <v>Study either POLS5000 or POLS5003 (see below)</v>
      </c>
      <c r="E32" s="40"/>
      <c r="F32" s="41" t="str">
        <f>IFERROR(IF(VLOOKUP($A32,TableHandbook[],6,FALSE)=0,"",VLOOKUP($A32,TableHandbook[],6,FALSE)),"")</f>
        <v>See below</v>
      </c>
      <c r="G32" s="41">
        <f>IFERROR(IF(VLOOKUP($A32,TableHandbook[],5,FALSE)=0,"",VLOOKUP($A32,TableHandbook[],5,FALSE)),"")</f>
        <v>25</v>
      </c>
      <c r="H32" s="55" t="str">
        <f>IFERROR(VLOOKUP($A32,TableHandbook[],H$2,FALSE),"")</f>
        <v/>
      </c>
      <c r="I32" s="56" t="str">
        <f>IFERROR(VLOOKUP($A32,TableHandbook[],I$2,FALSE),"")</f>
        <v/>
      </c>
      <c r="J32" s="55" t="str">
        <f>IFERROR(VLOOKUP($A32,TableHandbook[],J$2,FALSE),"")</f>
        <v/>
      </c>
      <c r="K32" s="56" t="str">
        <f>IFERROR(VLOOKUP($A32,TableHandbook[],K$2,FALSE),"")</f>
        <v/>
      </c>
      <c r="L32" s="46"/>
      <c r="M32" s="117">
        <v>2</v>
      </c>
      <c r="N32" s="15"/>
      <c r="O32" s="15"/>
      <c r="P32" s="15"/>
      <c r="Q32" s="15"/>
      <c r="R32" s="15"/>
      <c r="S32" s="15"/>
      <c r="T32" s="15"/>
      <c r="U32" s="15"/>
      <c r="V32" s="15"/>
      <c r="W32" s="15"/>
    </row>
    <row r="33" spans="1:23" x14ac:dyDescent="0.3">
      <c r="A33" s="158" t="str">
        <f t="shared" si="2"/>
        <v>POLS5000</v>
      </c>
      <c r="B33" s="100">
        <f>IFERROR(IF(VLOOKUP($A33,TableHandbook[],2,FALSE)=0,"",VLOOKUP($A33,TableHandbook[],2,FALSE)),"")</f>
        <v>3</v>
      </c>
      <c r="C33" s="100" t="str">
        <f>IFERROR(IF(VLOOKUP($A33,TableHandbook[],3,FALSE)=0,"",VLOOKUP($A33,TableHandbook[],3,FALSE)),"")</f>
        <v/>
      </c>
      <c r="D33" s="39" t="str">
        <f>IFERROR(IF(VLOOKUP($A33,TableHandbook[],4,FALSE)=0,"",VLOOKUP($A33,TableHandbook[],4,FALSE)),"")</f>
        <v>International Security in Theory and Practice</v>
      </c>
      <c r="E33" s="40"/>
      <c r="F33" s="41" t="str">
        <f>IFERROR(IF(VLOOKUP($A33,TableHandbook[],6,FALSE)=0,"",VLOOKUP($A33,TableHandbook[],6,FALSE)),"")</f>
        <v>None</v>
      </c>
      <c r="G33" s="41">
        <f>IFERROR(IF(VLOOKUP($A33,TableHandbook[],5,FALSE)=0,"",VLOOKUP($A33,TableHandbook[],5,FALSE)),"")</f>
        <v>25</v>
      </c>
      <c r="H33" s="55" t="str">
        <f>IFERROR(VLOOKUP($A33,TableHandbook[],H$2,FALSE),"")</f>
        <v>Y</v>
      </c>
      <c r="I33" s="56" t="str">
        <f>IFERROR(VLOOKUP($A33,TableHandbook[],I$2,FALSE),"")</f>
        <v>Y</v>
      </c>
      <c r="J33" s="55" t="str">
        <f>IFERROR(VLOOKUP($A33,TableHandbook[],J$2,FALSE),"")</f>
        <v/>
      </c>
      <c r="K33" s="56" t="str">
        <f>IFERROR(VLOOKUP($A33,TableHandbook[],K$2,FALSE),"")</f>
        <v/>
      </c>
      <c r="L33" s="46"/>
      <c r="M33" s="117">
        <v>3</v>
      </c>
      <c r="N33" s="15"/>
      <c r="O33" s="15"/>
      <c r="P33" s="15"/>
      <c r="Q33" s="15"/>
      <c r="R33" s="15"/>
      <c r="S33" s="15"/>
      <c r="T33" s="15"/>
      <c r="U33" s="15"/>
      <c r="V33" s="15"/>
      <c r="W33" s="15"/>
    </row>
    <row r="34" spans="1:23" x14ac:dyDescent="0.3">
      <c r="A34" s="158" t="str">
        <f t="shared" si="2"/>
        <v>POLS5003</v>
      </c>
      <c r="B34" s="100">
        <f>IFERROR(IF(VLOOKUP($A34,TableHandbook[],2,FALSE)=0,"",VLOOKUP($A34,TableHandbook[],2,FALSE)),"")</f>
        <v>2</v>
      </c>
      <c r="C34" s="100" t="str">
        <f>IFERROR(IF(VLOOKUP($A34,TableHandbook[],3,FALSE)=0,"",VLOOKUP($A34,TableHandbook[],3,FALSE)),"")</f>
        <v/>
      </c>
      <c r="D34" s="39" t="str">
        <f>IFERROR(IF(VLOOKUP($A34,TableHandbook[],4,FALSE)=0,"",VLOOKUP($A34,TableHandbook[],4,FALSE)),"")</f>
        <v>National Strategy and Security</v>
      </c>
      <c r="E34" s="40"/>
      <c r="F34" s="41" t="str">
        <f>IFERROR(IF(VLOOKUP($A34,TableHandbook[],6,FALSE)=0,"",VLOOKUP($A34,TableHandbook[],6,FALSE)),"")</f>
        <v>None</v>
      </c>
      <c r="G34" s="41">
        <f>IFERROR(IF(VLOOKUP($A34,TableHandbook[],5,FALSE)=0,"",VLOOKUP($A34,TableHandbook[],5,FALSE)),"")</f>
        <v>25</v>
      </c>
      <c r="H34" s="55" t="str">
        <f>IFERROR(VLOOKUP($A34,TableHandbook[],H$2,FALSE),"")</f>
        <v/>
      </c>
      <c r="I34" s="56" t="str">
        <f>IFERROR(VLOOKUP($A34,TableHandbook[],I$2,FALSE),"")</f>
        <v/>
      </c>
      <c r="J34" s="55" t="str">
        <f>IFERROR(VLOOKUP($A34,TableHandbook[],J$2,FALSE),"")</f>
        <v>Y</v>
      </c>
      <c r="K34" s="56" t="str">
        <f>IFERROR(VLOOKUP($A34,TableHandbook[],K$2,FALSE),"")</f>
        <v>Y</v>
      </c>
      <c r="L34" s="46"/>
      <c r="M34" s="117">
        <v>4</v>
      </c>
      <c r="N34" s="15"/>
      <c r="O34" s="15"/>
      <c r="P34" s="15"/>
      <c r="Q34" s="15"/>
      <c r="R34" s="15"/>
      <c r="S34" s="15"/>
      <c r="T34" s="15"/>
      <c r="U34" s="15"/>
      <c r="V34" s="15"/>
      <c r="W34" s="15"/>
    </row>
    <row r="35" spans="1:23" x14ac:dyDescent="0.3">
      <c r="A35" s="158" t="str">
        <f t="shared" si="2"/>
        <v xml:space="preserve"> </v>
      </c>
      <c r="B35" s="100" t="str">
        <f>IFERROR(IF(VLOOKUP($A35,TableHandbook[],2,FALSE)=0,"",VLOOKUP($A35,TableHandbook[],2,FALSE)),"")</f>
        <v/>
      </c>
      <c r="C35" s="100" t="str">
        <f>IFERROR(IF(VLOOKUP($A35,TableHandbook[],3,FALSE)=0,"",VLOOKUP($A35,TableHandbook[],3,FALSE)),"")</f>
        <v/>
      </c>
      <c r="D35" s="39" t="str">
        <f>IFERROR(IF(VLOOKUP($A35,TableHandbook[],4,FALSE)=0,"",VLOOKUP($A35,TableHandbook[],4,FALSE)),"")</f>
        <v/>
      </c>
      <c r="E35" s="40"/>
      <c r="F35" s="41" t="str">
        <f>IFERROR(IF(VLOOKUP($A35,TableHandbook[],6,FALSE)=0,"",VLOOKUP($A35,TableHandbook[],6,FALSE)),"")</f>
        <v/>
      </c>
      <c r="G35" s="41" t="str">
        <f>IFERROR(IF(VLOOKUP($A35,TableHandbook[],5,FALSE)=0,"",VLOOKUP($A35,TableHandbook[],5,FALSE)),"")</f>
        <v/>
      </c>
      <c r="H35" s="55" t="str">
        <f>IFERROR(VLOOKUP($A35,TableHandbook[],H$2,FALSE),"")</f>
        <v/>
      </c>
      <c r="I35" s="56" t="str">
        <f>IFERROR(VLOOKUP($A35,TableHandbook[],I$2,FALSE),"")</f>
        <v/>
      </c>
      <c r="J35" s="55" t="str">
        <f>IFERROR(VLOOKUP($A35,TableHandbook[],J$2,FALSE),"")</f>
        <v/>
      </c>
      <c r="K35" s="56" t="str">
        <f>IFERROR(VLOOKUP($A35,TableHandbook[],K$2,FALSE),"")</f>
        <v/>
      </c>
      <c r="L35" s="46"/>
      <c r="M35" s="117">
        <v>5</v>
      </c>
      <c r="N35" s="15"/>
      <c r="O35" s="15"/>
      <c r="P35" s="15"/>
      <c r="Q35" s="15"/>
      <c r="R35" s="15"/>
      <c r="S35" s="15"/>
      <c r="T35" s="15"/>
      <c r="U35" s="15"/>
      <c r="V35" s="15"/>
      <c r="W35" s="15"/>
    </row>
    <row r="36" spans="1:23" x14ac:dyDescent="0.3">
      <c r="A36" s="158" t="str">
        <f t="shared" si="2"/>
        <v>Opt-INTSEC.</v>
      </c>
      <c r="B36" s="100" t="str">
        <f>IFERROR(IF(VLOOKUP($A36,TableHandbook[],2,FALSE)=0,"",VLOOKUP($A36,TableHandbook[],2,FALSE)),"")</f>
        <v/>
      </c>
      <c r="C36" s="100" t="str">
        <f>IFERROR(IF(VLOOKUP($A36,TableHandbook[],3,FALSE)=0,"",VLOOKUP($A36,TableHandbook[],3,FALSE)),"")</f>
        <v/>
      </c>
      <c r="D36" s="39" t="str">
        <f>IFERROR(IF(VLOOKUP($A36,TableHandbook[],4,FALSE)=0,"",VLOOKUP($A36,TableHandbook[],4,FALSE)),"")</f>
        <v>Study Options from this list</v>
      </c>
      <c r="E36" s="40"/>
      <c r="F36" s="41" t="str">
        <f>IFERROR(IF(VLOOKUP($A36,TableHandbook[],6,FALSE)=0,"",VLOOKUP($A36,TableHandbook[],6,FALSE)),"")</f>
        <v/>
      </c>
      <c r="G36" s="41" t="str">
        <f>IFERROR(IF(VLOOKUP($A36,TableHandbook[],5,FALSE)=0,"",VLOOKUP($A36,TableHandbook[],5,FALSE)),"")</f>
        <v/>
      </c>
      <c r="H36" s="55" t="str">
        <f>IFERROR(VLOOKUP($A36,TableHandbook[],H$2,FALSE),"")</f>
        <v/>
      </c>
      <c r="I36" s="56" t="str">
        <f>IFERROR(VLOOKUP($A36,TableHandbook[],I$2,FALSE),"")</f>
        <v/>
      </c>
      <c r="J36" s="55" t="str">
        <f>IFERROR(VLOOKUP($A36,TableHandbook[],J$2,FALSE),"")</f>
        <v/>
      </c>
      <c r="K36" s="56" t="str">
        <f>IFERROR(VLOOKUP($A36,TableHandbook[],K$2,FALSE),"")</f>
        <v/>
      </c>
      <c r="L36" s="46"/>
      <c r="M36" s="117">
        <v>6</v>
      </c>
      <c r="N36" s="15"/>
      <c r="O36" s="15"/>
      <c r="P36" s="15"/>
      <c r="Q36" s="15"/>
      <c r="R36" s="15"/>
      <c r="S36" s="15"/>
      <c r="T36" s="15"/>
      <c r="U36" s="15"/>
      <c r="V36" s="15"/>
      <c r="W36" s="15"/>
    </row>
    <row r="37" spans="1:23" x14ac:dyDescent="0.3">
      <c r="A37" s="158" t="str">
        <f t="shared" si="2"/>
        <v>INTR5001</v>
      </c>
      <c r="B37" s="100">
        <f>IFERROR(IF(VLOOKUP($A37,TableHandbook[],2,FALSE)=0,"",VLOOKUP($A37,TableHandbook[],2,FALSE)),"")</f>
        <v>2</v>
      </c>
      <c r="C37" s="100" t="str">
        <f>IFERROR(IF(VLOOKUP($A37,TableHandbook[],3,FALSE)=0,"",VLOOKUP($A37,TableHandbook[],3,FALSE)),"")</f>
        <v/>
      </c>
      <c r="D37" s="39" t="str">
        <f>IFERROR(IF(VLOOKUP($A37,TableHandbook[],4,FALSE)=0,"",VLOOKUP($A37,TableHandbook[],4,FALSE)),"")</f>
        <v>Women, Peace and Security</v>
      </c>
      <c r="E37" s="40"/>
      <c r="F37" s="41" t="str">
        <f>IFERROR(IF(VLOOKUP($A37,TableHandbook[],6,FALSE)=0,"",VLOOKUP($A37,TableHandbook[],6,FALSE)),"")</f>
        <v>None</v>
      </c>
      <c r="G37" s="41">
        <f>IFERROR(IF(VLOOKUP($A37,TableHandbook[],5,FALSE)=0,"",VLOOKUP($A37,TableHandbook[],5,FALSE)),"")</f>
        <v>25</v>
      </c>
      <c r="H37" s="55" t="str">
        <f>IFERROR(VLOOKUP($A37,TableHandbook[],H$2,FALSE),"")</f>
        <v>Y</v>
      </c>
      <c r="I37" s="56" t="str">
        <f>IFERROR(VLOOKUP($A37,TableHandbook[],I$2,FALSE),"")</f>
        <v>Y</v>
      </c>
      <c r="J37" s="55" t="str">
        <f>IFERROR(VLOOKUP($A37,TableHandbook[],J$2,FALSE),"")</f>
        <v/>
      </c>
      <c r="K37" s="56" t="str">
        <f>IFERROR(VLOOKUP($A37,TableHandbook[],K$2,FALSE),"")</f>
        <v/>
      </c>
      <c r="L37" s="46"/>
      <c r="M37" s="117">
        <v>7</v>
      </c>
      <c r="N37" s="15"/>
      <c r="O37" s="15"/>
      <c r="P37" s="15"/>
      <c r="Q37" s="15"/>
      <c r="R37" s="15"/>
      <c r="S37" s="15"/>
      <c r="T37" s="15"/>
      <c r="U37" s="15"/>
      <c r="V37" s="15"/>
      <c r="W37" s="15"/>
    </row>
    <row r="38" spans="1:23" x14ac:dyDescent="0.3">
      <c r="A38" s="158" t="str">
        <f t="shared" si="2"/>
        <v>INTR5002</v>
      </c>
      <c r="B38" s="100">
        <f>IFERROR(IF(VLOOKUP($A38,TableHandbook[],2,FALSE)=0,"",VLOOKUP($A38,TableHandbook[],2,FALSE)),"")</f>
        <v>2</v>
      </c>
      <c r="C38" s="100" t="str">
        <f>IFERROR(IF(VLOOKUP($A38,TableHandbook[],3,FALSE)=0,"",VLOOKUP($A38,TableHandbook[],3,FALSE)),"")</f>
        <v/>
      </c>
      <c r="D38" s="39" t="str">
        <f>IFERROR(IF(VLOOKUP($A38,TableHandbook[],4,FALSE)=0,"",VLOOKUP($A38,TableHandbook[],4,FALSE)),"")</f>
        <v>The Geopolitics of East Asia</v>
      </c>
      <c r="E38" s="40"/>
      <c r="F38" s="41" t="str">
        <f>IFERROR(IF(VLOOKUP($A38,TableHandbook[],6,FALSE)=0,"",VLOOKUP($A38,TableHandbook[],6,FALSE)),"")</f>
        <v>None</v>
      </c>
      <c r="G38" s="41">
        <f>IFERROR(IF(VLOOKUP($A38,TableHandbook[],5,FALSE)=0,"",VLOOKUP($A38,TableHandbook[],5,FALSE)),"")</f>
        <v>25</v>
      </c>
      <c r="H38" s="55" t="str">
        <f>IFERROR(VLOOKUP($A38,TableHandbook[],H$2,FALSE),"")</f>
        <v/>
      </c>
      <c r="I38" s="56" t="str">
        <f>IFERROR(VLOOKUP($A38,TableHandbook[],I$2,FALSE),"")</f>
        <v/>
      </c>
      <c r="J38" s="55" t="str">
        <f>IFERROR(VLOOKUP($A38,TableHandbook[],J$2,FALSE),"")</f>
        <v>Y</v>
      </c>
      <c r="K38" s="56" t="str">
        <f>IFERROR(VLOOKUP($A38,TableHandbook[],K$2,FALSE),"")</f>
        <v>Y</v>
      </c>
      <c r="L38" s="46"/>
      <c r="M38" s="117">
        <v>8</v>
      </c>
      <c r="N38" s="15"/>
      <c r="O38" s="15"/>
      <c r="P38" s="15"/>
      <c r="Q38" s="15"/>
      <c r="R38" s="15"/>
      <c r="S38" s="15"/>
      <c r="T38" s="15"/>
      <c r="U38" s="15"/>
      <c r="V38" s="15"/>
      <c r="W38" s="15"/>
    </row>
    <row r="39" spans="1:23" x14ac:dyDescent="0.3">
      <c r="A39" s="158" t="str">
        <f t="shared" si="2"/>
        <v>INTR5003</v>
      </c>
      <c r="B39" s="100">
        <f>IFERROR(IF(VLOOKUP($A39,TableHandbook[],2,FALSE)=0,"",VLOOKUP($A39,TableHandbook[],2,FALSE)),"")</f>
        <v>2</v>
      </c>
      <c r="C39" s="100" t="str">
        <f>IFERROR(IF(VLOOKUP($A39,TableHandbook[],3,FALSE)=0,"",VLOOKUP($A39,TableHandbook[],3,FALSE)),"")</f>
        <v/>
      </c>
      <c r="D39" s="39" t="str">
        <f>IFERROR(IF(VLOOKUP($A39,TableHandbook[],4,FALSE)=0,"",VLOOKUP($A39,TableHandbook[],4,FALSE)),"")</f>
        <v>Strategic Geography, Planning and Decision-making</v>
      </c>
      <c r="E39" s="40"/>
      <c r="F39" s="41" t="str">
        <f>IFERROR(IF(VLOOKUP($A39,TableHandbook[],6,FALSE)=0,"",VLOOKUP($A39,TableHandbook[],6,FALSE)),"")</f>
        <v>None</v>
      </c>
      <c r="G39" s="41">
        <f>IFERROR(IF(VLOOKUP($A39,TableHandbook[],5,FALSE)=0,"",VLOOKUP($A39,TableHandbook[],5,FALSE)),"")</f>
        <v>25</v>
      </c>
      <c r="H39" s="55" t="str">
        <f>IFERROR(VLOOKUP($A39,TableHandbook[],H$2,FALSE),"")</f>
        <v/>
      </c>
      <c r="I39" s="56" t="str">
        <f>IFERROR(VLOOKUP($A39,TableHandbook[],I$2,FALSE),"")</f>
        <v/>
      </c>
      <c r="J39" s="55" t="str">
        <f>IFERROR(VLOOKUP($A39,TableHandbook[],J$2,FALSE),"")</f>
        <v>Y</v>
      </c>
      <c r="K39" s="56" t="str">
        <f>IFERROR(VLOOKUP($A39,TableHandbook[],K$2,FALSE),"")</f>
        <v>Y</v>
      </c>
      <c r="L39" s="46"/>
      <c r="M39" s="117">
        <v>9</v>
      </c>
      <c r="N39" s="15"/>
      <c r="O39" s="15"/>
      <c r="P39" s="15"/>
      <c r="Q39" s="15"/>
      <c r="R39" s="15"/>
      <c r="S39" s="15"/>
      <c r="T39" s="15"/>
      <c r="U39" s="15"/>
      <c r="V39" s="15"/>
      <c r="W39" s="15"/>
    </row>
    <row r="40" spans="1:23" x14ac:dyDescent="0.3">
      <c r="A40" s="158" t="str">
        <f t="shared" si="2"/>
        <v>INTR5004</v>
      </c>
      <c r="B40" s="100">
        <f>IFERROR(IF(VLOOKUP($A40,TableHandbook[],2,FALSE)=0,"",VLOOKUP($A40,TableHandbook[],2,FALSE)),"")</f>
        <v>1</v>
      </c>
      <c r="C40" s="100" t="str">
        <f>IFERROR(IF(VLOOKUP($A40,TableHandbook[],3,FALSE)=0,"",VLOOKUP($A40,TableHandbook[],3,FALSE)),"")</f>
        <v/>
      </c>
      <c r="D40" s="39" t="str">
        <f>IFERROR(IF(VLOOKUP($A40,TableHandbook[],4,FALSE)=0,"",VLOOKUP($A40,TableHandbook[],4,FALSE)),"")</f>
        <v>Russian and Eurasian Studies</v>
      </c>
      <c r="E40" s="40"/>
      <c r="F40" s="41" t="str">
        <f>IFERROR(IF(VLOOKUP($A40,TableHandbook[],6,FALSE)=0,"",VLOOKUP($A40,TableHandbook[],6,FALSE)),"")</f>
        <v>None</v>
      </c>
      <c r="G40" s="41">
        <f>IFERROR(IF(VLOOKUP($A40,TableHandbook[],5,FALSE)=0,"",VLOOKUP($A40,TableHandbook[],5,FALSE)),"")</f>
        <v>25</v>
      </c>
      <c r="H40" s="55" t="str">
        <f>IFERROR(VLOOKUP($A40,TableHandbook[],H$2,FALSE),"")</f>
        <v/>
      </c>
      <c r="I40" s="56" t="str">
        <f>IFERROR(VLOOKUP($A40,TableHandbook[],I$2,FALSE),"")</f>
        <v/>
      </c>
      <c r="J40" s="55" t="str">
        <f>IFERROR(VLOOKUP($A40,TableHandbook[],J$2,FALSE),"")</f>
        <v>Y</v>
      </c>
      <c r="K40" s="56" t="str">
        <f>IFERROR(VLOOKUP($A40,TableHandbook[],K$2,FALSE),"")</f>
        <v>Y</v>
      </c>
      <c r="L40" s="46"/>
      <c r="M40" s="117">
        <v>10</v>
      </c>
      <c r="N40" s="15"/>
      <c r="O40" s="15"/>
      <c r="P40" s="15"/>
      <c r="Q40" s="15"/>
      <c r="R40" s="15"/>
      <c r="S40" s="15"/>
      <c r="T40" s="15"/>
      <c r="U40" s="15"/>
      <c r="V40" s="15"/>
      <c r="W40" s="15"/>
    </row>
    <row r="41" spans="1:23" x14ac:dyDescent="0.3">
      <c r="A41" s="158" t="str">
        <f t="shared" si="2"/>
        <v>INTR5005</v>
      </c>
      <c r="B41" s="100">
        <f>IFERROR(IF(VLOOKUP($A41,TableHandbook[],2,FALSE)=0,"",VLOOKUP($A41,TableHandbook[],2,FALSE)),"")</f>
        <v>1</v>
      </c>
      <c r="C41" s="100" t="str">
        <f>IFERROR(IF(VLOOKUP($A41,TableHandbook[],3,FALSE)=0,"",VLOOKUP($A41,TableHandbook[],3,FALSE)),"")</f>
        <v/>
      </c>
      <c r="D41" s="39" t="str">
        <f>IFERROR(IF(VLOOKUP($A41,TableHandbook[],4,FALSE)=0,"",VLOOKUP($A41,TableHandbook[],4,FALSE)),"")</f>
        <v>Globalised Terrorism</v>
      </c>
      <c r="E41" s="40"/>
      <c r="F41" s="41" t="str">
        <f>IFERROR(IF(VLOOKUP($A41,TableHandbook[],6,FALSE)=0,"",VLOOKUP($A41,TableHandbook[],6,FALSE)),"")</f>
        <v>None</v>
      </c>
      <c r="G41" s="41">
        <f>IFERROR(IF(VLOOKUP($A41,TableHandbook[],5,FALSE)=0,"",VLOOKUP($A41,TableHandbook[],5,FALSE)),"")</f>
        <v>25</v>
      </c>
      <c r="H41" s="55" t="str">
        <f>IFERROR(VLOOKUP($A41,TableHandbook[],H$2,FALSE),"")</f>
        <v>Y</v>
      </c>
      <c r="I41" s="56" t="str">
        <f>IFERROR(VLOOKUP($A41,TableHandbook[],I$2,FALSE),"")</f>
        <v>Y</v>
      </c>
      <c r="J41" s="55" t="str">
        <f>IFERROR(VLOOKUP($A41,TableHandbook[],J$2,FALSE),"")</f>
        <v/>
      </c>
      <c r="K41" s="56" t="str">
        <f>IFERROR(VLOOKUP($A41,TableHandbook[],K$2,FALSE),"")</f>
        <v/>
      </c>
      <c r="L41" s="46"/>
      <c r="M41" s="117">
        <v>11</v>
      </c>
      <c r="N41" s="15"/>
      <c r="O41" s="15"/>
      <c r="P41" s="15"/>
      <c r="Q41" s="15"/>
      <c r="R41" s="15"/>
      <c r="S41" s="15"/>
      <c r="T41" s="15"/>
      <c r="U41" s="15"/>
      <c r="V41" s="15"/>
      <c r="W41" s="15"/>
    </row>
    <row r="42" spans="1:23" x14ac:dyDescent="0.3">
      <c r="A42" s="158" t="str">
        <f t="shared" si="2"/>
        <v>INTR5006</v>
      </c>
      <c r="B42" s="100">
        <f>IFERROR(IF(VLOOKUP($A42,TableHandbook[],2,FALSE)=0,"",VLOOKUP($A42,TableHandbook[],2,FALSE)),"")</f>
        <v>1</v>
      </c>
      <c r="C42" s="100" t="str">
        <f>IFERROR(IF(VLOOKUP($A42,TableHandbook[],3,FALSE)=0,"",VLOOKUP($A42,TableHandbook[],3,FALSE)),"")</f>
        <v/>
      </c>
      <c r="D42" s="39" t="str">
        <f>IFERROR(IF(VLOOKUP($A42,TableHandbook[],4,FALSE)=0,"",VLOOKUP($A42,TableHandbook[],4,FALSE)),"")</f>
        <v>Intelligence and Analysis</v>
      </c>
      <c r="E42" s="40"/>
      <c r="F42" s="41" t="str">
        <f>IFERROR(IF(VLOOKUP($A42,TableHandbook[],6,FALSE)=0,"",VLOOKUP($A42,TableHandbook[],6,FALSE)),"")</f>
        <v>None</v>
      </c>
      <c r="G42" s="41">
        <f>IFERROR(IF(VLOOKUP($A42,TableHandbook[],5,FALSE)=0,"",VLOOKUP($A42,TableHandbook[],5,FALSE)),"")</f>
        <v>25</v>
      </c>
      <c r="H42" s="55" t="str">
        <f>IFERROR(VLOOKUP($A42,TableHandbook[],H$2,FALSE),"")</f>
        <v/>
      </c>
      <c r="I42" s="56" t="str">
        <f>IFERROR(VLOOKUP($A42,TableHandbook[],I$2,FALSE),"")</f>
        <v/>
      </c>
      <c r="J42" s="55" t="str">
        <f>IFERROR(VLOOKUP($A42,TableHandbook[],J$2,FALSE),"")</f>
        <v>Y</v>
      </c>
      <c r="K42" s="56" t="str">
        <f>IFERROR(VLOOKUP($A42,TableHandbook[],K$2,FALSE),"")</f>
        <v>Y</v>
      </c>
      <c r="L42" s="46"/>
      <c r="M42" s="117">
        <v>12</v>
      </c>
      <c r="N42" s="15"/>
      <c r="O42" s="15"/>
      <c r="P42" s="15"/>
      <c r="Q42" s="15"/>
      <c r="R42" s="15"/>
      <c r="S42" s="15"/>
      <c r="T42" s="15"/>
      <c r="U42" s="15"/>
      <c r="V42" s="15"/>
      <c r="W42" s="15"/>
    </row>
    <row r="43" spans="1:23" x14ac:dyDescent="0.3">
      <c r="A43" s="158" t="str">
        <f t="shared" si="2"/>
        <v>INTR5008</v>
      </c>
      <c r="B43" s="100">
        <f>IFERROR(IF(VLOOKUP($A43,TableHandbook[],2,FALSE)=0,"",VLOOKUP($A43,TableHandbook[],2,FALSE)),"")</f>
        <v>2</v>
      </c>
      <c r="C43" s="100" t="str">
        <f>IFERROR(IF(VLOOKUP($A43,TableHandbook[],3,FALSE)=0,"",VLOOKUP($A43,TableHandbook[],3,FALSE)),"")</f>
        <v/>
      </c>
      <c r="D43" s="39" t="str">
        <f>IFERROR(IF(VLOOKUP($A43,TableHandbook[],4,FALSE)=0,"",VLOOKUP($A43,TableHandbook[],4,FALSE)),"")</f>
        <v>Cultures of Violence and Conflict</v>
      </c>
      <c r="E43" s="40"/>
      <c r="F43" s="41" t="str">
        <f>IFERROR(IF(VLOOKUP($A43,TableHandbook[],6,FALSE)=0,"",VLOOKUP($A43,TableHandbook[],6,FALSE)),"")</f>
        <v>None</v>
      </c>
      <c r="G43" s="41">
        <f>IFERROR(IF(VLOOKUP($A43,TableHandbook[],5,FALSE)=0,"",VLOOKUP($A43,TableHandbook[],5,FALSE)),"")</f>
        <v>25</v>
      </c>
      <c r="H43" s="55" t="str">
        <f>IFERROR(VLOOKUP($A43,TableHandbook[],H$2,FALSE),"")</f>
        <v>Y</v>
      </c>
      <c r="I43" s="56" t="str">
        <f>IFERROR(VLOOKUP($A43,TableHandbook[],I$2,FALSE),"")</f>
        <v>Y</v>
      </c>
      <c r="J43" s="55" t="str">
        <f>IFERROR(VLOOKUP($A43,TableHandbook[],J$2,FALSE),"")</f>
        <v/>
      </c>
      <c r="K43" s="56" t="str">
        <f>IFERROR(VLOOKUP($A43,TableHandbook[],K$2,FALSE),"")</f>
        <v/>
      </c>
      <c r="L43" s="46"/>
      <c r="M43" s="117">
        <v>13</v>
      </c>
      <c r="N43" s="15"/>
      <c r="O43" s="15"/>
      <c r="P43" s="15"/>
      <c r="Q43" s="15"/>
      <c r="R43" s="15"/>
      <c r="S43" s="15"/>
      <c r="T43" s="15"/>
      <c r="U43" s="15"/>
      <c r="V43" s="15"/>
      <c r="W43" s="15"/>
    </row>
    <row r="44" spans="1:23" x14ac:dyDescent="0.3">
      <c r="A44" s="158" t="str">
        <f t="shared" si="2"/>
        <v>INTR5009</v>
      </c>
      <c r="B44" s="100">
        <f>IFERROR(IF(VLOOKUP($A44,TableHandbook[],2,FALSE)=0,"",VLOOKUP($A44,TableHandbook[],2,FALSE)),"")</f>
        <v>2</v>
      </c>
      <c r="C44" s="100" t="str">
        <f>IFERROR(IF(VLOOKUP($A44,TableHandbook[],3,FALSE)=0,"",VLOOKUP($A44,TableHandbook[],3,FALSE)),"")</f>
        <v/>
      </c>
      <c r="D44" s="39" t="str">
        <f>IFERROR(IF(VLOOKUP($A44,TableHandbook[],4,FALSE)=0,"",VLOOKUP($A44,TableHandbook[],4,FALSE)),"")</f>
        <v>Cyber Conflict, Information Operations and Espionage</v>
      </c>
      <c r="E44" s="40"/>
      <c r="F44" s="41" t="str">
        <f>IFERROR(IF(VLOOKUP($A44,TableHandbook[],6,FALSE)=0,"",VLOOKUP($A44,TableHandbook[],6,FALSE)),"")</f>
        <v>None</v>
      </c>
      <c r="G44" s="41">
        <f>IFERROR(IF(VLOOKUP($A44,TableHandbook[],5,FALSE)=0,"",VLOOKUP($A44,TableHandbook[],5,FALSE)),"")</f>
        <v>25</v>
      </c>
      <c r="H44" s="55" t="str">
        <f>IFERROR(VLOOKUP($A44,TableHandbook[],H$2,FALSE),"")</f>
        <v>Y</v>
      </c>
      <c r="I44" s="56" t="str">
        <f>IFERROR(VLOOKUP($A44,TableHandbook[],I$2,FALSE),"")</f>
        <v>Y</v>
      </c>
      <c r="J44" s="55" t="str">
        <f>IFERROR(VLOOKUP($A44,TableHandbook[],J$2,FALSE),"")</f>
        <v/>
      </c>
      <c r="K44" s="56" t="str">
        <f>IFERROR(VLOOKUP($A44,TableHandbook[],K$2,FALSE),"")</f>
        <v/>
      </c>
      <c r="L44" s="46"/>
      <c r="M44" s="117">
        <v>14</v>
      </c>
      <c r="N44" s="15"/>
      <c r="O44" s="15"/>
      <c r="P44" s="15"/>
      <c r="Q44" s="15"/>
      <c r="R44" s="15"/>
      <c r="S44" s="15"/>
      <c r="T44" s="15"/>
      <c r="U44" s="15"/>
      <c r="V44" s="15"/>
      <c r="W44" s="15"/>
    </row>
    <row r="45" spans="1:23" x14ac:dyDescent="0.3">
      <c r="A45" s="158" t="str">
        <f t="shared" si="2"/>
        <v>POLS5002</v>
      </c>
      <c r="B45" s="100">
        <f>IFERROR(IF(VLOOKUP($A45,TableHandbook[],2,FALSE)=0,"",VLOOKUP($A45,TableHandbook[],2,FALSE)),"")</f>
        <v>2</v>
      </c>
      <c r="C45" s="100" t="str">
        <f>IFERROR(IF(VLOOKUP($A45,TableHandbook[],3,FALSE)=0,"",VLOOKUP($A45,TableHandbook[],3,FALSE)),"")</f>
        <v/>
      </c>
      <c r="D45" s="39" t="str">
        <f>IFERROR(IF(VLOOKUP($A45,TableHandbook[],4,FALSE)=0,"",VLOOKUP($A45,TableHandbook[],4,FALSE)),"")</f>
        <v>Security and Conflict in the Indian Ocean and the Middle East</v>
      </c>
      <c r="E45" s="40"/>
      <c r="F45" s="41" t="str">
        <f>IFERROR(IF(VLOOKUP($A45,TableHandbook[],6,FALSE)=0,"",VLOOKUP($A45,TableHandbook[],6,FALSE)),"")</f>
        <v>None</v>
      </c>
      <c r="G45" s="41">
        <f>IFERROR(IF(VLOOKUP($A45,TableHandbook[],5,FALSE)=0,"",VLOOKUP($A45,TableHandbook[],5,FALSE)),"")</f>
        <v>25</v>
      </c>
      <c r="H45" s="55" t="str">
        <f>IFERROR(VLOOKUP($A45,TableHandbook[],H$2,FALSE),"")</f>
        <v>Y</v>
      </c>
      <c r="I45" s="56" t="str">
        <f>IFERROR(VLOOKUP($A45,TableHandbook[],I$2,FALSE),"")</f>
        <v>Y</v>
      </c>
      <c r="J45" s="55" t="str">
        <f>IFERROR(VLOOKUP($A45,TableHandbook[],J$2,FALSE),"")</f>
        <v/>
      </c>
      <c r="K45" s="56" t="str">
        <f>IFERROR(VLOOKUP($A45,TableHandbook[],K$2,FALSE),"")</f>
        <v/>
      </c>
      <c r="L45" s="46"/>
      <c r="M45" s="117">
        <v>15</v>
      </c>
      <c r="N45" s="15"/>
      <c r="O45" s="15"/>
      <c r="P45" s="15"/>
      <c r="Q45" s="15"/>
      <c r="R45" s="15"/>
      <c r="S45" s="15"/>
      <c r="T45" s="15"/>
      <c r="U45" s="15"/>
      <c r="V45" s="15"/>
      <c r="W45" s="15"/>
    </row>
    <row r="46" spans="1:23" x14ac:dyDescent="0.3">
      <c r="A46" s="158" t="str">
        <f t="shared" si="2"/>
        <v>POLS5004</v>
      </c>
      <c r="B46" s="100">
        <f>IFERROR(IF(VLOOKUP($A46,TableHandbook[],2,FALSE)=0,"",VLOOKUP($A46,TableHandbook[],2,FALSE)),"")</f>
        <v>2</v>
      </c>
      <c r="C46" s="100" t="str">
        <f>IFERROR(IF(VLOOKUP($A46,TableHandbook[],3,FALSE)=0,"",VLOOKUP($A46,TableHandbook[],3,FALSE)),"")</f>
        <v/>
      </c>
      <c r="D46" s="39" t="str">
        <f>IFERROR(IF(VLOOKUP($A46,TableHandbook[],4,FALSE)=0,"",VLOOKUP($A46,TableHandbook[],4,FALSE)),"")</f>
        <v>Environmental and Energy Security</v>
      </c>
      <c r="E46" s="40"/>
      <c r="F46" s="41" t="str">
        <f>IFERROR(IF(VLOOKUP($A46,TableHandbook[],6,FALSE)=0,"",VLOOKUP($A46,TableHandbook[],6,FALSE)),"")</f>
        <v>None</v>
      </c>
      <c r="G46" s="41">
        <f>IFERROR(IF(VLOOKUP($A46,TableHandbook[],5,FALSE)=0,"",VLOOKUP($A46,TableHandbook[],5,FALSE)),"")</f>
        <v>25</v>
      </c>
      <c r="H46" s="55" t="str">
        <f>IFERROR(VLOOKUP($A46,TableHandbook[],H$2,FALSE),"")</f>
        <v/>
      </c>
      <c r="I46" s="56" t="str">
        <f>IFERROR(VLOOKUP($A46,TableHandbook[],I$2,FALSE),"")</f>
        <v/>
      </c>
      <c r="J46" s="55" t="str">
        <f>IFERROR(VLOOKUP($A46,TableHandbook[],J$2,FALSE),"")</f>
        <v>Y</v>
      </c>
      <c r="K46" s="56" t="str">
        <f>IFERROR(VLOOKUP($A46,TableHandbook[],K$2,FALSE),"")</f>
        <v>Y</v>
      </c>
      <c r="L46" s="46"/>
      <c r="M46" s="117">
        <v>16</v>
      </c>
      <c r="N46" s="15"/>
      <c r="O46" s="15"/>
      <c r="P46" s="15"/>
      <c r="Q46" s="15"/>
      <c r="R46" s="15"/>
      <c r="S46" s="15"/>
      <c r="T46" s="15"/>
      <c r="U46" s="15"/>
      <c r="V46" s="15"/>
      <c r="W46" s="15"/>
    </row>
    <row r="47" spans="1:23" x14ac:dyDescent="0.3">
      <c r="A47" s="158" t="str">
        <f t="shared" si="2"/>
        <v/>
      </c>
      <c r="B47" s="100" t="str">
        <f>IFERROR(IF(VLOOKUP($A47,TableHandbook[],2,FALSE)=0,"",VLOOKUP($A47,TableHandbook[],2,FALSE)),"")</f>
        <v/>
      </c>
      <c r="C47" s="100" t="str">
        <f>IFERROR(IF(VLOOKUP($A47,TableHandbook[],3,FALSE)=0,"",VLOOKUP($A47,TableHandbook[],3,FALSE)),"")</f>
        <v/>
      </c>
      <c r="D47" s="39" t="str">
        <f>IFERROR(IF(VLOOKUP($A47,TableHandbook[],4,FALSE)=0,"",VLOOKUP($A47,TableHandbook[],4,FALSE)),"")</f>
        <v/>
      </c>
      <c r="E47" s="40"/>
      <c r="F47" s="41" t="str">
        <f>IFERROR(IF(VLOOKUP($A47,TableHandbook[],6,FALSE)=0,"",VLOOKUP($A47,TableHandbook[],6,FALSE)),"")</f>
        <v/>
      </c>
      <c r="G47" s="41" t="str">
        <f>IFERROR(IF(VLOOKUP($A47,TableHandbook[],5,FALSE)=0,"",VLOOKUP($A47,TableHandbook[],5,FALSE)),"")</f>
        <v/>
      </c>
      <c r="H47" s="55" t="str">
        <f>IFERROR(VLOOKUP($A47,TableHandbook[],H$2,FALSE),"")</f>
        <v/>
      </c>
      <c r="I47" s="56" t="str">
        <f>IFERROR(VLOOKUP($A47,TableHandbook[],I$2,FALSE),"")</f>
        <v/>
      </c>
      <c r="J47" s="55" t="str">
        <f>IFERROR(VLOOKUP($A47,TableHandbook[],J$2,FALSE),"")</f>
        <v/>
      </c>
      <c r="K47" s="56" t="str">
        <f>IFERROR(VLOOKUP($A47,TableHandbook[],K$2,FALSE),"")</f>
        <v/>
      </c>
      <c r="L47" s="46"/>
      <c r="M47" s="117">
        <v>17</v>
      </c>
      <c r="N47" s="15"/>
      <c r="O47" s="15"/>
      <c r="P47" s="15"/>
      <c r="Q47" s="15"/>
      <c r="R47" s="15"/>
      <c r="S47" s="15"/>
      <c r="T47" s="15"/>
      <c r="U47" s="15"/>
      <c r="V47" s="15"/>
      <c r="W47" s="15"/>
    </row>
    <row r="48" spans="1:23" x14ac:dyDescent="0.3">
      <c r="A48" s="158" t="str">
        <f t="shared" si="2"/>
        <v/>
      </c>
      <c r="B48" s="100" t="str">
        <f>IFERROR(IF(VLOOKUP($A48,TableHandbook[],2,FALSE)=0,"",VLOOKUP($A48,TableHandbook[],2,FALSE)),"")</f>
        <v/>
      </c>
      <c r="C48" s="100" t="str">
        <f>IFERROR(IF(VLOOKUP($A48,TableHandbook[],3,FALSE)=0,"",VLOOKUP($A48,TableHandbook[],3,FALSE)),"")</f>
        <v/>
      </c>
      <c r="D48" s="39" t="str">
        <f>IFERROR(IF(VLOOKUP($A48,TableHandbook[],4,FALSE)=0,"",VLOOKUP($A48,TableHandbook[],4,FALSE)),"")</f>
        <v/>
      </c>
      <c r="E48" s="40"/>
      <c r="F48" s="41" t="str">
        <f>IFERROR(IF(VLOOKUP($A48,TableHandbook[],6,FALSE)=0,"",VLOOKUP($A48,TableHandbook[],6,FALSE)),"")</f>
        <v/>
      </c>
      <c r="G48" s="41" t="str">
        <f>IFERROR(IF(VLOOKUP($A48,TableHandbook[],5,FALSE)=0,"",VLOOKUP($A48,TableHandbook[],5,FALSE)),"")</f>
        <v/>
      </c>
      <c r="H48" s="55" t="str">
        <f>IFERROR(VLOOKUP($A48,TableHandbook[],H$2,FALSE),"")</f>
        <v/>
      </c>
      <c r="I48" s="56" t="str">
        <f>IFERROR(VLOOKUP($A48,TableHandbook[],I$2,FALSE),"")</f>
        <v/>
      </c>
      <c r="J48" s="55" t="str">
        <f>IFERROR(VLOOKUP($A48,TableHandbook[],J$2,FALSE),"")</f>
        <v/>
      </c>
      <c r="K48" s="56" t="str">
        <f>IFERROR(VLOOKUP($A48,TableHandbook[],K$2,FALSE),"")</f>
        <v/>
      </c>
      <c r="L48" s="46"/>
      <c r="M48" s="117">
        <v>18</v>
      </c>
      <c r="N48" s="15"/>
      <c r="O48" s="15"/>
      <c r="P48" s="15"/>
      <c r="Q48" s="15"/>
      <c r="R48" s="15"/>
      <c r="S48" s="15"/>
      <c r="T48" s="15"/>
      <c r="U48" s="15"/>
      <c r="V48" s="15"/>
      <c r="W48" s="15"/>
    </row>
    <row r="49" spans="1:23" x14ac:dyDescent="0.3">
      <c r="A49" s="158" t="str">
        <f t="shared" si="2"/>
        <v/>
      </c>
      <c r="B49" s="100" t="str">
        <f>IFERROR(IF(VLOOKUP($A49,TableHandbook[],2,FALSE)=0,"",VLOOKUP($A49,TableHandbook[],2,FALSE)),"")</f>
        <v/>
      </c>
      <c r="C49" s="100" t="str">
        <f>IFERROR(IF(VLOOKUP($A49,TableHandbook[],3,FALSE)=0,"",VLOOKUP($A49,TableHandbook[],3,FALSE)),"")</f>
        <v/>
      </c>
      <c r="D49" s="39" t="str">
        <f>IFERROR(IF(VLOOKUP($A49,TableHandbook[],4,FALSE)=0,"",VLOOKUP($A49,TableHandbook[],4,FALSE)),"")</f>
        <v/>
      </c>
      <c r="E49" s="40"/>
      <c r="F49" s="41" t="str">
        <f>IFERROR(IF(VLOOKUP($A49,TableHandbook[],6,FALSE)=0,"",VLOOKUP($A49,TableHandbook[],6,FALSE)),"")</f>
        <v/>
      </c>
      <c r="G49" s="41" t="str">
        <f>IFERROR(IF(VLOOKUP($A49,TableHandbook[],5,FALSE)=0,"",VLOOKUP($A49,TableHandbook[],5,FALSE)),"")</f>
        <v/>
      </c>
      <c r="H49" s="55" t="str">
        <f>IFERROR(VLOOKUP($A49,TableHandbook[],H$2,FALSE),"")</f>
        <v/>
      </c>
      <c r="I49" s="56" t="str">
        <f>IFERROR(VLOOKUP($A49,TableHandbook[],I$2,FALSE),"")</f>
        <v/>
      </c>
      <c r="J49" s="55" t="str">
        <f>IFERROR(VLOOKUP($A49,TableHandbook[],J$2,FALSE),"")</f>
        <v/>
      </c>
      <c r="K49" s="56" t="str">
        <f>IFERROR(VLOOKUP($A49,TableHandbook[],K$2,FALSE),"")</f>
        <v/>
      </c>
      <c r="L49" s="46"/>
      <c r="M49" s="117">
        <v>19</v>
      </c>
      <c r="N49" s="15"/>
      <c r="O49" s="15"/>
      <c r="P49" s="15"/>
      <c r="Q49" s="15"/>
      <c r="R49" s="15"/>
      <c r="S49" s="15"/>
      <c r="T49" s="15"/>
      <c r="U49" s="15"/>
      <c r="V49" s="15"/>
      <c r="W49" s="15"/>
    </row>
    <row r="50" spans="1:23" x14ac:dyDescent="0.3">
      <c r="A50" s="158" t="str">
        <f t="shared" si="2"/>
        <v/>
      </c>
      <c r="B50" s="100" t="str">
        <f>IFERROR(IF(VLOOKUP($A50,TableHandbook[],2,FALSE)=0,"",VLOOKUP($A50,TableHandbook[],2,FALSE)),"")</f>
        <v/>
      </c>
      <c r="C50" s="100" t="str">
        <f>IFERROR(IF(VLOOKUP($A50,TableHandbook[],3,FALSE)=0,"",VLOOKUP($A50,TableHandbook[],3,FALSE)),"")</f>
        <v/>
      </c>
      <c r="D50" s="39" t="str">
        <f>IFERROR(IF(VLOOKUP($A50,TableHandbook[],4,FALSE)=0,"",VLOOKUP($A50,TableHandbook[],4,FALSE)),"")</f>
        <v/>
      </c>
      <c r="E50" s="40"/>
      <c r="F50" s="41" t="str">
        <f>IFERROR(IF(VLOOKUP($A50,TableHandbook[],6,FALSE)=0,"",VLOOKUP($A50,TableHandbook[],6,FALSE)),"")</f>
        <v/>
      </c>
      <c r="G50" s="41" t="str">
        <f>IFERROR(IF(VLOOKUP($A50,TableHandbook[],5,FALSE)=0,"",VLOOKUP($A50,TableHandbook[],5,FALSE)),"")</f>
        <v/>
      </c>
      <c r="H50" s="55" t="str">
        <f>IFERROR(VLOOKUP($A50,TableHandbook[],H$2,FALSE),"")</f>
        <v/>
      </c>
      <c r="I50" s="56" t="str">
        <f>IFERROR(VLOOKUP($A50,TableHandbook[],I$2,FALSE),"")</f>
        <v/>
      </c>
      <c r="J50" s="55" t="str">
        <f>IFERROR(VLOOKUP($A50,TableHandbook[],J$2,FALSE),"")</f>
        <v/>
      </c>
      <c r="K50" s="56" t="str">
        <f>IFERROR(VLOOKUP($A50,TableHandbook[],K$2,FALSE),"")</f>
        <v/>
      </c>
      <c r="L50" s="46"/>
      <c r="M50" s="117">
        <v>20</v>
      </c>
      <c r="N50" s="15"/>
      <c r="O50" s="15"/>
      <c r="P50" s="15"/>
      <c r="Q50" s="15"/>
      <c r="R50" s="15"/>
      <c r="S50" s="15"/>
      <c r="T50" s="15"/>
      <c r="U50" s="15"/>
      <c r="V50" s="15"/>
      <c r="W50" s="15"/>
    </row>
    <row r="51" spans="1:23" ht="15.6" x14ac:dyDescent="0.3">
      <c r="A51"/>
      <c r="B51"/>
      <c r="C51"/>
      <c r="D51"/>
      <c r="E51"/>
      <c r="F51"/>
      <c r="G51"/>
      <c r="H51"/>
      <c r="I51"/>
      <c r="J51"/>
      <c r="K51"/>
      <c r="L51"/>
      <c r="M51" s="117"/>
      <c r="N51" s="15"/>
      <c r="O51" s="15"/>
      <c r="P51" s="15"/>
      <c r="Q51" s="15"/>
      <c r="R51" s="15"/>
      <c r="S51" s="15"/>
      <c r="T51" s="15"/>
      <c r="U51" s="15"/>
      <c r="V51" s="15"/>
      <c r="W51" s="15"/>
    </row>
    <row r="52" spans="1:23" s="15" customFormat="1" ht="32.25" customHeight="1" x14ac:dyDescent="0.3">
      <c r="A52" s="296" t="s">
        <v>31</v>
      </c>
      <c r="B52" s="296"/>
      <c r="C52" s="296"/>
      <c r="D52" s="296"/>
      <c r="E52" s="296"/>
      <c r="F52" s="296"/>
      <c r="G52" s="296"/>
      <c r="H52" s="296"/>
      <c r="I52" s="296"/>
      <c r="J52" s="296"/>
      <c r="K52" s="296"/>
      <c r="L52" s="296"/>
    </row>
    <row r="53" spans="1:23" s="34" customFormat="1" ht="24.9" customHeight="1" x14ac:dyDescent="0.4">
      <c r="A53" s="30" t="s">
        <v>32</v>
      </c>
      <c r="B53" s="30"/>
      <c r="C53" s="30"/>
      <c r="D53" s="31"/>
      <c r="E53" s="31"/>
      <c r="F53" s="31"/>
      <c r="G53" s="31"/>
      <c r="H53" s="31"/>
      <c r="I53" s="31"/>
      <c r="J53" s="31"/>
      <c r="K53" s="31"/>
      <c r="L53" s="31"/>
      <c r="M53" s="120"/>
      <c r="N53" s="32"/>
      <c r="O53" s="32"/>
      <c r="P53" s="33"/>
      <c r="Q53" s="33"/>
      <c r="R53" s="33"/>
      <c r="S53" s="33"/>
      <c r="T53" s="33"/>
      <c r="U53" s="33"/>
      <c r="V53" s="33"/>
      <c r="W53" s="33"/>
    </row>
    <row r="54" spans="1:23" s="15" customFormat="1" ht="15" customHeight="1" x14ac:dyDescent="0.3">
      <c r="A54" s="35" t="s">
        <v>33</v>
      </c>
      <c r="B54" s="35"/>
      <c r="C54" s="35"/>
      <c r="D54" s="35"/>
      <c r="E54" s="42"/>
      <c r="F54" s="36"/>
      <c r="G54" s="43"/>
      <c r="H54" s="43"/>
      <c r="I54" s="43"/>
      <c r="J54" s="43"/>
      <c r="K54" s="43"/>
      <c r="L54" s="43" t="s">
        <v>34</v>
      </c>
    </row>
  </sheetData>
  <sheetProtection formatCells="0"/>
  <mergeCells count="3">
    <mergeCell ref="A3:D3"/>
    <mergeCell ref="A52:L52"/>
    <mergeCell ref="B7:L7"/>
  </mergeCells>
  <conditionalFormatting sqref="A10:L18 A32:L50">
    <cfRule type="expression" dxfId="109" priority="5">
      <formula>$A10=""</formula>
    </cfRule>
  </conditionalFormatting>
  <conditionalFormatting sqref="A20:L28">
    <cfRule type="expression" dxfId="108" priority="2">
      <formula>$A20=""</formula>
    </cfRule>
  </conditionalFormatting>
  <conditionalFormatting sqref="A32:L50">
    <cfRule type="expression" dxfId="107" priority="6">
      <formula>LEFT($D32,5)="Study"</formula>
    </cfRule>
  </conditionalFormatting>
  <conditionalFormatting sqref="D5:L6">
    <cfRule type="containsText" dxfId="106" priority="4" operator="containsText" text="Choose">
      <formula>NOT(ISERROR(SEARCH("Choose",D5)))</formula>
    </cfRule>
  </conditionalFormatting>
  <conditionalFormatting sqref="H10:K28">
    <cfRule type="expression" dxfId="105" priority="1">
      <formula>$E10=LEFT(H$9,4)</formula>
    </cfRule>
  </conditionalFormatting>
  <dataValidations count="1">
    <dataValidation type="list" allowBlank="1" showInputMessage="1" showErrorMessage="1" sqref="L14 L24" xr:uid="{00000000-0002-0000-0500-000000000000}"/>
  </dataValidations>
  <hyperlinks>
    <hyperlink ref="A53:L5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61"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Unitsets!$A$47:$A$49</xm:f>
          </x14:formula1>
          <xm:sqref>D6</xm:sqref>
        </x14:dataValidation>
        <x14:dataValidation type="list" showInputMessage="1" showErrorMessage="1" xr:uid="{00000000-0002-0000-0500-000002000000}">
          <x14:formula1>
            <xm:f>'Unitsets Other'!$A$105:$A$111</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W48"/>
  <sheetViews>
    <sheetView showGridLines="0" topLeftCell="A3" zoomScaleNormal="100" workbookViewId="0">
      <selection activeCell="B61" sqref="B61"/>
    </sheetView>
  </sheetViews>
  <sheetFormatPr defaultColWidth="9" defaultRowHeight="14.4" x14ac:dyDescent="0.3"/>
  <cols>
    <col min="1" max="1" width="10.69921875" style="9" customWidth="1"/>
    <col min="2" max="2" width="3.19921875" style="9" customWidth="1"/>
    <col min="3" max="3" width="5.8984375" style="9" customWidth="1"/>
    <col min="4" max="4" width="48.59765625" style="8" bestFit="1" customWidth="1"/>
    <col min="5" max="5" width="7.19921875" style="8" customWidth="1"/>
    <col min="6" max="6" width="24.19921875" style="8" bestFit="1" customWidth="1"/>
    <col min="7" max="7" width="5.59765625" style="8" customWidth="1"/>
    <col min="8" max="11" width="4.59765625" style="8" customWidth="1"/>
    <col min="12" max="12" width="18.59765625" style="8" customWidth="1"/>
    <col min="13" max="13" width="2.5" style="8" hidden="1" customWidth="1"/>
    <col min="14" max="16384" width="9" style="8"/>
  </cols>
  <sheetData>
    <row r="1" spans="1:23" hidden="1" x14ac:dyDescent="0.3">
      <c r="A1" s="4" t="s">
        <v>0</v>
      </c>
      <c r="B1" s="5" t="s">
        <v>1</v>
      </c>
      <c r="C1" s="5" t="s">
        <v>2</v>
      </c>
      <c r="D1" s="6" t="s">
        <v>3</v>
      </c>
      <c r="E1" s="6"/>
      <c r="F1" s="6" t="s">
        <v>4</v>
      </c>
      <c r="G1" s="6" t="s">
        <v>5</v>
      </c>
      <c r="H1" s="7" t="s">
        <v>6</v>
      </c>
      <c r="I1" s="6"/>
      <c r="J1" s="6"/>
      <c r="K1" s="6"/>
      <c r="L1" s="6" t="s">
        <v>7</v>
      </c>
      <c r="M1" s="118"/>
    </row>
    <row r="2" spans="1:23" hidden="1" x14ac:dyDescent="0.3">
      <c r="A2" s="105"/>
      <c r="B2" s="142">
        <v>2</v>
      </c>
      <c r="C2" s="142">
        <v>3</v>
      </c>
      <c r="D2" s="142">
        <v>4</v>
      </c>
      <c r="E2" s="142"/>
      <c r="F2" s="142">
        <v>6</v>
      </c>
      <c r="G2" s="142">
        <v>5</v>
      </c>
      <c r="H2" s="142">
        <v>7</v>
      </c>
      <c r="I2" s="142">
        <v>8</v>
      </c>
      <c r="J2" s="142">
        <v>9</v>
      </c>
      <c r="K2" s="142">
        <v>10</v>
      </c>
      <c r="L2" s="106"/>
      <c r="M2" s="118"/>
    </row>
    <row r="3" spans="1:23" ht="39.9" customHeight="1" x14ac:dyDescent="0.3">
      <c r="A3" s="295" t="s">
        <v>8</v>
      </c>
      <c r="B3" s="295"/>
      <c r="C3" s="295"/>
      <c r="D3" s="295"/>
      <c r="E3" s="121"/>
      <c r="F3" s="121"/>
      <c r="G3" s="121"/>
      <c r="H3" s="121"/>
      <c r="I3" s="121"/>
      <c r="J3" s="121"/>
      <c r="K3" s="121"/>
      <c r="L3" s="121"/>
      <c r="M3" s="118"/>
    </row>
    <row r="4" spans="1:23" ht="24.6" x14ac:dyDescent="0.3">
      <c r="A4" s="182"/>
      <c r="B4" s="183"/>
      <c r="C4" s="183"/>
      <c r="D4" s="187"/>
      <c r="E4" s="185" t="s">
        <v>9</v>
      </c>
      <c r="F4" s="183"/>
      <c r="G4" s="186"/>
      <c r="H4" s="186"/>
      <c r="I4" s="186"/>
      <c r="J4" s="186"/>
      <c r="K4" s="186"/>
      <c r="L4" s="186"/>
      <c r="M4" s="118"/>
    </row>
    <row r="5" spans="1:23" ht="20.100000000000001" customHeight="1" x14ac:dyDescent="0.3">
      <c r="B5" s="10"/>
      <c r="C5" s="104" t="s">
        <v>10</v>
      </c>
      <c r="D5" s="201" t="s">
        <v>69</v>
      </c>
      <c r="E5" s="11"/>
      <c r="F5" s="104" t="s">
        <v>12</v>
      </c>
      <c r="G5" s="11" t="str">
        <f>IFERROR(CONCATENATE(VLOOKUP(D5,TableCourses[],2,FALSE)," ",VLOOKUP(D5,TableCourses[],3,FALSE)),"")</f>
        <v>GC-MMJRN v.2</v>
      </c>
      <c r="H5" s="11"/>
      <c r="I5" s="11"/>
      <c r="J5" s="11"/>
      <c r="K5" s="11"/>
      <c r="L5" s="291" t="str">
        <f>CONCATENATE(VLOOKUP(D5,TableCourses[],2,FALSE),VLOOKUP(D6,TableStudyPeriods[],2,FALSE))</f>
        <v>GC-MMJRNSem1</v>
      </c>
      <c r="M5" s="118"/>
    </row>
    <row r="6" spans="1:23" ht="20.100000000000001" customHeight="1" thickBot="1" x14ac:dyDescent="0.35">
      <c r="A6" s="12"/>
      <c r="B6" s="13"/>
      <c r="C6" s="104" t="s">
        <v>16</v>
      </c>
      <c r="D6" s="11" t="s">
        <v>17</v>
      </c>
      <c r="E6" s="14"/>
      <c r="F6" s="104" t="s">
        <v>18</v>
      </c>
      <c r="G6" s="11" t="str">
        <f>IFERROR(VLOOKUP($D$5,TableCourses[],7,FALSE),"")</f>
        <v>100 credit points required</v>
      </c>
      <c r="H6" s="61"/>
      <c r="I6" s="61"/>
      <c r="J6" s="61"/>
      <c r="K6" s="61"/>
      <c r="L6" s="61"/>
      <c r="M6" s="119"/>
      <c r="N6" s="15"/>
      <c r="O6" s="15"/>
      <c r="P6" s="15"/>
      <c r="Q6" s="15"/>
      <c r="R6" s="15"/>
      <c r="S6" s="15"/>
      <c r="T6" s="15"/>
      <c r="U6" s="15"/>
      <c r="V6" s="15"/>
      <c r="W6" s="15"/>
    </row>
    <row r="7" spans="1:23" ht="50.1" customHeight="1" thickBot="1" x14ac:dyDescent="0.35">
      <c r="A7" s="241" t="s">
        <v>19</v>
      </c>
      <c r="B7" s="297" t="str">
        <f>IFERROR(VLOOKUP($L$30,RangeStructureNotes,2,FALSE),"")</f>
        <v>This course is for Semester 1 intake only.</v>
      </c>
      <c r="C7" s="297"/>
      <c r="D7" s="297"/>
      <c r="E7" s="297"/>
      <c r="F7" s="297"/>
      <c r="G7" s="297"/>
      <c r="H7" s="297"/>
      <c r="I7" s="297"/>
      <c r="J7" s="297"/>
      <c r="K7" s="297"/>
      <c r="L7" s="298"/>
      <c r="M7" s="119"/>
      <c r="N7" s="15"/>
      <c r="O7" s="15"/>
      <c r="P7" s="15"/>
      <c r="Q7" s="15"/>
      <c r="R7" s="15"/>
      <c r="S7" s="15"/>
      <c r="T7" s="15"/>
      <c r="U7" s="15"/>
      <c r="V7" s="15"/>
      <c r="W7" s="15"/>
    </row>
    <row r="8" spans="1:23" s="18" customFormat="1" ht="14.1" customHeight="1" x14ac:dyDescent="0.3">
      <c r="A8" s="132"/>
      <c r="B8" s="132"/>
      <c r="C8" s="132"/>
      <c r="D8" s="133"/>
      <c r="E8" s="134"/>
      <c r="F8" s="132"/>
      <c r="G8" s="132"/>
      <c r="H8" s="159" t="s">
        <v>20</v>
      </c>
      <c r="I8" s="135"/>
      <c r="J8" s="135"/>
      <c r="K8" s="136"/>
      <c r="L8" s="137"/>
      <c r="M8" s="116"/>
      <c r="N8" s="16"/>
      <c r="O8" s="16"/>
      <c r="P8" s="17"/>
      <c r="Q8" s="17"/>
      <c r="R8" s="17"/>
      <c r="S8" s="17"/>
      <c r="T8" s="17"/>
      <c r="U8" s="17"/>
      <c r="V8" s="17"/>
      <c r="W8" s="17"/>
    </row>
    <row r="9" spans="1:23" s="18" customFormat="1" ht="22.8" x14ac:dyDescent="0.3">
      <c r="A9" s="132" t="s">
        <v>21</v>
      </c>
      <c r="B9" s="132"/>
      <c r="C9" s="132"/>
      <c r="D9" s="133" t="s">
        <v>3</v>
      </c>
      <c r="E9" s="138" t="s">
        <v>22</v>
      </c>
      <c r="F9" s="132" t="s">
        <v>23</v>
      </c>
      <c r="G9" s="132" t="s">
        <v>24</v>
      </c>
      <c r="H9" s="139" t="s">
        <v>25</v>
      </c>
      <c r="I9" s="214" t="s">
        <v>26</v>
      </c>
      <c r="J9" s="138" t="s">
        <v>27</v>
      </c>
      <c r="K9" s="140" t="s">
        <v>28</v>
      </c>
      <c r="L9" s="141" t="s">
        <v>29</v>
      </c>
      <c r="M9" s="116"/>
      <c r="N9" s="16"/>
      <c r="O9" s="16"/>
      <c r="P9" s="17"/>
      <c r="Q9" s="17"/>
      <c r="R9" s="17"/>
      <c r="S9" s="17"/>
      <c r="T9" s="17"/>
      <c r="U9" s="17"/>
      <c r="V9" s="17"/>
      <c r="W9" s="17"/>
    </row>
    <row r="10" spans="1:23" s="21" customFormat="1" ht="20.100000000000001" customHeight="1" x14ac:dyDescent="0.25">
      <c r="A10" s="51" t="str">
        <f>IFERROR(IF(HLOOKUP($L$5,RangeMMJRNUnitsets,M10,FALSE)=0,"",HLOOKUP($L$5,RangeMMJRNUnitsets,M10,FALSE)),"")</f>
        <v>JOUR5003</v>
      </c>
      <c r="B10" s="45">
        <f>IFERROR(IF(VLOOKUP($A10,TableHandbook[],2,FALSE)=0,"",VLOOKUP($A10,TableHandbook[],2,FALSE)),"")</f>
        <v>4</v>
      </c>
      <c r="C10" s="45" t="str">
        <f>IFERROR(IF(VLOOKUP($A10,TableHandbook[],3,FALSE)=0,"",VLOOKUP($A10,TableHandbook[],3,FALSE)),"")</f>
        <v/>
      </c>
      <c r="D10" s="52" t="str">
        <f>IFERROR(IF(VLOOKUP($A10,TableHandbook[],4,FALSE)=0,"",VLOOKUP($A10,TableHandbook[],4,FALSE)),"")</f>
        <v>Graduate News Writing and Reporting</v>
      </c>
      <c r="E10" s="45" t="str">
        <f>IF(OR(A10="",A10="---"),"",VLOOKUP($D$6,TableStudyPeriods[],2,FALSE))</f>
        <v>Sem1</v>
      </c>
      <c r="F10" s="44" t="str">
        <f>IFERROR(IF(VLOOKUP($A10,TableHandbook[],6,FALSE)=0,"",VLOOKUP($A10,TableHandbook[],6,FALSE)),"")</f>
        <v>None</v>
      </c>
      <c r="G10" s="45">
        <f>IFERROR(IF(VLOOKUP($A10,TableHandbook[],5,FALSE)=0,"",VLOOKUP($A10,TableHandbook[],5,FALSE)),"")</f>
        <v>25</v>
      </c>
      <c r="H10" s="55" t="str">
        <f>IFERROR(VLOOKUP($A10,TableHandbook[],H$2,FALSE),"")</f>
        <v>Y</v>
      </c>
      <c r="I10" s="215" t="str">
        <f>IFERROR(VLOOKUP($A10,TableHandbook[],I$2,FALSE),"")</f>
        <v/>
      </c>
      <c r="J10" s="45" t="str">
        <f>IFERROR(VLOOKUP($A10,TableHandbook[],J$2,FALSE),"")</f>
        <v/>
      </c>
      <c r="K10" s="56" t="str">
        <f>IFERROR(VLOOKUP($A10,TableHandbook[],K$2,FALSE),"")</f>
        <v/>
      </c>
      <c r="L10" s="53"/>
      <c r="M10" s="117">
        <v>2</v>
      </c>
      <c r="N10" s="19"/>
      <c r="O10" s="19"/>
      <c r="P10" s="20"/>
      <c r="Q10" s="20"/>
      <c r="R10" s="20"/>
      <c r="S10" s="20"/>
      <c r="T10" s="20"/>
      <c r="U10" s="20"/>
      <c r="V10" s="20"/>
      <c r="W10" s="20"/>
    </row>
    <row r="11" spans="1:23" s="21" customFormat="1" ht="20.100000000000001" customHeight="1" x14ac:dyDescent="0.25">
      <c r="A11" s="51" t="str">
        <f>IFERROR(IF(HLOOKUP($L$5,RangeMMJRNUnitsets,M11,FALSE)=0,"",HLOOKUP($L$5,RangeMMJRNUnitsets,M11,FALSE)),"")</f>
        <v>JOUR5002</v>
      </c>
      <c r="B11" s="45">
        <f>IFERROR(IF(VLOOKUP($A11,TableHandbook[],2,FALSE)=0,"",VLOOKUP($A11,TableHandbook[],2,FALSE)),"")</f>
        <v>4</v>
      </c>
      <c r="C11" s="45" t="str">
        <f>IFERROR(IF(VLOOKUP($A11,TableHandbook[],3,FALSE)=0,"",VLOOKUP($A11,TableHandbook[],3,FALSE)),"")</f>
        <v/>
      </c>
      <c r="D11" s="52" t="str">
        <f>IFERROR(IF(VLOOKUP($A11,TableHandbook[],4,FALSE)=0,"",VLOOKUP($A11,TableHandbook[],4,FALSE)),"")</f>
        <v>Graduate Radio News</v>
      </c>
      <c r="E11" s="45" t="str">
        <f>IF(OR(A11="",A11="-"),"",E10)</f>
        <v>Sem1</v>
      </c>
      <c r="F11" s="44" t="str">
        <f>IFERROR(IF(VLOOKUP($A11,TableHandbook[],6,FALSE)=0,"",VLOOKUP($A11,TableHandbook[],6,FALSE)),"")</f>
        <v>None</v>
      </c>
      <c r="G11" s="45">
        <f>IFERROR(IF(VLOOKUP($A11,TableHandbook[],5,FALSE)=0,"",VLOOKUP($A11,TableHandbook[],5,FALSE)),"")</f>
        <v>25</v>
      </c>
      <c r="H11" s="55" t="str">
        <f>IFERROR(VLOOKUP($A11,TableHandbook[],H$2,FALSE),"")</f>
        <v>Y</v>
      </c>
      <c r="I11" s="215" t="str">
        <f>IFERROR(VLOOKUP($A11,TableHandbook[],I$2,FALSE),"")</f>
        <v/>
      </c>
      <c r="J11" s="45" t="str">
        <f>IFERROR(VLOOKUP($A11,TableHandbook[],J$2,FALSE),"")</f>
        <v/>
      </c>
      <c r="K11" s="56" t="str">
        <f>IFERROR(VLOOKUP($A11,TableHandbook[],K$2,FALSE),"")</f>
        <v/>
      </c>
      <c r="L11" s="53"/>
      <c r="M11" s="117">
        <v>3</v>
      </c>
      <c r="N11" s="19"/>
      <c r="O11" s="19"/>
      <c r="P11" s="20"/>
      <c r="Q11" s="20"/>
      <c r="R11" s="20"/>
      <c r="S11" s="20"/>
      <c r="T11" s="20"/>
      <c r="U11" s="20"/>
      <c r="V11" s="20"/>
      <c r="W11" s="20"/>
    </row>
    <row r="12" spans="1:23" s="21" customFormat="1" ht="20.100000000000001" customHeight="1" x14ac:dyDescent="0.25">
      <c r="A12" s="51" t="str">
        <f>IFERROR(IF(HLOOKUP($L$5,RangeMMJRNUnitsets,M12,FALSE)=0,"",HLOOKUP($L$5,RangeMMJRNUnitsets,M12,FALSE)),"")</f>
        <v>JOUR5012</v>
      </c>
      <c r="B12" s="45">
        <f>IFERROR(IF(VLOOKUP($A12,TableHandbook[],2,FALSE)=0,"",VLOOKUP($A12,TableHandbook[],2,FALSE)),"")</f>
        <v>3</v>
      </c>
      <c r="C12" s="45" t="str">
        <f>IFERROR(IF(VLOOKUP($A12,TableHandbook[],3,FALSE)=0,"",VLOOKUP($A12,TableHandbook[],3,FALSE)),"")</f>
        <v/>
      </c>
      <c r="D12" s="52" t="str">
        <f>IFERROR(IF(VLOOKUP($A12,TableHandbook[],4,FALSE)=0,"",VLOOKUP($A12,TableHandbook[],4,FALSE)),"")</f>
        <v>Understanding Journalism</v>
      </c>
      <c r="E12" s="45" t="str">
        <f t="shared" ref="E12:E13" si="0">IF(OR(A12="",A12="-"),"",E11)</f>
        <v>Sem1</v>
      </c>
      <c r="F12" s="44" t="str">
        <f>IFERROR(IF(VLOOKUP($A12,TableHandbook[],6,FALSE)=0,"",VLOOKUP($A12,TableHandbook[],6,FALSE)),"")</f>
        <v>None</v>
      </c>
      <c r="G12" s="45">
        <f>IFERROR(IF(VLOOKUP($A12,TableHandbook[],5,FALSE)=0,"",VLOOKUP($A12,TableHandbook[],5,FALSE)),"")</f>
        <v>25</v>
      </c>
      <c r="H12" s="55" t="str">
        <f>IFERROR(VLOOKUP($A12,TableHandbook[],H$2,FALSE),"")</f>
        <v>Y</v>
      </c>
      <c r="I12" s="215" t="str">
        <f>IFERROR(VLOOKUP($A12,TableHandbook[],I$2,FALSE),"")</f>
        <v/>
      </c>
      <c r="J12" s="45" t="str">
        <f>IFERROR(VLOOKUP($A12,TableHandbook[],J$2,FALSE),"")</f>
        <v/>
      </c>
      <c r="K12" s="56" t="str">
        <f>IFERROR(VLOOKUP($A12,TableHandbook[],K$2,FALSE),"")</f>
        <v/>
      </c>
      <c r="L12" s="54"/>
      <c r="M12" s="117">
        <v>4</v>
      </c>
      <c r="N12" s="19"/>
      <c r="O12" s="19"/>
      <c r="P12" s="20"/>
      <c r="Q12" s="20"/>
      <c r="R12" s="20"/>
      <c r="S12" s="20"/>
      <c r="T12" s="20"/>
      <c r="U12" s="20"/>
      <c r="V12" s="20"/>
      <c r="W12" s="20"/>
    </row>
    <row r="13" spans="1:23" s="21" customFormat="1" ht="20.100000000000001" customHeight="1" x14ac:dyDescent="0.25">
      <c r="A13" s="51" t="str">
        <f>IFERROR(IF(HLOOKUP($L$5,RangeMMJRNUnitsets,M13,FALSE)=0,"",HLOOKUP($L$5,RangeMMJRNUnitsets,M13,FALSE)),"")</f>
        <v>JOUR5005</v>
      </c>
      <c r="B13" s="45">
        <f>IFERROR(IF(VLOOKUP($A13,TableHandbook[],2,FALSE)=0,"",VLOOKUP($A13,TableHandbook[],2,FALSE)),"")</f>
        <v>4</v>
      </c>
      <c r="C13" s="45" t="str">
        <f>IFERROR(IF(VLOOKUP($A13,TableHandbook[],3,FALSE)=0,"",VLOOKUP($A13,TableHandbook[],3,FALSE)),"")</f>
        <v/>
      </c>
      <c r="D13" s="52" t="str">
        <f>IFERROR(IF(VLOOKUP($A13,TableHandbook[],4,FALSE)=0,"",VLOOKUP($A13,TableHandbook[],4,FALSE)),"")</f>
        <v>Graduate Video News</v>
      </c>
      <c r="E13" s="45" t="str">
        <f t="shared" si="0"/>
        <v>Sem1</v>
      </c>
      <c r="F13" s="44" t="str">
        <f>IFERROR(IF(VLOOKUP($A13,TableHandbook[],6,FALSE)=0,"",VLOOKUP($A13,TableHandbook[],6,FALSE)),"")</f>
        <v>None</v>
      </c>
      <c r="G13" s="45">
        <f>IFERROR(IF(VLOOKUP($A13,TableHandbook[],5,FALSE)=0,"",VLOOKUP($A13,TableHandbook[],5,FALSE)),"")</f>
        <v>25</v>
      </c>
      <c r="H13" s="55" t="str">
        <f>IFERROR(VLOOKUP($A13,TableHandbook[],H$2,FALSE),"")</f>
        <v/>
      </c>
      <c r="I13" s="215" t="str">
        <f>IFERROR(VLOOKUP($A13,TableHandbook[],I$2,FALSE),"")</f>
        <v/>
      </c>
      <c r="J13" s="45" t="str">
        <f>IFERROR(VLOOKUP($A13,TableHandbook[],J$2,FALSE),"")</f>
        <v>Y</v>
      </c>
      <c r="K13" s="56" t="str">
        <f>IFERROR(VLOOKUP($A13,TableHandbook[],K$2,FALSE),"")</f>
        <v/>
      </c>
      <c r="L13" s="53"/>
      <c r="M13" s="117">
        <v>5</v>
      </c>
      <c r="N13" s="19"/>
      <c r="O13" s="19"/>
      <c r="P13" s="20"/>
      <c r="Q13" s="20"/>
      <c r="R13" s="20"/>
      <c r="S13" s="20"/>
      <c r="T13" s="20"/>
      <c r="U13" s="20"/>
      <c r="V13" s="20"/>
      <c r="W13" s="20"/>
    </row>
    <row r="14" spans="1:23" s="21" customFormat="1" ht="5.0999999999999996" customHeight="1" x14ac:dyDescent="0.25">
      <c r="A14" s="22"/>
      <c r="B14" s="23"/>
      <c r="C14" s="23"/>
      <c r="D14" s="24"/>
      <c r="E14" s="23"/>
      <c r="F14" s="25"/>
      <c r="G14" s="23"/>
      <c r="H14" s="57"/>
      <c r="I14" s="218"/>
      <c r="J14" s="23"/>
      <c r="K14" s="58"/>
      <c r="L14" s="26"/>
      <c r="M14" s="117"/>
      <c r="N14" s="19"/>
      <c r="O14" s="19"/>
      <c r="P14" s="19"/>
      <c r="Q14" s="20"/>
      <c r="R14" s="20"/>
      <c r="S14" s="20"/>
      <c r="T14" s="20"/>
      <c r="U14" s="20"/>
      <c r="V14" s="20"/>
      <c r="W14" s="20"/>
    </row>
    <row r="15" spans="1:23" s="21" customFormat="1" ht="20.100000000000001" customHeight="1" x14ac:dyDescent="0.25">
      <c r="A15" s="51" t="str">
        <f>IFERROR(IF(HLOOKUP($L$5,RangeMMJRNUnitsets,M15,FALSE)=0,"",HLOOKUP($L$5,RangeMMJRNUnitsets,M15,FALSE)),"")</f>
        <v/>
      </c>
      <c r="B15" s="47" t="str">
        <f>IFERROR(IF(VLOOKUP($A15,TableHandbook[],2,FALSE)=0,"",VLOOKUP($A15,TableHandbook[],2,FALSE)),"")</f>
        <v/>
      </c>
      <c r="C15" s="47" t="str">
        <f>IFERROR(IF(VLOOKUP($A15,TableHandbook[],3,FALSE)=0,"",VLOOKUP($A15,TableHandbook[],3,FALSE)),"")</f>
        <v/>
      </c>
      <c r="D15" s="52" t="str">
        <f>IFERROR(IF(VLOOKUP($A15,TableHandbook[],4,FALSE)=0,"",VLOOKUP($A15,TableHandbook[],4,FALSE)),"")</f>
        <v/>
      </c>
      <c r="E15" s="45" t="str">
        <f>IF(A15="","",VLOOKUP($D$6,TableStudyPeriods[],3,FALSE))</f>
        <v/>
      </c>
      <c r="F15" s="44" t="str">
        <f>IFERROR(IF(VLOOKUP($A15,TableHandbook[],6,FALSE)=0,"",VLOOKUP($A15,TableHandbook[],6,FALSE)),"")</f>
        <v/>
      </c>
      <c r="G15" s="47" t="str">
        <f>IFERROR(IF(VLOOKUP($A15,TableHandbook[],5,FALSE)=0,"",VLOOKUP($A15,TableHandbook[],5,FALSE)),"")</f>
        <v/>
      </c>
      <c r="H15" s="59" t="str">
        <f>IFERROR(VLOOKUP($A15,TableHandbook[],H$2,FALSE),"")</f>
        <v/>
      </c>
      <c r="I15" s="216" t="str">
        <f>IFERROR(VLOOKUP($A15,TableHandbook[],I$2,FALSE),"")</f>
        <v/>
      </c>
      <c r="J15" s="47" t="str">
        <f>IFERROR(VLOOKUP($A15,TableHandbook[],J$2,FALSE),"")</f>
        <v/>
      </c>
      <c r="K15" s="60" t="str">
        <f>IFERROR(VLOOKUP($A15,TableHandbook[],K$2,FALSE),"")</f>
        <v/>
      </c>
      <c r="L15" s="54"/>
      <c r="M15" s="117">
        <v>6</v>
      </c>
      <c r="N15" s="19"/>
      <c r="O15" s="19"/>
      <c r="P15" s="20"/>
      <c r="Q15" s="20"/>
      <c r="R15" s="20"/>
      <c r="S15" s="20"/>
      <c r="T15" s="20"/>
      <c r="U15" s="20"/>
      <c r="V15" s="20"/>
      <c r="W15" s="20"/>
    </row>
    <row r="16" spans="1:23" s="29" customFormat="1" ht="20.100000000000001" customHeight="1" x14ac:dyDescent="0.25">
      <c r="A16" s="51" t="str">
        <f>IFERROR(IF(HLOOKUP($L$5,RangeMMJRNUnitsets,M16,FALSE)=0,"",HLOOKUP($L$5,RangeMMJRNUnitsets,M16,FALSE)),"")</f>
        <v/>
      </c>
      <c r="B16" s="47" t="str">
        <f>IFERROR(IF(VLOOKUP($A16,TableHandbook[],2,FALSE)=0,"",VLOOKUP($A16,TableHandbook[],2,FALSE)),"")</f>
        <v/>
      </c>
      <c r="C16" s="47" t="str">
        <f>IFERROR(IF(VLOOKUP($A16,TableHandbook[],3,FALSE)=0,"",VLOOKUP($A16,TableHandbook[],3,FALSE)),"")</f>
        <v/>
      </c>
      <c r="D16" s="52" t="str">
        <f>IFERROR(IF(VLOOKUP($A16,TableHandbook[],4,FALSE)=0,"",VLOOKUP($A16,TableHandbook[],4,FALSE)),"")</f>
        <v/>
      </c>
      <c r="E16" s="45" t="str">
        <f>IF(OR(A16="",A16="-"),"",E15)</f>
        <v/>
      </c>
      <c r="F16" s="44" t="str">
        <f>IFERROR(IF(VLOOKUP($A16,TableHandbook[],6,FALSE)=0,"",VLOOKUP($A16,TableHandbook[],6,FALSE)),"")</f>
        <v/>
      </c>
      <c r="G16" s="47" t="str">
        <f>IFERROR(IF(VLOOKUP($A16,TableHandbook[],5,FALSE)=0,"",VLOOKUP($A16,TableHandbook[],5,FALSE)),"")</f>
        <v/>
      </c>
      <c r="H16" s="59" t="str">
        <f>IFERROR(VLOOKUP($A16,TableHandbook[],H$2,FALSE),"")</f>
        <v/>
      </c>
      <c r="I16" s="216" t="str">
        <f>IFERROR(VLOOKUP($A16,TableHandbook[],I$2,FALSE),"")</f>
        <v/>
      </c>
      <c r="J16" s="47" t="str">
        <f>IFERROR(VLOOKUP($A16,TableHandbook[],J$2,FALSE),"")</f>
        <v/>
      </c>
      <c r="K16" s="60" t="str">
        <f>IFERROR(VLOOKUP($A16,TableHandbook[],K$2,FALSE),"")</f>
        <v/>
      </c>
      <c r="L16" s="54"/>
      <c r="M16" s="117">
        <v>7</v>
      </c>
      <c r="N16" s="27"/>
      <c r="O16" s="27"/>
      <c r="P16" s="28"/>
      <c r="Q16" s="28"/>
      <c r="R16" s="28"/>
      <c r="S16" s="28"/>
      <c r="T16" s="28"/>
      <c r="U16" s="28"/>
      <c r="V16" s="28"/>
      <c r="W16" s="28"/>
    </row>
    <row r="17" spans="1:23" s="29" customFormat="1" ht="20.100000000000001" customHeight="1" x14ac:dyDescent="0.25">
      <c r="A17" s="51" t="str">
        <f>IFERROR(IF(HLOOKUP($L$5,RangeMMJRNUnitsets,M17,FALSE)=0,"",HLOOKUP($L$5,RangeMMJRNUnitsets,M17,FALSE)),"")</f>
        <v/>
      </c>
      <c r="B17" s="47" t="str">
        <f>IFERROR(IF(VLOOKUP($A17,TableHandbook[],2,FALSE)=0,"",VLOOKUP($A17,TableHandbook[],2,FALSE)),"")</f>
        <v/>
      </c>
      <c r="C17" s="47" t="str">
        <f>IFERROR(IF(VLOOKUP($A17,TableHandbook[],3,FALSE)=0,"",VLOOKUP($A17,TableHandbook[],3,FALSE)),"")</f>
        <v/>
      </c>
      <c r="D17" s="52" t="str">
        <f>IFERROR(IF(VLOOKUP($A17,TableHandbook[],4,FALSE)=0,"",VLOOKUP($A17,TableHandbook[],4,FALSE)),"")</f>
        <v/>
      </c>
      <c r="E17" s="45" t="str">
        <f t="shared" ref="E17:E18" si="1">IF(OR(A17="",A17="-"),"",E16)</f>
        <v/>
      </c>
      <c r="F17" s="44" t="str">
        <f>IFERROR(IF(VLOOKUP($A17,TableHandbook[],6,FALSE)=0,"",VLOOKUP($A17,TableHandbook[],6,FALSE)),"")</f>
        <v/>
      </c>
      <c r="G17" s="47" t="str">
        <f>IFERROR(IF(VLOOKUP($A17,TableHandbook[],5,FALSE)=0,"",VLOOKUP($A17,TableHandbook[],5,FALSE)),"")</f>
        <v/>
      </c>
      <c r="H17" s="59" t="str">
        <f>IFERROR(VLOOKUP($A17,TableHandbook[],H$2,FALSE),"")</f>
        <v/>
      </c>
      <c r="I17" s="216" t="str">
        <f>IFERROR(VLOOKUP($A17,TableHandbook[],I$2,FALSE),"")</f>
        <v/>
      </c>
      <c r="J17" s="47" t="str">
        <f>IFERROR(VLOOKUP($A17,TableHandbook[],J$2,FALSE),"")</f>
        <v/>
      </c>
      <c r="K17" s="60" t="str">
        <f>IFERROR(VLOOKUP($A17,TableHandbook[],K$2,FALSE),"")</f>
        <v/>
      </c>
      <c r="L17" s="54"/>
      <c r="M17" s="117">
        <v>8</v>
      </c>
      <c r="N17" s="27"/>
      <c r="O17" s="27"/>
      <c r="P17" s="28"/>
      <c r="Q17" s="28"/>
      <c r="R17" s="28"/>
      <c r="S17" s="28"/>
      <c r="T17" s="28"/>
      <c r="U17" s="28"/>
      <c r="V17" s="28"/>
      <c r="W17" s="28"/>
    </row>
    <row r="18" spans="1:23" s="29" customFormat="1" ht="20.100000000000001" customHeight="1" x14ac:dyDescent="0.25">
      <c r="A18" s="51" t="str">
        <f>IFERROR(IF(HLOOKUP($L$5,RangeMMJRNUnitsets,M18,FALSE)=0,"",HLOOKUP($L$5,RangeMMJRNUnitsets,M18,FALSE)),"")</f>
        <v/>
      </c>
      <c r="B18" s="47" t="str">
        <f>IFERROR(IF(VLOOKUP($A18,TableHandbook[],2,FALSE)=0,"",VLOOKUP($A18,TableHandbook[],2,FALSE)),"")</f>
        <v/>
      </c>
      <c r="C18" s="47" t="str">
        <f>IFERROR(IF(VLOOKUP($A18,TableHandbook[],3,FALSE)=0,"",VLOOKUP($A18,TableHandbook[],3,FALSE)),"")</f>
        <v/>
      </c>
      <c r="D18" s="50" t="str">
        <f>IFERROR(IF(VLOOKUP($A18,TableHandbook[],4,FALSE)=0,"",VLOOKUP($A18,TableHandbook[],4,FALSE)),"")</f>
        <v/>
      </c>
      <c r="E18" s="47" t="str">
        <f t="shared" si="1"/>
        <v/>
      </c>
      <c r="F18" s="44" t="str">
        <f>IFERROR(IF(VLOOKUP($A18,TableHandbook[],6,FALSE)=0,"",VLOOKUP($A18,TableHandbook[],6,FALSE)),"")</f>
        <v/>
      </c>
      <c r="G18" s="47" t="str">
        <f>IFERROR(IF(VLOOKUP($A18,TableHandbook[],5,FALSE)=0,"",VLOOKUP($A18,TableHandbook[],5,FALSE)),"")</f>
        <v/>
      </c>
      <c r="H18" s="59" t="str">
        <f>IFERROR(VLOOKUP($A18,TableHandbook[],H$2,FALSE),"")</f>
        <v/>
      </c>
      <c r="I18" s="216" t="str">
        <f>IFERROR(VLOOKUP($A18,TableHandbook[],I$2,FALSE),"")</f>
        <v/>
      </c>
      <c r="J18" s="47" t="str">
        <f>IFERROR(VLOOKUP($A18,TableHandbook[],J$2,FALSE),"")</f>
        <v/>
      </c>
      <c r="K18" s="60" t="str">
        <f>IFERROR(VLOOKUP($A18,TableHandbook[],K$2,FALSE),"")</f>
        <v/>
      </c>
      <c r="L18" s="54"/>
      <c r="M18" s="117">
        <v>9</v>
      </c>
      <c r="N18" s="27"/>
      <c r="O18" s="27"/>
      <c r="P18" s="28"/>
      <c r="Q18" s="28"/>
      <c r="R18" s="28"/>
      <c r="S18" s="28"/>
      <c r="T18" s="28"/>
      <c r="U18" s="28"/>
      <c r="V18" s="28"/>
      <c r="W18" s="28"/>
    </row>
    <row r="19" spans="1:23" s="18" customFormat="1" ht="22.8" x14ac:dyDescent="0.3">
      <c r="A19" s="132" t="s">
        <v>30</v>
      </c>
      <c r="B19" s="132"/>
      <c r="C19" s="132"/>
      <c r="D19" s="133" t="s">
        <v>3</v>
      </c>
      <c r="E19" s="138" t="s">
        <v>22</v>
      </c>
      <c r="F19" s="132" t="s">
        <v>23</v>
      </c>
      <c r="G19" s="132" t="s">
        <v>24</v>
      </c>
      <c r="H19" s="139" t="str">
        <f>H$9</f>
        <v>Sem1 BEN</v>
      </c>
      <c r="I19" s="214" t="str">
        <f t="shared" ref="I19:L19" si="2">I$9</f>
        <v>Sem1 FO</v>
      </c>
      <c r="J19" s="138" t="str">
        <f t="shared" si="2"/>
        <v>Sem2 BEN</v>
      </c>
      <c r="K19" s="140" t="str">
        <f t="shared" si="2"/>
        <v>Sem2 FO</v>
      </c>
      <c r="L19" s="141" t="str">
        <f t="shared" si="2"/>
        <v>Notes / Progress</v>
      </c>
      <c r="M19" s="116"/>
      <c r="N19" s="16"/>
      <c r="O19" s="16"/>
      <c r="P19" s="17"/>
      <c r="Q19" s="17"/>
      <c r="R19" s="17"/>
      <c r="S19" s="17"/>
      <c r="T19" s="17"/>
      <c r="U19" s="17"/>
      <c r="V19" s="17"/>
      <c r="W19" s="17"/>
    </row>
    <row r="20" spans="1:23" s="21" customFormat="1" ht="20.100000000000001" customHeight="1" x14ac:dyDescent="0.25">
      <c r="A20" s="51" t="str">
        <f>IFERROR(IF(HLOOKUP($L$5,RangeMMJRNUnitsets,M20,FALSE)=0,"",HLOOKUP($L$5,RangeMMJRNUnitsets,M20,FALSE)),"")</f>
        <v/>
      </c>
      <c r="B20" s="47" t="str">
        <f>IFERROR(IF(VLOOKUP($A20,TableHandbook[],2,FALSE)=0,"",VLOOKUP($A20,TableHandbook[],2,FALSE)),"")</f>
        <v/>
      </c>
      <c r="C20" s="47" t="str">
        <f>IFERROR(IF(VLOOKUP($A20,TableHandbook[],3,FALSE)=0,"",VLOOKUP($A20,TableHandbook[],3,FALSE)),"")</f>
        <v/>
      </c>
      <c r="D20" s="48" t="str">
        <f>IFERROR(IF(VLOOKUP($A20,TableHandbook[],4,FALSE)=0,"",VLOOKUP($A20,TableHandbook[],4,FALSE)),"")</f>
        <v/>
      </c>
      <c r="E20" s="47" t="str">
        <f>IF(A20="","",VLOOKUP($D$6,TableStudyPeriods[],2,FALSE))</f>
        <v/>
      </c>
      <c r="F20" s="44" t="str">
        <f>IFERROR(IF(VLOOKUP($A20,TableHandbook[],6,FALSE)=0,"",VLOOKUP($A20,TableHandbook[],6,FALSE)),"")</f>
        <v/>
      </c>
      <c r="G20" s="45" t="str">
        <f>IFERROR(IF(VLOOKUP($A20,TableHandbook[],5,FALSE)=0,"",VLOOKUP($A20,TableHandbook[],5,FALSE)),"")</f>
        <v/>
      </c>
      <c r="H20" s="55" t="str">
        <f>IFERROR(VLOOKUP($A20,TableHandbook[],H$2,FALSE),"")</f>
        <v/>
      </c>
      <c r="I20" s="215" t="str">
        <f>IFERROR(VLOOKUP($A20,TableHandbook[],I$2,FALSE),"")</f>
        <v/>
      </c>
      <c r="J20" s="45" t="str">
        <f>IFERROR(VLOOKUP($A20,TableHandbook[],J$2,FALSE),"")</f>
        <v/>
      </c>
      <c r="K20" s="56" t="str">
        <f>IFERROR(VLOOKUP($A20,TableHandbook[],K$2,FALSE),"")</f>
        <v/>
      </c>
      <c r="L20" s="53"/>
      <c r="M20" s="117">
        <v>10</v>
      </c>
      <c r="N20" s="19"/>
      <c r="O20" s="19"/>
      <c r="P20" s="20"/>
      <c r="Q20" s="20"/>
      <c r="R20" s="20"/>
      <c r="S20" s="20"/>
      <c r="T20" s="20"/>
      <c r="U20" s="20"/>
      <c r="V20" s="20"/>
      <c r="W20" s="20"/>
    </row>
    <row r="21" spans="1:23" s="21" customFormat="1" ht="20.100000000000001" customHeight="1" x14ac:dyDescent="0.25">
      <c r="A21" s="51" t="str">
        <f>IFERROR(IF(HLOOKUP($L$5,RangeMMJRNUnitsets,M21,FALSE)=0,"",HLOOKUP($L$5,RangeMMJRNUnitsets,M21,FALSE)),"")</f>
        <v/>
      </c>
      <c r="B21" s="47" t="str">
        <f>IFERROR(IF(VLOOKUP($A21,TableHandbook[],2,FALSE)=0,"",VLOOKUP($A21,TableHandbook[],2,FALSE)),"")</f>
        <v/>
      </c>
      <c r="C21" s="47" t="str">
        <f>IFERROR(IF(VLOOKUP($A21,TableHandbook[],3,FALSE)=0,"",VLOOKUP($A21,TableHandbook[],3,FALSE)),"")</f>
        <v/>
      </c>
      <c r="D21" s="50" t="str">
        <f>IFERROR(IF(VLOOKUP($A21,TableHandbook[],4,FALSE)=0,"",VLOOKUP($A21,TableHandbook[],4,FALSE)),"")</f>
        <v/>
      </c>
      <c r="E21" s="47" t="str">
        <f>IF(OR(A21="",A21="-"),"",E20)</f>
        <v/>
      </c>
      <c r="F21" s="44" t="str">
        <f>IFERROR(IF(VLOOKUP($A21,TableHandbook[],6,FALSE)=0,"",VLOOKUP($A21,TableHandbook[],6,FALSE)),"")</f>
        <v/>
      </c>
      <c r="G21" s="45" t="str">
        <f>IFERROR(IF(VLOOKUP($A21,TableHandbook[],5,FALSE)=0,"",VLOOKUP($A21,TableHandbook[],5,FALSE)),"")</f>
        <v/>
      </c>
      <c r="H21" s="55" t="str">
        <f>IFERROR(VLOOKUP($A21,TableHandbook[],H$2,FALSE),"")</f>
        <v/>
      </c>
      <c r="I21" s="215" t="str">
        <f>IFERROR(VLOOKUP($A21,TableHandbook[],I$2,FALSE),"")</f>
        <v/>
      </c>
      <c r="J21" s="45" t="str">
        <f>IFERROR(VLOOKUP($A21,TableHandbook[],J$2,FALSE),"")</f>
        <v/>
      </c>
      <c r="K21" s="56" t="str">
        <f>IFERROR(VLOOKUP($A21,TableHandbook[],K$2,FALSE),"")</f>
        <v/>
      </c>
      <c r="L21" s="53"/>
      <c r="M21" s="117">
        <v>11</v>
      </c>
      <c r="N21" s="19"/>
      <c r="O21" s="19"/>
      <c r="P21" s="20"/>
      <c r="Q21" s="20"/>
      <c r="R21" s="20"/>
      <c r="S21" s="20"/>
      <c r="T21" s="20"/>
      <c r="U21" s="20"/>
      <c r="V21" s="20"/>
      <c r="W21" s="20"/>
    </row>
    <row r="22" spans="1:23" s="21" customFormat="1" ht="20.100000000000001" customHeight="1" x14ac:dyDescent="0.25">
      <c r="A22" s="51" t="str">
        <f>IFERROR(IF(HLOOKUP($L$5,RangeMMJRNUnitsets,M22,FALSE)=0,"",HLOOKUP($L$5,RangeMMJRNUnitsets,M22,FALSE)),"")</f>
        <v/>
      </c>
      <c r="B22" s="47" t="str">
        <f>IFERROR(IF(VLOOKUP($A22,TableHandbook[],2,FALSE)=0,"",VLOOKUP($A22,TableHandbook[],2,FALSE)),"")</f>
        <v/>
      </c>
      <c r="C22" s="47" t="str">
        <f>IFERROR(IF(VLOOKUP($A22,TableHandbook[],3,FALSE)=0,"",VLOOKUP($A22,TableHandbook[],3,FALSE)),"")</f>
        <v/>
      </c>
      <c r="D22" s="50" t="str">
        <f>IFERROR(IF(VLOOKUP($A22,TableHandbook[],4,FALSE)=0,"",VLOOKUP($A22,TableHandbook[],4,FALSE)),"")</f>
        <v/>
      </c>
      <c r="E22" s="47" t="str">
        <f t="shared" ref="E22:E23" si="3">IF(OR(A22="",A22="-"),"",E21)</f>
        <v/>
      </c>
      <c r="F22" s="44" t="str">
        <f>IFERROR(IF(VLOOKUP($A22,TableHandbook[],6,FALSE)=0,"",VLOOKUP($A22,TableHandbook[],6,FALSE)),"")</f>
        <v/>
      </c>
      <c r="G22" s="45" t="str">
        <f>IFERROR(IF(VLOOKUP($A22,TableHandbook[],5,FALSE)=0,"",VLOOKUP($A22,TableHandbook[],5,FALSE)),"")</f>
        <v/>
      </c>
      <c r="H22" s="55" t="str">
        <f>IFERROR(VLOOKUP($A22,TableHandbook[],H$2,FALSE),"")</f>
        <v/>
      </c>
      <c r="I22" s="215" t="str">
        <f>IFERROR(VLOOKUP($A22,TableHandbook[],I$2,FALSE),"")</f>
        <v/>
      </c>
      <c r="J22" s="45" t="str">
        <f>IFERROR(VLOOKUP($A22,TableHandbook[],J$2,FALSE),"")</f>
        <v/>
      </c>
      <c r="K22" s="56" t="str">
        <f>IFERROR(VLOOKUP($A22,TableHandbook[],K$2,FALSE),"")</f>
        <v/>
      </c>
      <c r="L22" s="53"/>
      <c r="M22" s="117">
        <v>12</v>
      </c>
      <c r="N22" s="19"/>
      <c r="O22" s="19"/>
      <c r="P22" s="20"/>
      <c r="Q22" s="20"/>
      <c r="R22" s="20"/>
      <c r="S22" s="20"/>
      <c r="T22" s="20"/>
      <c r="U22" s="20"/>
      <c r="V22" s="20"/>
      <c r="W22" s="20"/>
    </row>
    <row r="23" spans="1:23" s="21" customFormat="1" ht="20.100000000000001" customHeight="1" x14ac:dyDescent="0.25">
      <c r="A23" s="51" t="str">
        <f>IFERROR(IF(HLOOKUP($L$5,RangeMMJRNUnitsets,M23,FALSE)=0,"",HLOOKUP($L$5,RangeMMJRNUnitsets,M23,FALSE)),"")</f>
        <v/>
      </c>
      <c r="B23" s="47" t="str">
        <f>IFERROR(IF(VLOOKUP($A23,TableHandbook[],2,FALSE)=0,"",VLOOKUP($A23,TableHandbook[],2,FALSE)),"")</f>
        <v/>
      </c>
      <c r="C23" s="47" t="str">
        <f>IFERROR(IF(VLOOKUP($A23,TableHandbook[],3,FALSE)=0,"",VLOOKUP($A23,TableHandbook[],3,FALSE)),"")</f>
        <v/>
      </c>
      <c r="D23" s="50" t="str">
        <f>IFERROR(IF(VLOOKUP($A23,TableHandbook[],4,FALSE)=0,"",VLOOKUP($A23,TableHandbook[],4,FALSE)),"")</f>
        <v/>
      </c>
      <c r="E23" s="47" t="str">
        <f t="shared" si="3"/>
        <v/>
      </c>
      <c r="F23" s="44" t="str">
        <f>IFERROR(IF(VLOOKUP($A23,TableHandbook[],6,FALSE)=0,"",VLOOKUP($A23,TableHandbook[],6,FALSE)),"")</f>
        <v/>
      </c>
      <c r="G23" s="45" t="str">
        <f>IFERROR(IF(VLOOKUP($A23,TableHandbook[],5,FALSE)=0,"",VLOOKUP($A23,TableHandbook[],5,FALSE)),"")</f>
        <v/>
      </c>
      <c r="H23" s="55" t="str">
        <f>IFERROR(VLOOKUP($A23,TableHandbook[],H$2,FALSE),"")</f>
        <v/>
      </c>
      <c r="I23" s="215" t="str">
        <f>IFERROR(VLOOKUP($A23,TableHandbook[],I$2,FALSE),"")</f>
        <v/>
      </c>
      <c r="J23" s="45" t="str">
        <f>IFERROR(VLOOKUP($A23,TableHandbook[],J$2,FALSE),"")</f>
        <v/>
      </c>
      <c r="K23" s="56" t="str">
        <f>IFERROR(VLOOKUP($A23,TableHandbook[],K$2,FALSE),"")</f>
        <v/>
      </c>
      <c r="L23" s="53"/>
      <c r="M23" s="117">
        <v>13</v>
      </c>
      <c r="N23" s="19"/>
      <c r="O23" s="19"/>
      <c r="P23" s="20"/>
      <c r="Q23" s="20"/>
      <c r="R23" s="20"/>
      <c r="S23" s="20"/>
      <c r="T23" s="20"/>
      <c r="U23" s="20"/>
      <c r="V23" s="20"/>
      <c r="W23" s="20"/>
    </row>
    <row r="24" spans="1:23" s="21" customFormat="1" ht="5.0999999999999996" customHeight="1" x14ac:dyDescent="0.25">
      <c r="A24" s="22"/>
      <c r="B24" s="23"/>
      <c r="C24" s="23"/>
      <c r="D24" s="24"/>
      <c r="E24" s="23"/>
      <c r="F24" s="25"/>
      <c r="G24" s="23"/>
      <c r="H24" s="57"/>
      <c r="I24" s="218"/>
      <c r="J24" s="23"/>
      <c r="K24" s="58"/>
      <c r="L24" s="26"/>
      <c r="M24" s="117"/>
      <c r="N24" s="19"/>
      <c r="O24" s="19"/>
      <c r="P24" s="19"/>
      <c r="Q24" s="20"/>
      <c r="R24" s="20"/>
      <c r="S24" s="20"/>
      <c r="T24" s="20"/>
      <c r="U24" s="20"/>
      <c r="V24" s="20"/>
      <c r="W24" s="20"/>
    </row>
    <row r="25" spans="1:23" s="21" customFormat="1" ht="20.100000000000001" customHeight="1" x14ac:dyDescent="0.25">
      <c r="A25" s="51" t="str">
        <f>IFERROR(IF(HLOOKUP($L$5,RangeMMJRNUnitsets,M25,FALSE)=0,"",HLOOKUP($L$5,RangeMMJRNUnitsets,M25,FALSE)),"")</f>
        <v/>
      </c>
      <c r="B25" s="47" t="str">
        <f>IFERROR(IF(VLOOKUP($A25,TableHandbook[],2,FALSE)=0,"",VLOOKUP($A25,TableHandbook[],2,FALSE)),"")</f>
        <v/>
      </c>
      <c r="C25" s="47" t="str">
        <f>IFERROR(IF(VLOOKUP($A25,TableHandbook[],3,FALSE)=0,"",VLOOKUP($A25,TableHandbook[],3,FALSE)),"")</f>
        <v/>
      </c>
      <c r="D25" s="50" t="str">
        <f>IFERROR(IF(VLOOKUP($A25,TableHandbook[],4,FALSE)=0,"",VLOOKUP($A25,TableHandbook[],4,FALSE)),"")</f>
        <v/>
      </c>
      <c r="E25" s="47" t="str">
        <f>IF(A25="","",VLOOKUP($D$6,TableStudyPeriods[],3,FALSE))</f>
        <v/>
      </c>
      <c r="F25" s="44" t="str">
        <f>IFERROR(IF(VLOOKUP($A25,TableHandbook[],6,FALSE)=0,"",VLOOKUP($A25,TableHandbook[],6,FALSE)),"")</f>
        <v/>
      </c>
      <c r="G25" s="45" t="str">
        <f>IFERROR(IF(VLOOKUP($A25,TableHandbook[],5,FALSE)=0,"",VLOOKUP($A25,TableHandbook[],5,FALSE)),"")</f>
        <v/>
      </c>
      <c r="H25" s="55" t="str">
        <f>IFERROR(VLOOKUP($A25,TableHandbook[],H$2,FALSE),"")</f>
        <v/>
      </c>
      <c r="I25" s="215" t="str">
        <f>IFERROR(VLOOKUP($A25,TableHandbook[],I$2,FALSE),"")</f>
        <v/>
      </c>
      <c r="J25" s="45" t="str">
        <f>IFERROR(VLOOKUP($A25,TableHandbook[],J$2,FALSE),"")</f>
        <v/>
      </c>
      <c r="K25" s="56" t="str">
        <f>IFERROR(VLOOKUP($A25,TableHandbook[],K$2,FALSE),"")</f>
        <v/>
      </c>
      <c r="L25" s="53"/>
      <c r="M25" s="117">
        <v>14</v>
      </c>
      <c r="N25" s="19"/>
      <c r="O25" s="19"/>
      <c r="P25" s="20"/>
      <c r="Q25" s="20"/>
      <c r="R25" s="20"/>
      <c r="S25" s="20"/>
      <c r="T25" s="20"/>
      <c r="U25" s="20"/>
      <c r="V25" s="20"/>
      <c r="W25" s="20"/>
    </row>
    <row r="26" spans="1:23" s="21" customFormat="1" ht="20.100000000000001" customHeight="1" x14ac:dyDescent="0.25">
      <c r="A26" s="51" t="str">
        <f>IFERROR(IF(HLOOKUP($L$5,RangeMMJRNUnitsets,M26,FALSE)=0,"",HLOOKUP($L$5,RangeMMJRNUnitsets,M26,FALSE)),"")</f>
        <v/>
      </c>
      <c r="B26" s="47" t="str">
        <f>IFERROR(IF(VLOOKUP($A26,TableHandbook[],2,FALSE)=0,"",VLOOKUP($A26,TableHandbook[],2,FALSE)),"")</f>
        <v/>
      </c>
      <c r="C26" s="47" t="str">
        <f>IFERROR(IF(VLOOKUP($A26,TableHandbook[],3,FALSE)=0,"",VLOOKUP($A26,TableHandbook[],3,FALSE)),"")</f>
        <v/>
      </c>
      <c r="D26" s="50" t="str">
        <f>IFERROR(IF(VLOOKUP($A26,TableHandbook[],4,FALSE)=0,"",VLOOKUP($A26,TableHandbook[],4,FALSE)),"")</f>
        <v/>
      </c>
      <c r="E26" s="47" t="str">
        <f>IF(OR(A26="",A26="-"),"",E25)</f>
        <v/>
      </c>
      <c r="F26" s="44" t="str">
        <f>IFERROR(IF(VLOOKUP($A26,TableHandbook[],6,FALSE)=0,"",VLOOKUP($A26,TableHandbook[],6,FALSE)),"")</f>
        <v/>
      </c>
      <c r="G26" s="45" t="str">
        <f>IFERROR(IF(VLOOKUP($A26,TableHandbook[],5,FALSE)=0,"",VLOOKUP($A26,TableHandbook[],5,FALSE)),"")</f>
        <v/>
      </c>
      <c r="H26" s="55" t="str">
        <f>IFERROR(VLOOKUP($A26,TableHandbook[],H$2,FALSE),"")</f>
        <v/>
      </c>
      <c r="I26" s="215" t="str">
        <f>IFERROR(VLOOKUP($A26,TableHandbook[],I$2,FALSE),"")</f>
        <v/>
      </c>
      <c r="J26" s="45" t="str">
        <f>IFERROR(VLOOKUP($A26,TableHandbook[],J$2,FALSE),"")</f>
        <v/>
      </c>
      <c r="K26" s="56" t="str">
        <f>IFERROR(VLOOKUP($A26,TableHandbook[],K$2,FALSE),"")</f>
        <v/>
      </c>
      <c r="L26" s="53"/>
      <c r="M26" s="117">
        <v>15</v>
      </c>
      <c r="N26" s="19"/>
      <c r="O26" s="19"/>
      <c r="P26" s="20"/>
      <c r="Q26" s="20"/>
      <c r="R26" s="20"/>
      <c r="S26" s="20"/>
      <c r="T26" s="20"/>
      <c r="U26" s="20"/>
      <c r="V26" s="20"/>
      <c r="W26" s="20"/>
    </row>
    <row r="27" spans="1:23" s="29" customFormat="1" ht="20.100000000000001" customHeight="1" x14ac:dyDescent="0.25">
      <c r="A27" s="51" t="str">
        <f>IFERROR(IF(HLOOKUP($L$5,RangeMMJRNUnitsets,M27,FALSE)=0,"",HLOOKUP($L$5,RangeMMJRNUnitsets,M27,FALSE)),"")</f>
        <v/>
      </c>
      <c r="B27" s="47" t="str">
        <f>IFERROR(IF(VLOOKUP($A27,TableHandbook[],2,FALSE)=0,"",VLOOKUP($A27,TableHandbook[],2,FALSE)),"")</f>
        <v/>
      </c>
      <c r="C27" s="47" t="str">
        <f>IFERROR(IF(VLOOKUP($A27,TableHandbook[],3,FALSE)=0,"",VLOOKUP($A27,TableHandbook[],3,FALSE)),"")</f>
        <v/>
      </c>
      <c r="D27" s="50" t="str">
        <f>IFERROR(IF(VLOOKUP($A27,TableHandbook[],4,FALSE)=0,"",VLOOKUP($A27,TableHandbook[],4,FALSE)),"")</f>
        <v/>
      </c>
      <c r="E27" s="47" t="str">
        <f t="shared" ref="E27:E28" si="4">IF(OR(A27="",A27="-"),"",E26)</f>
        <v/>
      </c>
      <c r="F27" s="44" t="str">
        <f>IFERROR(IF(VLOOKUP($A27,TableHandbook[],6,FALSE)=0,"",VLOOKUP($A27,TableHandbook[],6,FALSE)),"")</f>
        <v/>
      </c>
      <c r="G27" s="45" t="str">
        <f>IFERROR(IF(VLOOKUP($A27,TableHandbook[],5,FALSE)=0,"",VLOOKUP($A27,TableHandbook[],5,FALSE)),"")</f>
        <v/>
      </c>
      <c r="H27" s="55" t="str">
        <f>IFERROR(VLOOKUP($A27,TableHandbook[],H$2,FALSE),"")</f>
        <v/>
      </c>
      <c r="I27" s="215" t="str">
        <f>IFERROR(VLOOKUP($A27,TableHandbook[],I$2,FALSE),"")</f>
        <v/>
      </c>
      <c r="J27" s="45" t="str">
        <f>IFERROR(VLOOKUP($A27,TableHandbook[],J$2,FALSE),"")</f>
        <v/>
      </c>
      <c r="K27" s="56" t="str">
        <f>IFERROR(VLOOKUP($A27,TableHandbook[],K$2,FALSE),"")</f>
        <v/>
      </c>
      <c r="L27" s="53"/>
      <c r="M27" s="117">
        <v>16</v>
      </c>
      <c r="N27" s="27"/>
      <c r="O27" s="27"/>
      <c r="P27" s="28"/>
      <c r="Q27" s="28"/>
      <c r="R27" s="28"/>
      <c r="S27" s="28"/>
      <c r="T27" s="28"/>
      <c r="U27" s="28"/>
      <c r="V27" s="28"/>
      <c r="W27" s="28"/>
    </row>
    <row r="28" spans="1:23" s="29" customFormat="1" ht="20.100000000000001" customHeight="1" x14ac:dyDescent="0.25">
      <c r="A28" s="51" t="str">
        <f>IFERROR(IF(HLOOKUP($L$5,RangeMMJRNUnitsets,M28,FALSE)=0,"",HLOOKUP($L$5,RangeMMJRNUnitsets,M28,FALSE)),"")</f>
        <v/>
      </c>
      <c r="B28" s="47" t="str">
        <f>IFERROR(IF(VLOOKUP($A28,TableHandbook[],2,FALSE)=0,"",VLOOKUP($A28,TableHandbook[],2,FALSE)),"")</f>
        <v/>
      </c>
      <c r="C28" s="47" t="str">
        <f>IFERROR(IF(VLOOKUP($A28,TableHandbook[],3,FALSE)=0,"",VLOOKUP($A28,TableHandbook[],3,FALSE)),"")</f>
        <v/>
      </c>
      <c r="D28" s="50" t="str">
        <f>IFERROR(IF(VLOOKUP($A28,TableHandbook[],4,FALSE)=0,"",VLOOKUP($A28,TableHandbook[],4,FALSE)),"")</f>
        <v/>
      </c>
      <c r="E28" s="45" t="str">
        <f t="shared" si="4"/>
        <v/>
      </c>
      <c r="F28" s="44" t="str">
        <f>IFERROR(IF(VLOOKUP($A28,TableHandbook[],6,FALSE)=0,"",VLOOKUP($A28,TableHandbook[],6,FALSE)),"")</f>
        <v/>
      </c>
      <c r="G28" s="45" t="str">
        <f>IFERROR(IF(VLOOKUP($A28,TableHandbook[],5,FALSE)=0,"",VLOOKUP($A28,TableHandbook[],5,FALSE)),"")</f>
        <v/>
      </c>
      <c r="H28" s="55" t="str">
        <f>IFERROR(VLOOKUP($A28,TableHandbook[],H$2,FALSE),"")</f>
        <v/>
      </c>
      <c r="I28" s="215" t="str">
        <f>IFERROR(VLOOKUP($A28,TableHandbook[],I$2,FALSE),"")</f>
        <v/>
      </c>
      <c r="J28" s="45" t="str">
        <f>IFERROR(VLOOKUP($A28,TableHandbook[],J$2,FALSE),"")</f>
        <v/>
      </c>
      <c r="K28" s="56" t="str">
        <f>IFERROR(VLOOKUP($A28,TableHandbook[],K$2,FALSE),"")</f>
        <v/>
      </c>
      <c r="L28" s="53"/>
      <c r="M28" s="117">
        <v>17</v>
      </c>
      <c r="N28" s="27"/>
      <c r="O28" s="27"/>
      <c r="P28" s="28"/>
      <c r="Q28" s="28"/>
      <c r="R28" s="28"/>
      <c r="S28" s="28"/>
      <c r="T28" s="28"/>
      <c r="U28" s="28"/>
      <c r="V28" s="28"/>
      <c r="W28" s="28"/>
    </row>
    <row r="29" spans="1:23" s="29" customFormat="1" ht="20.100000000000001" customHeight="1" x14ac:dyDescent="0.25">
      <c r="A29" s="123"/>
      <c r="B29" s="124"/>
      <c r="C29" s="124"/>
      <c r="D29" s="143"/>
      <c r="E29" s="123"/>
      <c r="F29" s="144"/>
      <c r="G29" s="123"/>
      <c r="H29" s="123"/>
      <c r="I29" s="123"/>
      <c r="J29" s="123"/>
      <c r="K29" s="123"/>
      <c r="L29" s="145"/>
      <c r="M29" s="117"/>
      <c r="N29" s="27"/>
      <c r="O29" s="27"/>
      <c r="P29" s="28"/>
      <c r="Q29" s="28"/>
      <c r="R29" s="28"/>
      <c r="S29" s="28"/>
      <c r="T29" s="28"/>
      <c r="U29" s="28"/>
      <c r="V29" s="28"/>
      <c r="W29" s="28"/>
    </row>
    <row r="30" spans="1:23" ht="20.399999999999999" x14ac:dyDescent="0.3">
      <c r="A30" s="161" t="s">
        <v>253</v>
      </c>
      <c r="B30" s="125"/>
      <c r="C30" s="125"/>
      <c r="D30" s="126"/>
      <c r="E30" s="127"/>
      <c r="F30" s="127"/>
      <c r="G30" s="127"/>
      <c r="H30" s="160" t="str">
        <f>H8</f>
        <v>2025 Availabilities</v>
      </c>
      <c r="I30" s="128"/>
      <c r="J30" s="129"/>
      <c r="K30" s="130"/>
      <c r="L30" s="294" t="str">
        <f>VLOOKUP(D5,TableCourses[],2,FALSE)</f>
        <v>GC-MMJRN</v>
      </c>
      <c r="M30" s="119"/>
      <c r="N30" s="15"/>
      <c r="O30" s="15"/>
      <c r="P30" s="15"/>
      <c r="Q30" s="15"/>
      <c r="R30" s="15"/>
      <c r="S30" s="15"/>
      <c r="T30" s="15"/>
      <c r="U30" s="15"/>
      <c r="V30" s="15"/>
      <c r="W30" s="15"/>
    </row>
    <row r="31" spans="1:23" s="38" customFormat="1" ht="22.8" x14ac:dyDescent="0.3">
      <c r="A31" s="132"/>
      <c r="B31" s="132"/>
      <c r="C31" s="132"/>
      <c r="D31" s="133" t="s">
        <v>3</v>
      </c>
      <c r="E31" s="138"/>
      <c r="F31" s="132" t="s">
        <v>23</v>
      </c>
      <c r="G31" s="132" t="s">
        <v>24</v>
      </c>
      <c r="H31" s="139" t="str">
        <f>H$9</f>
        <v>Sem1 BEN</v>
      </c>
      <c r="I31" s="214" t="str">
        <f t="shared" ref="I31:L31" si="5">I$9</f>
        <v>Sem1 FO</v>
      </c>
      <c r="J31" s="138" t="str">
        <f t="shared" si="5"/>
        <v>Sem2 BEN</v>
      </c>
      <c r="K31" s="140" t="str">
        <f t="shared" si="5"/>
        <v>Sem2 FO</v>
      </c>
      <c r="L31" s="141" t="str">
        <f t="shared" si="5"/>
        <v>Notes / Progress</v>
      </c>
      <c r="M31" s="119"/>
      <c r="N31" s="37"/>
      <c r="O31" s="37"/>
      <c r="P31" s="37"/>
      <c r="Q31" s="37"/>
      <c r="R31" s="37"/>
      <c r="S31" s="37"/>
      <c r="T31" s="37"/>
      <c r="U31" s="37"/>
      <c r="V31" s="37"/>
      <c r="W31" s="37"/>
    </row>
    <row r="32" spans="1:23" x14ac:dyDescent="0.3">
      <c r="A32" s="158" t="str">
        <f t="shared" ref="A32:A35" si="6">IFERROR(IF(HLOOKUP($L$30,RangeMMJRNOptions,$M32,FALSE)=0,"",HLOOKUP($L$30,RangeMMJRNOptions,$M32,FALSE)),"")</f>
        <v>--</v>
      </c>
      <c r="B32" s="100" t="str">
        <f>IFERROR(IF(VLOOKUP($A32,TableHandbook[],2,FALSE)=0,"",VLOOKUP($A32,TableHandbook[],2,FALSE)),"")</f>
        <v/>
      </c>
      <c r="C32" s="100" t="str">
        <f>IFERROR(IF(VLOOKUP($A32,TableHandbook[],3,FALSE)=0,"",VLOOKUP($A32,TableHandbook[],3,FALSE)),"")</f>
        <v/>
      </c>
      <c r="D32" s="39" t="str">
        <f>IFERROR(IF(VLOOKUP($A32,TableHandbook[],4,FALSE)=0,"",VLOOKUP($A32,TableHandbook[],4,FALSE)),"")</f>
        <v>Not applicable to this Course</v>
      </c>
      <c r="E32" s="40"/>
      <c r="F32" s="41" t="str">
        <f>IFERROR(IF(VLOOKUP($A32,TableHandbook[],6,FALSE)=0,"",VLOOKUP($A32,TableHandbook[],6,FALSE)),"")</f>
        <v/>
      </c>
      <c r="G32" s="41" t="str">
        <f>IFERROR(IF(VLOOKUP($A32,TableHandbook[],5,FALSE)=0,"",VLOOKUP($A32,TableHandbook[],5,FALSE)),"")</f>
        <v/>
      </c>
      <c r="H32" s="55" t="str">
        <f>IFERROR(VLOOKUP($A32,TableHandbook[],H$2,FALSE),"")</f>
        <v/>
      </c>
      <c r="I32" s="215" t="str">
        <f>IFERROR(VLOOKUP($A32,TableHandbook[],I$2,FALSE),"")</f>
        <v/>
      </c>
      <c r="J32" s="45" t="str">
        <f>IFERROR(VLOOKUP($A32,TableHandbook[],J$2,FALSE),"")</f>
        <v/>
      </c>
      <c r="K32" s="56" t="str">
        <f>IFERROR(VLOOKUP($A32,TableHandbook[],K$2,FALSE),"")</f>
        <v/>
      </c>
      <c r="L32" s="46"/>
      <c r="M32" s="117">
        <v>2</v>
      </c>
      <c r="N32" s="15"/>
      <c r="O32" s="15"/>
      <c r="P32" s="15"/>
      <c r="Q32" s="15"/>
      <c r="R32" s="15"/>
      <c r="S32" s="15"/>
      <c r="T32" s="15"/>
      <c r="U32" s="15"/>
      <c r="V32" s="15"/>
      <c r="W32" s="15"/>
    </row>
    <row r="33" spans="1:23" x14ac:dyDescent="0.3">
      <c r="A33" s="158" t="str">
        <f t="shared" si="6"/>
        <v/>
      </c>
      <c r="B33" s="100" t="str">
        <f>IFERROR(IF(VLOOKUP($A33,TableHandbook[],2,FALSE)=0,"",VLOOKUP($A33,TableHandbook[],2,FALSE)),"")</f>
        <v/>
      </c>
      <c r="C33" s="100" t="str">
        <f>IFERROR(IF(VLOOKUP($A33,TableHandbook[],3,FALSE)=0,"",VLOOKUP($A33,TableHandbook[],3,FALSE)),"")</f>
        <v/>
      </c>
      <c r="D33" s="39" t="str">
        <f>IFERROR(IF(VLOOKUP($A33,TableHandbook[],4,FALSE)=0,"",VLOOKUP($A33,TableHandbook[],4,FALSE)),"")</f>
        <v/>
      </c>
      <c r="E33" s="40"/>
      <c r="F33" s="44" t="str">
        <f>IFERROR(IF(VLOOKUP($A33,TableHandbook[],6,FALSE)=0,"",VLOOKUP($A33,TableHandbook[],6,FALSE)),"")</f>
        <v/>
      </c>
      <c r="G33" s="41" t="str">
        <f>IFERROR(IF(VLOOKUP($A33,TableHandbook[],5,FALSE)=0,"",VLOOKUP($A33,TableHandbook[],5,FALSE)),"")</f>
        <v/>
      </c>
      <c r="H33" s="55" t="str">
        <f>IFERROR(VLOOKUP($A33,TableHandbook[],H$2,FALSE),"")</f>
        <v/>
      </c>
      <c r="I33" s="215" t="str">
        <f>IFERROR(VLOOKUP($A33,TableHandbook[],I$2,FALSE),"")</f>
        <v/>
      </c>
      <c r="J33" s="45" t="str">
        <f>IFERROR(VLOOKUP($A33,TableHandbook[],J$2,FALSE),"")</f>
        <v/>
      </c>
      <c r="K33" s="56" t="str">
        <f>IFERROR(VLOOKUP($A33,TableHandbook[],K$2,FALSE),"")</f>
        <v/>
      </c>
      <c r="L33" s="46"/>
      <c r="M33" s="117">
        <v>3</v>
      </c>
      <c r="N33" s="15"/>
      <c r="O33" s="15"/>
      <c r="P33" s="15"/>
      <c r="Q33" s="15"/>
      <c r="R33" s="15"/>
      <c r="S33" s="15"/>
      <c r="T33" s="15"/>
      <c r="U33" s="15"/>
      <c r="V33" s="15"/>
      <c r="W33" s="15"/>
    </row>
    <row r="34" spans="1:23" x14ac:dyDescent="0.3">
      <c r="A34" s="158" t="str">
        <f t="shared" si="6"/>
        <v/>
      </c>
      <c r="B34" s="100" t="str">
        <f>IFERROR(IF(VLOOKUP($A34,TableHandbook[],2,FALSE)=0,"",VLOOKUP($A34,TableHandbook[],2,FALSE)),"")</f>
        <v/>
      </c>
      <c r="C34" s="100" t="str">
        <f>IFERROR(IF(VLOOKUP($A34,TableHandbook[],3,FALSE)=0,"",VLOOKUP($A34,TableHandbook[],3,FALSE)),"")</f>
        <v/>
      </c>
      <c r="D34" s="39" t="str">
        <f>IFERROR(IF(VLOOKUP($A34,TableHandbook[],4,FALSE)=0,"",VLOOKUP($A34,TableHandbook[],4,FALSE)),"")</f>
        <v/>
      </c>
      <c r="E34" s="40"/>
      <c r="F34" s="41" t="str">
        <f>IFERROR(IF(VLOOKUP($A34,TableHandbook[],6,FALSE)=0,"",VLOOKUP($A34,TableHandbook[],6,FALSE)),"")</f>
        <v/>
      </c>
      <c r="G34" s="41" t="str">
        <f>IFERROR(IF(VLOOKUP($A34,TableHandbook[],5,FALSE)=0,"",VLOOKUP($A34,TableHandbook[],5,FALSE)),"")</f>
        <v/>
      </c>
      <c r="H34" s="55" t="str">
        <f>IFERROR(VLOOKUP($A34,TableHandbook[],H$2,FALSE),"")</f>
        <v/>
      </c>
      <c r="I34" s="215" t="str">
        <f>IFERROR(VLOOKUP($A34,TableHandbook[],I$2,FALSE),"")</f>
        <v/>
      </c>
      <c r="J34" s="45" t="str">
        <f>IFERROR(VLOOKUP($A34,TableHandbook[],J$2,FALSE),"")</f>
        <v/>
      </c>
      <c r="K34" s="56" t="str">
        <f>IFERROR(VLOOKUP($A34,TableHandbook[],K$2,FALSE),"")</f>
        <v/>
      </c>
      <c r="L34" s="46"/>
      <c r="M34" s="117">
        <v>4</v>
      </c>
      <c r="N34" s="15"/>
      <c r="O34" s="15"/>
      <c r="P34" s="15"/>
      <c r="Q34" s="15"/>
      <c r="R34" s="15"/>
      <c r="S34" s="15"/>
      <c r="T34" s="15"/>
      <c r="U34" s="15"/>
      <c r="V34" s="15"/>
      <c r="W34" s="15"/>
    </row>
    <row r="35" spans="1:23" x14ac:dyDescent="0.3">
      <c r="A35" s="158" t="str">
        <f t="shared" si="6"/>
        <v/>
      </c>
      <c r="B35" s="100" t="str">
        <f>IFERROR(IF(VLOOKUP($A35,TableHandbook[],2,FALSE)=0,"",VLOOKUP($A35,TableHandbook[],2,FALSE)),"")</f>
        <v/>
      </c>
      <c r="C35" s="100" t="str">
        <f>IFERROR(IF(VLOOKUP($A35,TableHandbook[],3,FALSE)=0,"",VLOOKUP($A35,TableHandbook[],3,FALSE)),"")</f>
        <v/>
      </c>
      <c r="D35" s="39" t="str">
        <f>IFERROR(IF(VLOOKUP($A35,TableHandbook[],4,FALSE)=0,"",VLOOKUP($A35,TableHandbook[],4,FALSE)),"")</f>
        <v/>
      </c>
      <c r="E35" s="40"/>
      <c r="F35" s="41" t="str">
        <f>IFERROR(IF(VLOOKUP($A35,TableHandbook[],6,FALSE)=0,"",VLOOKUP($A35,TableHandbook[],6,FALSE)),"")</f>
        <v/>
      </c>
      <c r="G35" s="41" t="str">
        <f>IFERROR(IF(VLOOKUP($A35,TableHandbook[],5,FALSE)=0,"",VLOOKUP($A35,TableHandbook[],5,FALSE)),"")</f>
        <v/>
      </c>
      <c r="H35" s="55" t="str">
        <f>IFERROR(VLOOKUP($A35,TableHandbook[],H$2,FALSE),"")</f>
        <v/>
      </c>
      <c r="I35" s="215" t="str">
        <f>IFERROR(VLOOKUP($A35,TableHandbook[],I$2,FALSE),"")</f>
        <v/>
      </c>
      <c r="J35" s="45" t="str">
        <f>IFERROR(VLOOKUP($A35,TableHandbook[],J$2,FALSE),"")</f>
        <v/>
      </c>
      <c r="K35" s="56" t="str">
        <f>IFERROR(VLOOKUP($A35,TableHandbook[],K$2,FALSE),"")</f>
        <v/>
      </c>
      <c r="L35" s="46"/>
      <c r="M35" s="117">
        <v>5</v>
      </c>
      <c r="N35" s="15"/>
      <c r="O35" s="15"/>
      <c r="P35" s="15"/>
      <c r="Q35" s="15"/>
      <c r="R35" s="15"/>
      <c r="S35" s="15"/>
      <c r="T35" s="15"/>
      <c r="U35" s="15"/>
      <c r="V35" s="15"/>
      <c r="W35" s="15"/>
    </row>
    <row r="36" spans="1:23" x14ac:dyDescent="0.3">
      <c r="A36" s="158" t="str">
        <f t="shared" ref="A36:A45" si="7">IFERROR(IF(HLOOKUP($L$30,RangeMMJRNOptions,$M36,FALSE)=0,"",HLOOKUP($L$30,RangeMMJRNOptions,$M36,FALSE)),"")</f>
        <v/>
      </c>
      <c r="B36" s="100" t="str">
        <f>IFERROR(IF(VLOOKUP($A36,TableHandbook[],2,FALSE)=0,"",VLOOKUP($A36,TableHandbook[],2,FALSE)),"")</f>
        <v/>
      </c>
      <c r="C36" s="100" t="str">
        <f>IFERROR(IF(VLOOKUP($A36,TableHandbook[],3,FALSE)=0,"",VLOOKUP($A36,TableHandbook[],3,FALSE)),"")</f>
        <v/>
      </c>
      <c r="D36" s="39" t="str">
        <f>IFERROR(IF(VLOOKUP($A36,TableHandbook[],4,FALSE)=0,"",VLOOKUP($A36,TableHandbook[],4,FALSE)),"")</f>
        <v/>
      </c>
      <c r="E36" s="40"/>
      <c r="F36" s="41" t="str">
        <f>IFERROR(IF(VLOOKUP($A36,TableHandbook[],6,FALSE)=0,"",VLOOKUP($A36,TableHandbook[],6,FALSE)),"")</f>
        <v/>
      </c>
      <c r="G36" s="41" t="str">
        <f>IFERROR(IF(VLOOKUP($A36,TableHandbook[],5,FALSE)=0,"",VLOOKUP($A36,TableHandbook[],5,FALSE)),"")</f>
        <v/>
      </c>
      <c r="H36" s="55" t="str">
        <f>IFERROR(VLOOKUP($A36,TableHandbook[],H$2,FALSE),"")</f>
        <v/>
      </c>
      <c r="I36" s="215" t="str">
        <f>IFERROR(VLOOKUP($A36,TableHandbook[],I$2,FALSE),"")</f>
        <v/>
      </c>
      <c r="J36" s="45" t="str">
        <f>IFERROR(VLOOKUP($A36,TableHandbook[],J$2,FALSE),"")</f>
        <v/>
      </c>
      <c r="K36" s="56" t="str">
        <f>IFERROR(VLOOKUP($A36,TableHandbook[],K$2,FALSE),"")</f>
        <v/>
      </c>
      <c r="L36" s="46"/>
      <c r="M36" s="117">
        <v>6</v>
      </c>
      <c r="N36" s="15"/>
      <c r="O36" s="15"/>
      <c r="P36" s="15"/>
      <c r="Q36" s="15"/>
      <c r="R36" s="15"/>
      <c r="S36" s="15"/>
      <c r="T36" s="15"/>
      <c r="U36" s="15"/>
      <c r="V36" s="15"/>
      <c r="W36" s="15"/>
    </row>
    <row r="37" spans="1:23" x14ac:dyDescent="0.3">
      <c r="A37" s="158" t="str">
        <f t="shared" si="7"/>
        <v/>
      </c>
      <c r="B37" s="100" t="str">
        <f>IFERROR(IF(VLOOKUP($A37,TableHandbook[],2,FALSE)=0,"",VLOOKUP($A37,TableHandbook[],2,FALSE)),"")</f>
        <v/>
      </c>
      <c r="C37" s="100" t="str">
        <f>IFERROR(IF(VLOOKUP($A37,TableHandbook[],3,FALSE)=0,"",VLOOKUP($A37,TableHandbook[],3,FALSE)),"")</f>
        <v/>
      </c>
      <c r="D37" s="39" t="str">
        <f>IFERROR(IF(VLOOKUP($A37,TableHandbook[],4,FALSE)=0,"",VLOOKUP($A37,TableHandbook[],4,FALSE)),"")</f>
        <v/>
      </c>
      <c r="E37" s="40"/>
      <c r="F37" s="41" t="str">
        <f>IFERROR(IF(VLOOKUP($A37,TableHandbook[],6,FALSE)=0,"",VLOOKUP($A37,TableHandbook[],6,FALSE)),"")</f>
        <v/>
      </c>
      <c r="G37" s="41" t="str">
        <f>IFERROR(IF(VLOOKUP($A37,TableHandbook[],5,FALSE)=0,"",VLOOKUP($A37,TableHandbook[],5,FALSE)),"")</f>
        <v/>
      </c>
      <c r="H37" s="55" t="str">
        <f>IFERROR(VLOOKUP($A37,TableHandbook[],H$2,FALSE),"")</f>
        <v/>
      </c>
      <c r="I37" s="215" t="str">
        <f>IFERROR(VLOOKUP($A37,TableHandbook[],I$2,FALSE),"")</f>
        <v/>
      </c>
      <c r="J37" s="45" t="str">
        <f>IFERROR(VLOOKUP($A37,TableHandbook[],J$2,FALSE),"")</f>
        <v/>
      </c>
      <c r="K37" s="56" t="str">
        <f>IFERROR(VLOOKUP($A37,TableHandbook[],K$2,FALSE),"")</f>
        <v/>
      </c>
      <c r="L37" s="46"/>
      <c r="M37" s="117">
        <v>7</v>
      </c>
      <c r="N37" s="15"/>
      <c r="O37" s="15"/>
      <c r="P37" s="15"/>
      <c r="Q37" s="15"/>
      <c r="R37" s="15"/>
      <c r="S37" s="15"/>
      <c r="T37" s="15"/>
      <c r="U37" s="15"/>
      <c r="V37" s="15"/>
      <c r="W37" s="15"/>
    </row>
    <row r="38" spans="1:23" x14ac:dyDescent="0.3">
      <c r="A38" s="158" t="str">
        <f t="shared" si="7"/>
        <v/>
      </c>
      <c r="B38" s="100" t="str">
        <f>IFERROR(IF(VLOOKUP($A38,TableHandbook[],2,FALSE)=0,"",VLOOKUP($A38,TableHandbook[],2,FALSE)),"")</f>
        <v/>
      </c>
      <c r="C38" s="100" t="str">
        <f>IFERROR(IF(VLOOKUP($A38,TableHandbook[],3,FALSE)=0,"",VLOOKUP($A38,TableHandbook[],3,FALSE)),"")</f>
        <v/>
      </c>
      <c r="D38" s="39" t="str">
        <f>IFERROR(IF(VLOOKUP($A38,TableHandbook[],4,FALSE)=0,"",VLOOKUP($A38,TableHandbook[],4,FALSE)),"")</f>
        <v/>
      </c>
      <c r="E38" s="40"/>
      <c r="F38" s="41" t="str">
        <f>IFERROR(IF(VLOOKUP($A38,TableHandbook[],6,FALSE)=0,"",VLOOKUP($A38,TableHandbook[],6,FALSE)),"")</f>
        <v/>
      </c>
      <c r="G38" s="41" t="str">
        <f>IFERROR(IF(VLOOKUP($A38,TableHandbook[],5,FALSE)=0,"",VLOOKUP($A38,TableHandbook[],5,FALSE)),"")</f>
        <v/>
      </c>
      <c r="H38" s="55" t="str">
        <f>IFERROR(VLOOKUP($A38,TableHandbook[],H$2,FALSE),"")</f>
        <v/>
      </c>
      <c r="I38" s="215" t="str">
        <f>IFERROR(VLOOKUP($A38,TableHandbook[],I$2,FALSE),"")</f>
        <v/>
      </c>
      <c r="J38" s="45" t="str">
        <f>IFERROR(VLOOKUP($A38,TableHandbook[],J$2,FALSE),"")</f>
        <v/>
      </c>
      <c r="K38" s="56" t="str">
        <f>IFERROR(VLOOKUP($A38,TableHandbook[],K$2,FALSE),"")</f>
        <v/>
      </c>
      <c r="L38" s="46"/>
      <c r="M38" s="117">
        <v>8</v>
      </c>
      <c r="N38" s="15"/>
      <c r="O38" s="15"/>
      <c r="P38" s="15"/>
      <c r="Q38" s="15"/>
      <c r="R38" s="15"/>
      <c r="S38" s="15"/>
      <c r="T38" s="15"/>
      <c r="U38" s="15"/>
      <c r="V38" s="15"/>
      <c r="W38" s="15"/>
    </row>
    <row r="39" spans="1:23" x14ac:dyDescent="0.3">
      <c r="A39" s="158" t="str">
        <f t="shared" si="7"/>
        <v/>
      </c>
      <c r="B39" s="100" t="str">
        <f>IFERROR(IF(VLOOKUP($A39,TableHandbook[],2,FALSE)=0,"",VLOOKUP($A39,TableHandbook[],2,FALSE)),"")</f>
        <v/>
      </c>
      <c r="C39" s="100" t="str">
        <f>IFERROR(IF(VLOOKUP($A39,TableHandbook[],3,FALSE)=0,"",VLOOKUP($A39,TableHandbook[],3,FALSE)),"")</f>
        <v/>
      </c>
      <c r="D39" s="39" t="str">
        <f>IFERROR(IF(VLOOKUP($A39,TableHandbook[],4,FALSE)=0,"",VLOOKUP($A39,TableHandbook[],4,FALSE)),"")</f>
        <v/>
      </c>
      <c r="E39" s="40"/>
      <c r="F39" s="41" t="str">
        <f>IFERROR(IF(VLOOKUP($A39,TableHandbook[],6,FALSE)=0,"",VLOOKUP($A39,TableHandbook[],6,FALSE)),"")</f>
        <v/>
      </c>
      <c r="G39" s="41" t="str">
        <f>IFERROR(IF(VLOOKUP($A39,TableHandbook[],5,FALSE)=0,"",VLOOKUP($A39,TableHandbook[],5,FALSE)),"")</f>
        <v/>
      </c>
      <c r="H39" s="55" t="str">
        <f>IFERROR(VLOOKUP($A39,TableHandbook[],H$2,FALSE),"")</f>
        <v/>
      </c>
      <c r="I39" s="215" t="str">
        <f>IFERROR(VLOOKUP($A39,TableHandbook[],I$2,FALSE),"")</f>
        <v/>
      </c>
      <c r="J39" s="45" t="str">
        <f>IFERROR(VLOOKUP($A39,TableHandbook[],J$2,FALSE),"")</f>
        <v/>
      </c>
      <c r="K39" s="56" t="str">
        <f>IFERROR(VLOOKUP($A39,TableHandbook[],K$2,FALSE),"")</f>
        <v/>
      </c>
      <c r="L39" s="46"/>
      <c r="M39" s="117">
        <v>9</v>
      </c>
      <c r="N39" s="15"/>
      <c r="O39" s="15"/>
      <c r="P39" s="15"/>
      <c r="Q39" s="15"/>
      <c r="R39" s="15"/>
      <c r="S39" s="15"/>
      <c r="T39" s="15"/>
      <c r="U39" s="15"/>
      <c r="V39" s="15"/>
      <c r="W39" s="15"/>
    </row>
    <row r="40" spans="1:23" x14ac:dyDescent="0.3">
      <c r="A40" s="158" t="str">
        <f t="shared" si="7"/>
        <v/>
      </c>
      <c r="B40" s="100" t="str">
        <f>IFERROR(IF(VLOOKUP($A40,TableHandbook[],2,FALSE)=0,"",VLOOKUP($A40,TableHandbook[],2,FALSE)),"")</f>
        <v/>
      </c>
      <c r="C40" s="100" t="str">
        <f>IFERROR(IF(VLOOKUP($A40,TableHandbook[],3,FALSE)=0,"",VLOOKUP($A40,TableHandbook[],3,FALSE)),"")</f>
        <v/>
      </c>
      <c r="D40" s="39" t="str">
        <f>IFERROR(IF(VLOOKUP($A40,TableHandbook[],4,FALSE)=0,"",VLOOKUP($A40,TableHandbook[],4,FALSE)),"")</f>
        <v/>
      </c>
      <c r="E40" s="40"/>
      <c r="F40" s="41" t="str">
        <f>IFERROR(IF(VLOOKUP($A40,TableHandbook[],6,FALSE)=0,"",VLOOKUP($A40,TableHandbook[],6,FALSE)),"")</f>
        <v/>
      </c>
      <c r="G40" s="41" t="str">
        <f>IFERROR(IF(VLOOKUP($A40,TableHandbook[],5,FALSE)=0,"",VLOOKUP($A40,TableHandbook[],5,FALSE)),"")</f>
        <v/>
      </c>
      <c r="H40" s="55" t="str">
        <f>IFERROR(VLOOKUP($A40,TableHandbook[],H$2,FALSE),"")</f>
        <v/>
      </c>
      <c r="I40" s="215" t="str">
        <f>IFERROR(VLOOKUP($A40,TableHandbook[],I$2,FALSE),"")</f>
        <v/>
      </c>
      <c r="J40" s="45" t="str">
        <f>IFERROR(VLOOKUP($A40,TableHandbook[],J$2,FALSE),"")</f>
        <v/>
      </c>
      <c r="K40" s="56" t="str">
        <f>IFERROR(VLOOKUP($A40,TableHandbook[],K$2,FALSE),"")</f>
        <v/>
      </c>
      <c r="L40" s="46"/>
      <c r="M40" s="117">
        <v>10</v>
      </c>
      <c r="N40" s="15"/>
      <c r="O40" s="15"/>
      <c r="P40" s="15"/>
      <c r="Q40" s="15"/>
      <c r="R40" s="15"/>
      <c r="S40" s="15"/>
      <c r="T40" s="15"/>
      <c r="U40" s="15"/>
      <c r="V40" s="15"/>
      <c r="W40" s="15"/>
    </row>
    <row r="41" spans="1:23" x14ac:dyDescent="0.3">
      <c r="A41" s="158" t="str">
        <f t="shared" si="7"/>
        <v/>
      </c>
      <c r="B41" s="100" t="str">
        <f>IFERROR(IF(VLOOKUP($A41,TableHandbook[],2,FALSE)=0,"",VLOOKUP($A41,TableHandbook[],2,FALSE)),"")</f>
        <v/>
      </c>
      <c r="C41" s="100" t="str">
        <f>IFERROR(IF(VLOOKUP($A41,TableHandbook[],3,FALSE)=0,"",VLOOKUP($A41,TableHandbook[],3,FALSE)),"")</f>
        <v/>
      </c>
      <c r="D41" s="39" t="str">
        <f>IFERROR(IF(VLOOKUP($A41,TableHandbook[],4,FALSE)=0,"",VLOOKUP($A41,TableHandbook[],4,FALSE)),"")</f>
        <v/>
      </c>
      <c r="E41" s="40"/>
      <c r="F41" s="41" t="str">
        <f>IFERROR(IF(VLOOKUP($A41,TableHandbook[],6,FALSE)=0,"",VLOOKUP($A41,TableHandbook[],6,FALSE)),"")</f>
        <v/>
      </c>
      <c r="G41" s="41" t="str">
        <f>IFERROR(IF(VLOOKUP($A41,TableHandbook[],5,FALSE)=0,"",VLOOKUP($A41,TableHandbook[],5,FALSE)),"")</f>
        <v/>
      </c>
      <c r="H41" s="55" t="str">
        <f>IFERROR(VLOOKUP($A41,TableHandbook[],H$2,FALSE),"")</f>
        <v/>
      </c>
      <c r="I41" s="215" t="str">
        <f>IFERROR(VLOOKUP($A41,TableHandbook[],I$2,FALSE),"")</f>
        <v/>
      </c>
      <c r="J41" s="45" t="str">
        <f>IFERROR(VLOOKUP($A41,TableHandbook[],J$2,FALSE),"")</f>
        <v/>
      </c>
      <c r="K41" s="56" t="str">
        <f>IFERROR(VLOOKUP($A41,TableHandbook[],K$2,FALSE),"")</f>
        <v/>
      </c>
      <c r="L41" s="46"/>
      <c r="M41" s="117">
        <v>11</v>
      </c>
      <c r="N41" s="15"/>
      <c r="O41" s="15"/>
      <c r="P41" s="15"/>
      <c r="Q41" s="15"/>
      <c r="R41" s="15"/>
      <c r="S41" s="15"/>
      <c r="T41" s="15"/>
      <c r="U41" s="15"/>
      <c r="V41" s="15"/>
      <c r="W41" s="15"/>
    </row>
    <row r="42" spans="1:23" x14ac:dyDescent="0.3">
      <c r="A42" s="158" t="str">
        <f t="shared" si="7"/>
        <v/>
      </c>
      <c r="B42" s="100" t="str">
        <f>IFERROR(IF(VLOOKUP($A42,TableHandbook[],2,FALSE)=0,"",VLOOKUP($A42,TableHandbook[],2,FALSE)),"")</f>
        <v/>
      </c>
      <c r="C42" s="100" t="str">
        <f>IFERROR(IF(VLOOKUP($A42,TableHandbook[],3,FALSE)=0,"",VLOOKUP($A42,TableHandbook[],3,FALSE)),"")</f>
        <v/>
      </c>
      <c r="D42" s="39" t="str">
        <f>IFERROR(IF(VLOOKUP($A42,TableHandbook[],4,FALSE)=0,"",VLOOKUP($A42,TableHandbook[],4,FALSE)),"")</f>
        <v/>
      </c>
      <c r="E42" s="40"/>
      <c r="F42" s="41" t="str">
        <f>IFERROR(IF(VLOOKUP($A42,TableHandbook[],6,FALSE)=0,"",VLOOKUP($A42,TableHandbook[],6,FALSE)),"")</f>
        <v/>
      </c>
      <c r="G42" s="41" t="str">
        <f>IFERROR(IF(VLOOKUP($A42,TableHandbook[],5,FALSE)=0,"",VLOOKUP($A42,TableHandbook[],5,FALSE)),"")</f>
        <v/>
      </c>
      <c r="H42" s="55" t="str">
        <f>IFERROR(VLOOKUP($A42,TableHandbook[],H$2,FALSE),"")</f>
        <v/>
      </c>
      <c r="I42" s="215" t="str">
        <f>IFERROR(VLOOKUP($A42,TableHandbook[],I$2,FALSE),"")</f>
        <v/>
      </c>
      <c r="J42" s="45" t="str">
        <f>IFERROR(VLOOKUP($A42,TableHandbook[],J$2,FALSE),"")</f>
        <v/>
      </c>
      <c r="K42" s="56" t="str">
        <f>IFERROR(VLOOKUP($A42,TableHandbook[],K$2,FALSE),"")</f>
        <v/>
      </c>
      <c r="L42" s="46"/>
      <c r="M42" s="117">
        <v>12</v>
      </c>
      <c r="N42" s="15"/>
      <c r="O42" s="15"/>
      <c r="P42" s="15"/>
      <c r="Q42" s="15"/>
      <c r="R42" s="15"/>
      <c r="S42" s="15"/>
      <c r="T42" s="15"/>
      <c r="U42" s="15"/>
      <c r="V42" s="15"/>
      <c r="W42" s="15"/>
    </row>
    <row r="43" spans="1:23" x14ac:dyDescent="0.3">
      <c r="A43" s="158" t="str">
        <f t="shared" si="7"/>
        <v/>
      </c>
      <c r="B43" s="100" t="str">
        <f>IFERROR(IF(VLOOKUP($A43,TableHandbook[],2,FALSE)=0,"",VLOOKUP($A43,TableHandbook[],2,FALSE)),"")</f>
        <v/>
      </c>
      <c r="C43" s="100" t="str">
        <f>IFERROR(IF(VLOOKUP($A43,TableHandbook[],3,FALSE)=0,"",VLOOKUP($A43,TableHandbook[],3,FALSE)),"")</f>
        <v/>
      </c>
      <c r="D43" s="39" t="str">
        <f>IFERROR(IF(VLOOKUP($A43,TableHandbook[],4,FALSE)=0,"",VLOOKUP($A43,TableHandbook[],4,FALSE)),"")</f>
        <v/>
      </c>
      <c r="E43" s="40"/>
      <c r="F43" s="41" t="str">
        <f>IFERROR(IF(VLOOKUP($A43,TableHandbook[],6,FALSE)=0,"",VLOOKUP($A43,TableHandbook[],6,FALSE)),"")</f>
        <v/>
      </c>
      <c r="G43" s="41" t="str">
        <f>IFERROR(IF(VLOOKUP($A43,TableHandbook[],5,FALSE)=0,"",VLOOKUP($A43,TableHandbook[],5,FALSE)),"")</f>
        <v/>
      </c>
      <c r="H43" s="55" t="str">
        <f>IFERROR(VLOOKUP($A43,TableHandbook[],H$2,FALSE),"")</f>
        <v/>
      </c>
      <c r="I43" s="215" t="str">
        <f>IFERROR(VLOOKUP($A43,TableHandbook[],I$2,FALSE),"")</f>
        <v/>
      </c>
      <c r="J43" s="45" t="str">
        <f>IFERROR(VLOOKUP($A43,TableHandbook[],J$2,FALSE),"")</f>
        <v/>
      </c>
      <c r="K43" s="56" t="str">
        <f>IFERROR(VLOOKUP($A43,TableHandbook[],K$2,FALSE),"")</f>
        <v/>
      </c>
      <c r="L43" s="46"/>
      <c r="M43" s="117">
        <v>13</v>
      </c>
      <c r="N43" s="15"/>
      <c r="O43" s="15"/>
      <c r="P43" s="15"/>
      <c r="Q43" s="15"/>
      <c r="R43" s="15"/>
      <c r="S43" s="15"/>
      <c r="T43" s="15"/>
      <c r="U43" s="15"/>
      <c r="V43" s="15"/>
      <c r="W43" s="15"/>
    </row>
    <row r="44" spans="1:23" x14ac:dyDescent="0.3">
      <c r="A44" s="158" t="str">
        <f t="shared" si="7"/>
        <v/>
      </c>
      <c r="B44" s="100" t="str">
        <f>IFERROR(IF(VLOOKUP($A44,TableHandbook[],2,FALSE)=0,"",VLOOKUP($A44,TableHandbook[],2,FALSE)),"")</f>
        <v/>
      </c>
      <c r="C44" s="100" t="str">
        <f>IFERROR(IF(VLOOKUP($A44,TableHandbook[],3,FALSE)=0,"",VLOOKUP($A44,TableHandbook[],3,FALSE)),"")</f>
        <v/>
      </c>
      <c r="D44" s="39" t="str">
        <f>IFERROR(IF(VLOOKUP($A44,TableHandbook[],4,FALSE)=0,"",VLOOKUP($A44,TableHandbook[],4,FALSE)),"")</f>
        <v/>
      </c>
      <c r="E44" s="40"/>
      <c r="F44" s="41" t="str">
        <f>IFERROR(IF(VLOOKUP($A44,TableHandbook[],6,FALSE)=0,"",VLOOKUP($A44,TableHandbook[],6,FALSE)),"")</f>
        <v/>
      </c>
      <c r="G44" s="41" t="str">
        <f>IFERROR(IF(VLOOKUP($A44,TableHandbook[],5,FALSE)=0,"",VLOOKUP($A44,TableHandbook[],5,FALSE)),"")</f>
        <v/>
      </c>
      <c r="H44" s="55" t="str">
        <f>IFERROR(VLOOKUP($A44,TableHandbook[],H$2,FALSE),"")</f>
        <v/>
      </c>
      <c r="I44" s="215" t="str">
        <f>IFERROR(VLOOKUP($A44,TableHandbook[],I$2,FALSE),"")</f>
        <v/>
      </c>
      <c r="J44" s="45" t="str">
        <f>IFERROR(VLOOKUP($A44,TableHandbook[],J$2,FALSE),"")</f>
        <v/>
      </c>
      <c r="K44" s="56" t="str">
        <f>IFERROR(VLOOKUP($A44,TableHandbook[],K$2,FALSE),"")</f>
        <v/>
      </c>
      <c r="L44" s="46"/>
      <c r="M44" s="117">
        <v>14</v>
      </c>
      <c r="N44" s="15"/>
      <c r="O44" s="15"/>
      <c r="P44" s="15"/>
      <c r="Q44" s="15"/>
      <c r="R44" s="15"/>
      <c r="S44" s="15"/>
      <c r="T44" s="15"/>
      <c r="U44" s="15"/>
      <c r="V44" s="15"/>
      <c r="W44" s="15"/>
    </row>
    <row r="45" spans="1:23" x14ac:dyDescent="0.3">
      <c r="A45" s="158" t="str">
        <f t="shared" si="7"/>
        <v/>
      </c>
      <c r="B45" s="100" t="str">
        <f>IFERROR(IF(VLOOKUP($A45,TableHandbook[],2,FALSE)=0,"",VLOOKUP($A45,TableHandbook[],2,FALSE)),"")</f>
        <v/>
      </c>
      <c r="C45" s="100" t="str">
        <f>IFERROR(IF(VLOOKUP($A45,TableHandbook[],3,FALSE)=0,"",VLOOKUP($A45,TableHandbook[],3,FALSE)),"")</f>
        <v/>
      </c>
      <c r="D45" s="39" t="str">
        <f>IFERROR(IF(VLOOKUP($A45,TableHandbook[],4,FALSE)=0,"",VLOOKUP($A45,TableHandbook[],4,FALSE)),"")</f>
        <v/>
      </c>
      <c r="E45" s="40"/>
      <c r="F45" s="41" t="str">
        <f>IFERROR(IF(VLOOKUP($A45,TableHandbook[],6,FALSE)=0,"",VLOOKUP($A45,TableHandbook[],6,FALSE)),"")</f>
        <v/>
      </c>
      <c r="G45" s="41" t="str">
        <f>IFERROR(IF(VLOOKUP($A45,TableHandbook[],5,FALSE)=0,"",VLOOKUP($A45,TableHandbook[],5,FALSE)),"")</f>
        <v/>
      </c>
      <c r="H45" s="55" t="str">
        <f>IFERROR(VLOOKUP($A45,TableHandbook[],H$2,FALSE),"")</f>
        <v/>
      </c>
      <c r="I45" s="215" t="str">
        <f>IFERROR(VLOOKUP($A45,TableHandbook[],I$2,FALSE),"")</f>
        <v/>
      </c>
      <c r="J45" s="45" t="str">
        <f>IFERROR(VLOOKUP($A45,TableHandbook[],J$2,FALSE),"")</f>
        <v/>
      </c>
      <c r="K45" s="56" t="str">
        <f>IFERROR(VLOOKUP($A45,TableHandbook[],K$2,FALSE),"")</f>
        <v/>
      </c>
      <c r="L45" s="46"/>
      <c r="M45" s="117">
        <v>15</v>
      </c>
      <c r="N45" s="15"/>
      <c r="O45" s="15"/>
      <c r="P45" s="15"/>
      <c r="Q45" s="15"/>
      <c r="R45" s="15"/>
      <c r="S45" s="15"/>
      <c r="T45" s="15"/>
      <c r="U45" s="15"/>
      <c r="V45" s="15"/>
      <c r="W45" s="15"/>
    </row>
    <row r="46" spans="1:23" s="15" customFormat="1" ht="32.25" customHeight="1" x14ac:dyDescent="0.3">
      <c r="A46" s="299" t="s">
        <v>31</v>
      </c>
      <c r="B46" s="299"/>
      <c r="C46" s="299"/>
      <c r="D46" s="299"/>
      <c r="E46" s="299"/>
      <c r="F46" s="299"/>
      <c r="G46" s="299"/>
      <c r="H46" s="299"/>
      <c r="I46" s="299"/>
      <c r="J46" s="299"/>
      <c r="K46" s="299"/>
      <c r="L46" s="299"/>
    </row>
    <row r="47" spans="1:23" s="34" customFormat="1" ht="24.9" customHeight="1" x14ac:dyDescent="0.4">
      <c r="A47" s="30" t="s">
        <v>32</v>
      </c>
      <c r="B47" s="30"/>
      <c r="C47" s="30"/>
      <c r="D47" s="31"/>
      <c r="E47" s="31"/>
      <c r="F47" s="31"/>
      <c r="G47" s="31"/>
      <c r="H47" s="31"/>
      <c r="I47" s="31"/>
      <c r="J47" s="31"/>
      <c r="K47" s="31"/>
      <c r="L47" s="31"/>
      <c r="M47" s="120"/>
      <c r="N47" s="32"/>
      <c r="O47" s="32"/>
      <c r="P47" s="33"/>
      <c r="Q47" s="33"/>
      <c r="R47" s="33"/>
      <c r="S47" s="33"/>
      <c r="T47" s="33"/>
      <c r="U47" s="33"/>
      <c r="V47" s="33"/>
      <c r="W47" s="33"/>
    </row>
    <row r="48" spans="1:23" s="15" customFormat="1" ht="15" customHeight="1" x14ac:dyDescent="0.3">
      <c r="A48" s="35" t="s">
        <v>33</v>
      </c>
      <c r="B48" s="35"/>
      <c r="C48" s="35"/>
      <c r="D48" s="35"/>
      <c r="E48" s="42"/>
      <c r="F48" s="36"/>
      <c r="G48" s="43"/>
      <c r="H48" s="43"/>
      <c r="I48" s="43"/>
      <c r="J48" s="43"/>
      <c r="K48" s="43"/>
      <c r="L48" s="43" t="s">
        <v>34</v>
      </c>
    </row>
  </sheetData>
  <sheetProtection formatCells="0"/>
  <mergeCells count="3">
    <mergeCell ref="A3:D3"/>
    <mergeCell ref="A46:L46"/>
    <mergeCell ref="B7:L7"/>
  </mergeCells>
  <conditionalFormatting sqref="A10:L18 A20:L28 A32:L45">
    <cfRule type="expression" dxfId="104" priority="4">
      <formula>$A10=""</formula>
    </cfRule>
  </conditionalFormatting>
  <conditionalFormatting sqref="A32:L45">
    <cfRule type="expression" dxfId="103" priority="2">
      <formula>LEFT($D32,5)="Study"</formula>
    </cfRule>
  </conditionalFormatting>
  <conditionalFormatting sqref="D5:D6">
    <cfRule type="containsText" dxfId="102" priority="3" operator="containsText" text="Choose">
      <formula>NOT(ISERROR(SEARCH("Choose",D5)))</formula>
    </cfRule>
  </conditionalFormatting>
  <conditionalFormatting sqref="H10:K28">
    <cfRule type="expression" dxfId="101" priority="1">
      <formula>$E10=LEFT(H$9,4)</formula>
    </cfRule>
  </conditionalFormatting>
  <dataValidations count="1">
    <dataValidation type="list" allowBlank="1" showInputMessage="1" showErrorMessage="1" sqref="L24 L14" xr:uid="{00000000-0002-0000-0200-000000000000}"/>
  </dataValidations>
  <hyperlinks>
    <hyperlink ref="A47:L47"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62"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 Other'!$A$32:$A$35</xm:f>
          </x14:formula1>
          <xm:sqref>D5</xm:sqref>
        </x14:dataValidation>
        <x14:dataValidation type="list" allowBlank="1" showInputMessage="1" showErrorMessage="1" xr:uid="{00000000-0002-0000-0200-000002000000}">
          <x14:formula1>
            <xm:f>Unitsets!$A$47:$A$49</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AE198"/>
  <sheetViews>
    <sheetView zoomScale="85" zoomScaleNormal="85" workbookViewId="0">
      <selection activeCell="B61" sqref="B61"/>
    </sheetView>
  </sheetViews>
  <sheetFormatPr defaultColWidth="9" defaultRowHeight="15.6" x14ac:dyDescent="0.3"/>
  <cols>
    <col min="1" max="1" width="59.59765625" style="67" bestFit="1" customWidth="1"/>
    <col min="2" max="2" width="11.5" style="64" bestFit="1" customWidth="1"/>
    <col min="3" max="3" width="11.5" style="64" customWidth="1"/>
    <col min="4" max="4" width="21.5" style="64" bestFit="1" customWidth="1"/>
    <col min="5" max="5" width="3.59765625" style="65" customWidth="1"/>
    <col min="6" max="6" width="10.69921875" style="65" bestFit="1" customWidth="1"/>
    <col min="7" max="7" width="15.09765625" style="65" bestFit="1" customWidth="1"/>
    <col min="8" max="8" width="10.59765625" style="65" bestFit="1" customWidth="1"/>
    <col min="9" max="9" width="15.3984375" style="65" customWidth="1"/>
    <col min="10" max="11" width="17.5" style="65" bestFit="1" customWidth="1"/>
    <col min="12" max="12" width="6.09765625" style="65" bestFit="1" customWidth="1"/>
    <col min="13" max="13" width="17.59765625" style="65" bestFit="1" customWidth="1"/>
    <col min="14" max="14" width="15.09765625" style="65" customWidth="1"/>
    <col min="15" max="15" width="15.3984375" style="65" bestFit="1" customWidth="1"/>
    <col min="16" max="16" width="6.09765625" style="65" bestFit="1" customWidth="1"/>
    <col min="17" max="17" width="15.69921875" style="65" bestFit="1" customWidth="1"/>
    <col min="18" max="18" width="6" style="65" customWidth="1"/>
    <col min="19" max="19" width="12.5" style="65" bestFit="1" customWidth="1"/>
    <col min="20" max="20" width="6" style="65" customWidth="1"/>
    <col min="21" max="21" width="12.5" style="65" bestFit="1" customWidth="1"/>
    <col min="22" max="22" width="6.59765625" style="65" customWidth="1"/>
    <col min="23" max="23" width="14.3984375" style="65" bestFit="1" customWidth="1"/>
    <col min="24" max="26" width="9" style="65"/>
    <col min="27" max="27" width="13.19921875" style="65" customWidth="1"/>
    <col min="28" max="16384" width="9" style="65"/>
  </cols>
  <sheetData>
    <row r="1" spans="1:27" x14ac:dyDescent="0.3">
      <c r="A1"/>
      <c r="B1"/>
      <c r="C1"/>
      <c r="F1" s="66"/>
    </row>
    <row r="2" spans="1:27" x14ac:dyDescent="0.3">
      <c r="A2"/>
      <c r="B2"/>
      <c r="C2"/>
      <c r="F2" s="68"/>
      <c r="G2" s="69"/>
      <c r="H2" s="70"/>
      <c r="I2" s="69"/>
      <c r="J2" s="71"/>
      <c r="K2" s="69"/>
      <c r="L2" s="70"/>
      <c r="M2" s="69"/>
      <c r="N2" s="72"/>
      <c r="O2" s="69"/>
      <c r="R2" s="71"/>
      <c r="S2" s="69"/>
      <c r="T2" s="70"/>
      <c r="U2" s="70"/>
      <c r="V2" s="70"/>
    </row>
    <row r="3" spans="1:27" x14ac:dyDescent="0.3">
      <c r="A3" s="154" t="s">
        <v>257</v>
      </c>
      <c r="B3"/>
      <c r="C3"/>
      <c r="D3" s="101" t="s">
        <v>258</v>
      </c>
      <c r="E3" s="74">
        <v>1</v>
      </c>
      <c r="F3" s="76"/>
      <c r="G3" s="75" t="s">
        <v>259</v>
      </c>
      <c r="H3" s="76"/>
      <c r="I3" s="75" t="s">
        <v>260</v>
      </c>
      <c r="J3" s="76"/>
      <c r="K3" s="75" t="s">
        <v>261</v>
      </c>
      <c r="L3" s="76"/>
      <c r="M3" s="75" t="s">
        <v>262</v>
      </c>
      <c r="N3" s="76"/>
      <c r="O3" s="75" t="s">
        <v>263</v>
      </c>
      <c r="P3" s="76"/>
      <c r="Q3" s="75" t="s">
        <v>264</v>
      </c>
      <c r="R3" s="76"/>
      <c r="S3" s="75" t="s">
        <v>265</v>
      </c>
      <c r="T3" s="76"/>
      <c r="U3" s="75" t="s">
        <v>266</v>
      </c>
      <c r="V3" s="77"/>
    </row>
    <row r="4" spans="1:27" x14ac:dyDescent="0.3">
      <c r="A4" s="152" t="s">
        <v>88</v>
      </c>
      <c r="B4" t="s">
        <v>89</v>
      </c>
      <c r="C4"/>
      <c r="E4" s="78">
        <v>2</v>
      </c>
      <c r="F4" s="97" t="s">
        <v>55</v>
      </c>
      <c r="G4" s="165" t="s">
        <v>267</v>
      </c>
      <c r="H4" s="97" t="s">
        <v>57</v>
      </c>
      <c r="I4" s="165" t="s">
        <v>267</v>
      </c>
      <c r="J4" s="97" t="s">
        <v>55</v>
      </c>
      <c r="K4" s="79" t="s">
        <v>268</v>
      </c>
      <c r="L4" s="97" t="s">
        <v>57</v>
      </c>
      <c r="M4" s="79" t="s">
        <v>268</v>
      </c>
      <c r="N4" s="97" t="s">
        <v>55</v>
      </c>
      <c r="O4" s="79" t="s">
        <v>269</v>
      </c>
      <c r="P4" s="97" t="s">
        <v>57</v>
      </c>
      <c r="Q4" s="79" t="s">
        <v>270</v>
      </c>
      <c r="R4" s="97" t="s">
        <v>55</v>
      </c>
      <c r="S4" s="79" t="s">
        <v>271</v>
      </c>
      <c r="T4" s="97" t="s">
        <v>57</v>
      </c>
      <c r="U4" s="79" t="s">
        <v>270</v>
      </c>
      <c r="V4" s="74"/>
      <c r="W4"/>
      <c r="X4"/>
      <c r="Y4"/>
      <c r="Z4"/>
      <c r="AA4"/>
    </row>
    <row r="5" spans="1:27" x14ac:dyDescent="0.3">
      <c r="A5" s="152" t="s">
        <v>95</v>
      </c>
      <c r="B5" t="s">
        <v>96</v>
      </c>
      <c r="C5"/>
      <c r="E5" s="78">
        <v>3</v>
      </c>
      <c r="F5" s="98" t="s">
        <v>55</v>
      </c>
      <c r="G5" s="80" t="s">
        <v>167</v>
      </c>
      <c r="H5" s="98" t="s">
        <v>57</v>
      </c>
      <c r="I5" s="80" t="s">
        <v>167</v>
      </c>
      <c r="J5" s="98" t="s">
        <v>55</v>
      </c>
      <c r="K5" s="80"/>
      <c r="L5" s="98" t="s">
        <v>57</v>
      </c>
      <c r="M5" s="80"/>
      <c r="N5" s="98" t="s">
        <v>55</v>
      </c>
      <c r="O5" s="80"/>
      <c r="P5" s="98" t="s">
        <v>57</v>
      </c>
      <c r="Q5" s="80" t="s">
        <v>272</v>
      </c>
      <c r="R5" s="98" t="s">
        <v>55</v>
      </c>
      <c r="S5" s="80" t="s">
        <v>273</v>
      </c>
      <c r="T5" s="98" t="s">
        <v>57</v>
      </c>
      <c r="U5" s="80" t="s">
        <v>272</v>
      </c>
      <c r="V5" s="74"/>
      <c r="W5"/>
      <c r="X5"/>
      <c r="Y5"/>
      <c r="Z5"/>
      <c r="AA5"/>
    </row>
    <row r="6" spans="1:27" x14ac:dyDescent="0.3">
      <c r="A6" s="153" t="s">
        <v>103</v>
      </c>
      <c r="B6" t="s">
        <v>104</v>
      </c>
      <c r="C6"/>
      <c r="E6" s="78">
        <v>4</v>
      </c>
      <c r="F6" s="98" t="s">
        <v>55</v>
      </c>
      <c r="G6" s="80"/>
      <c r="H6" s="98" t="s">
        <v>57</v>
      </c>
      <c r="I6" s="80"/>
      <c r="J6" s="98" t="s">
        <v>55</v>
      </c>
      <c r="K6" s="80"/>
      <c r="L6" s="98" t="s">
        <v>57</v>
      </c>
      <c r="M6" s="80"/>
      <c r="N6" s="98" t="s">
        <v>55</v>
      </c>
      <c r="O6" s="80"/>
      <c r="P6" s="98" t="s">
        <v>57</v>
      </c>
      <c r="Q6" s="80" t="s">
        <v>274</v>
      </c>
      <c r="R6" s="98" t="s">
        <v>55</v>
      </c>
      <c r="S6" s="80" t="s">
        <v>275</v>
      </c>
      <c r="T6" s="98" t="s">
        <v>57</v>
      </c>
      <c r="U6" s="80" t="s">
        <v>274</v>
      </c>
      <c r="V6" s="74"/>
      <c r="W6"/>
      <c r="X6"/>
      <c r="Y6"/>
      <c r="Z6"/>
      <c r="AA6"/>
    </row>
    <row r="7" spans="1:27" x14ac:dyDescent="0.3">
      <c r="A7"/>
      <c r="B7"/>
      <c r="C7"/>
      <c r="E7" s="78">
        <v>5</v>
      </c>
      <c r="F7" s="98" t="s">
        <v>55</v>
      </c>
      <c r="G7" s="80"/>
      <c r="H7" s="98" t="s">
        <v>57</v>
      </c>
      <c r="I7" s="80"/>
      <c r="J7" s="98" t="s">
        <v>55</v>
      </c>
      <c r="K7" s="80"/>
      <c r="L7" s="98" t="s">
        <v>57</v>
      </c>
      <c r="M7" s="80"/>
      <c r="N7" s="98" t="s">
        <v>55</v>
      </c>
      <c r="O7" s="80"/>
      <c r="P7" s="98" t="s">
        <v>57</v>
      </c>
      <c r="Q7" s="80" t="s">
        <v>276</v>
      </c>
      <c r="R7" s="98" t="s">
        <v>55</v>
      </c>
      <c r="S7" s="80" t="s">
        <v>277</v>
      </c>
      <c r="T7" s="98" t="s">
        <v>57</v>
      </c>
      <c r="U7" s="80" t="s">
        <v>276</v>
      </c>
      <c r="V7" s="74"/>
      <c r="W7"/>
      <c r="X7"/>
      <c r="Y7"/>
      <c r="Z7"/>
      <c r="AA7"/>
    </row>
    <row r="8" spans="1:27" x14ac:dyDescent="0.3">
      <c r="A8" s="254" t="s">
        <v>278</v>
      </c>
      <c r="B8"/>
      <c r="C8"/>
      <c r="E8" s="78">
        <v>6</v>
      </c>
      <c r="F8" s="98" t="s">
        <v>57</v>
      </c>
      <c r="G8" s="163"/>
      <c r="H8" s="98" t="s">
        <v>55</v>
      </c>
      <c r="I8" s="163"/>
      <c r="J8" s="98" t="s">
        <v>57</v>
      </c>
      <c r="K8" s="80"/>
      <c r="L8" s="98" t="s">
        <v>55</v>
      </c>
      <c r="M8" s="80"/>
      <c r="N8" s="98" t="s">
        <v>57</v>
      </c>
      <c r="O8" s="80"/>
      <c r="P8" s="98" t="s">
        <v>55</v>
      </c>
      <c r="Q8" s="80" t="s">
        <v>271</v>
      </c>
      <c r="R8" s="98" t="s">
        <v>57</v>
      </c>
      <c r="S8" s="80" t="s">
        <v>272</v>
      </c>
      <c r="T8" s="98" t="s">
        <v>55</v>
      </c>
      <c r="U8" s="80" t="s">
        <v>273</v>
      </c>
      <c r="V8" s="74"/>
      <c r="W8"/>
      <c r="X8"/>
      <c r="Y8"/>
      <c r="Z8"/>
      <c r="AA8"/>
    </row>
    <row r="9" spans="1:27" x14ac:dyDescent="0.3">
      <c r="A9"/>
      <c r="B9"/>
      <c r="C9"/>
      <c r="E9" s="78">
        <v>7</v>
      </c>
      <c r="F9" s="98" t="s">
        <v>57</v>
      </c>
      <c r="G9" s="80"/>
      <c r="H9" s="98" t="s">
        <v>55</v>
      </c>
      <c r="I9" s="80"/>
      <c r="J9" s="98" t="s">
        <v>57</v>
      </c>
      <c r="K9" s="80"/>
      <c r="L9" s="98" t="s">
        <v>55</v>
      </c>
      <c r="M9" s="80"/>
      <c r="N9" s="98" t="s">
        <v>57</v>
      </c>
      <c r="O9" s="80"/>
      <c r="P9" s="98" t="s">
        <v>55</v>
      </c>
      <c r="Q9" s="80" t="s">
        <v>273</v>
      </c>
      <c r="R9" s="98" t="s">
        <v>57</v>
      </c>
      <c r="S9" s="80" t="s">
        <v>274</v>
      </c>
      <c r="T9" s="98" t="s">
        <v>55</v>
      </c>
      <c r="U9" s="80" t="s">
        <v>271</v>
      </c>
      <c r="V9" s="74"/>
      <c r="W9"/>
      <c r="X9"/>
      <c r="Y9"/>
      <c r="Z9"/>
      <c r="AA9"/>
    </row>
    <row r="10" spans="1:27" x14ac:dyDescent="0.3">
      <c r="A10" s="196" t="s">
        <v>279</v>
      </c>
      <c r="B10"/>
      <c r="C10"/>
      <c r="E10" s="78">
        <v>8</v>
      </c>
      <c r="F10" s="98" t="s">
        <v>57</v>
      </c>
      <c r="G10" s="80"/>
      <c r="H10" s="98" t="s">
        <v>55</v>
      </c>
      <c r="I10" s="80"/>
      <c r="J10" s="98" t="s">
        <v>57</v>
      </c>
      <c r="K10" s="80"/>
      <c r="L10" s="98" t="s">
        <v>55</v>
      </c>
      <c r="M10" s="80"/>
      <c r="N10" s="98" t="s">
        <v>57</v>
      </c>
      <c r="O10" s="80"/>
      <c r="P10" s="98" t="s">
        <v>55</v>
      </c>
      <c r="Q10" s="80" t="s">
        <v>280</v>
      </c>
      <c r="R10" s="98" t="s">
        <v>57</v>
      </c>
      <c r="S10" s="80" t="s">
        <v>270</v>
      </c>
      <c r="T10" s="98" t="s">
        <v>55</v>
      </c>
      <c r="U10" s="80" t="s">
        <v>275</v>
      </c>
      <c r="V10" s="74"/>
      <c r="W10"/>
      <c r="X10"/>
      <c r="Y10"/>
      <c r="Z10"/>
      <c r="AA10"/>
    </row>
    <row r="11" spans="1:27" x14ac:dyDescent="0.3">
      <c r="A11"/>
      <c r="B11"/>
      <c r="C11"/>
      <c r="E11" s="78">
        <v>9</v>
      </c>
      <c r="F11" s="98" t="s">
        <v>57</v>
      </c>
      <c r="G11" s="80"/>
      <c r="H11" s="99" t="s">
        <v>55</v>
      </c>
      <c r="I11" s="80"/>
      <c r="J11" s="98" t="s">
        <v>57</v>
      </c>
      <c r="K11" s="80"/>
      <c r="L11" s="99" t="s">
        <v>55</v>
      </c>
      <c r="M11" s="80"/>
      <c r="N11" s="98" t="s">
        <v>57</v>
      </c>
      <c r="O11" s="80"/>
      <c r="P11" s="99" t="s">
        <v>55</v>
      </c>
      <c r="Q11" s="80" t="s">
        <v>125</v>
      </c>
      <c r="R11" s="98" t="s">
        <v>57</v>
      </c>
      <c r="S11" s="80" t="s">
        <v>276</v>
      </c>
      <c r="T11" s="99" t="s">
        <v>55</v>
      </c>
      <c r="U11" s="80" t="s">
        <v>277</v>
      </c>
      <c r="V11" s="74"/>
      <c r="W11"/>
      <c r="X11"/>
      <c r="Y11"/>
      <c r="Z11"/>
      <c r="AA11"/>
    </row>
    <row r="12" spans="1:27" x14ac:dyDescent="0.3">
      <c r="A12"/>
      <c r="B12"/>
      <c r="C12"/>
      <c r="E12" s="78">
        <v>10</v>
      </c>
      <c r="F12" s="97" t="s">
        <v>97</v>
      </c>
      <c r="G12" s="79"/>
      <c r="H12" s="98" t="s">
        <v>98</v>
      </c>
      <c r="I12" s="79"/>
      <c r="J12" s="97" t="s">
        <v>97</v>
      </c>
      <c r="K12" s="79"/>
      <c r="L12" s="98" t="s">
        <v>98</v>
      </c>
      <c r="M12" s="79"/>
      <c r="N12" s="97" t="s">
        <v>97</v>
      </c>
      <c r="O12" s="79"/>
      <c r="P12" s="98" t="s">
        <v>98</v>
      </c>
      <c r="Q12" s="79" t="s">
        <v>281</v>
      </c>
      <c r="R12" s="97" t="s">
        <v>97</v>
      </c>
      <c r="S12" s="79" t="s">
        <v>282</v>
      </c>
      <c r="T12" s="98" t="s">
        <v>98</v>
      </c>
      <c r="U12" s="79" t="s">
        <v>281</v>
      </c>
      <c r="V12" s="84"/>
      <c r="W12"/>
      <c r="X12"/>
      <c r="Y12"/>
      <c r="Z12"/>
      <c r="AA12"/>
    </row>
    <row r="13" spans="1:27" x14ac:dyDescent="0.3">
      <c r="A13"/>
      <c r="B13"/>
      <c r="C13"/>
      <c r="E13" s="78">
        <v>11</v>
      </c>
      <c r="F13" s="98" t="s">
        <v>97</v>
      </c>
      <c r="G13" s="80"/>
      <c r="H13" s="98" t="s">
        <v>98</v>
      </c>
      <c r="I13" s="80"/>
      <c r="J13" s="98" t="s">
        <v>97</v>
      </c>
      <c r="K13" s="80"/>
      <c r="L13" s="98" t="s">
        <v>98</v>
      </c>
      <c r="M13" s="80"/>
      <c r="N13" s="98" t="s">
        <v>97</v>
      </c>
      <c r="O13" s="80"/>
      <c r="P13" s="98" t="s">
        <v>98</v>
      </c>
      <c r="Q13" s="80" t="s">
        <v>276</v>
      </c>
      <c r="R13" s="98" t="s">
        <v>97</v>
      </c>
      <c r="S13" s="80" t="s">
        <v>283</v>
      </c>
      <c r="T13" s="98" t="s">
        <v>98</v>
      </c>
      <c r="U13" s="80" t="s">
        <v>276</v>
      </c>
      <c r="V13" s="84"/>
      <c r="W13"/>
      <c r="X13"/>
      <c r="Y13"/>
      <c r="Z13"/>
      <c r="AA13"/>
    </row>
    <row r="14" spans="1:27" x14ac:dyDescent="0.3">
      <c r="A14"/>
      <c r="B14"/>
      <c r="C14"/>
      <c r="E14" s="78">
        <v>12</v>
      </c>
      <c r="F14" s="98" t="s">
        <v>97</v>
      </c>
      <c r="G14" s="80"/>
      <c r="H14" s="98" t="s">
        <v>98</v>
      </c>
      <c r="I14" s="80"/>
      <c r="J14" s="98" t="s">
        <v>97</v>
      </c>
      <c r="K14" s="80"/>
      <c r="L14" s="98" t="s">
        <v>98</v>
      </c>
      <c r="M14" s="80"/>
      <c r="N14" s="98" t="s">
        <v>97</v>
      </c>
      <c r="O14" s="80"/>
      <c r="P14" s="98" t="s">
        <v>98</v>
      </c>
      <c r="Q14" s="173" t="s">
        <v>284</v>
      </c>
      <c r="R14" s="98" t="s">
        <v>97</v>
      </c>
      <c r="S14" s="173" t="s">
        <v>285</v>
      </c>
      <c r="T14" s="98" t="s">
        <v>98</v>
      </c>
      <c r="U14" s="173" t="s">
        <v>285</v>
      </c>
      <c r="V14" s="84"/>
      <c r="W14"/>
      <c r="X14"/>
      <c r="Y14"/>
      <c r="Z14"/>
      <c r="AA14"/>
    </row>
    <row r="15" spans="1:27" x14ac:dyDescent="0.3">
      <c r="A15"/>
      <c r="B15"/>
      <c r="C15"/>
      <c r="E15" s="78">
        <v>13</v>
      </c>
      <c r="F15" s="98" t="s">
        <v>97</v>
      </c>
      <c r="G15" s="80"/>
      <c r="H15" s="98" t="s">
        <v>98</v>
      </c>
      <c r="I15" s="80"/>
      <c r="J15" s="98" t="s">
        <v>97</v>
      </c>
      <c r="K15" s="80"/>
      <c r="L15" s="98" t="s">
        <v>98</v>
      </c>
      <c r="M15" s="80"/>
      <c r="N15" s="98" t="s">
        <v>97</v>
      </c>
      <c r="O15" s="80"/>
      <c r="P15" s="98" t="s">
        <v>98</v>
      </c>
      <c r="Q15" s="173" t="s">
        <v>125</v>
      </c>
      <c r="R15" s="98" t="s">
        <v>97</v>
      </c>
      <c r="S15" s="173" t="s">
        <v>125</v>
      </c>
      <c r="T15" s="98" t="s">
        <v>98</v>
      </c>
      <c r="U15" s="173" t="s">
        <v>125</v>
      </c>
      <c r="V15" s="84"/>
      <c r="W15"/>
      <c r="X15"/>
      <c r="Y15"/>
      <c r="Z15"/>
      <c r="AA15"/>
    </row>
    <row r="16" spans="1:27" x14ac:dyDescent="0.3">
      <c r="A16"/>
      <c r="B16"/>
      <c r="C16"/>
      <c r="E16" s="78">
        <v>14</v>
      </c>
      <c r="F16" s="98" t="s">
        <v>98</v>
      </c>
      <c r="G16" s="80"/>
      <c r="H16" s="98" t="s">
        <v>97</v>
      </c>
      <c r="I16" s="80"/>
      <c r="J16" s="98" t="s">
        <v>98</v>
      </c>
      <c r="K16" s="80"/>
      <c r="L16" s="98" t="s">
        <v>97</v>
      </c>
      <c r="M16" s="80"/>
      <c r="N16" s="98" t="s">
        <v>98</v>
      </c>
      <c r="O16" s="80"/>
      <c r="P16" s="98" t="s">
        <v>97</v>
      </c>
      <c r="Q16" s="80"/>
      <c r="R16" s="98" t="s">
        <v>98</v>
      </c>
      <c r="S16" s="80" t="s">
        <v>281</v>
      </c>
      <c r="T16" s="98" t="s">
        <v>97</v>
      </c>
      <c r="U16" s="80" t="s">
        <v>282</v>
      </c>
      <c r="V16" s="84"/>
      <c r="W16"/>
      <c r="X16"/>
      <c r="Y16"/>
      <c r="Z16"/>
      <c r="AA16"/>
    </row>
    <row r="17" spans="1:31" x14ac:dyDescent="0.3">
      <c r="A17"/>
      <c r="B17"/>
      <c r="C17"/>
      <c r="E17" s="78">
        <v>15</v>
      </c>
      <c r="F17" s="98" t="s">
        <v>98</v>
      </c>
      <c r="G17" s="155"/>
      <c r="H17" s="98" t="s">
        <v>97</v>
      </c>
      <c r="I17" s="155"/>
      <c r="J17" s="98" t="s">
        <v>98</v>
      </c>
      <c r="K17" s="155"/>
      <c r="L17" s="98" t="s">
        <v>97</v>
      </c>
      <c r="M17" s="155"/>
      <c r="N17" s="98" t="s">
        <v>98</v>
      </c>
      <c r="O17" s="80"/>
      <c r="P17" s="98" t="s">
        <v>97</v>
      </c>
      <c r="Q17" s="155"/>
      <c r="R17" s="98" t="s">
        <v>98</v>
      </c>
      <c r="S17" s="80" t="s">
        <v>276</v>
      </c>
      <c r="T17" s="98" t="s">
        <v>97</v>
      </c>
      <c r="U17" s="80" t="s">
        <v>283</v>
      </c>
      <c r="V17" s="84"/>
    </row>
    <row r="18" spans="1:31" x14ac:dyDescent="0.3">
      <c r="A18"/>
      <c r="B18"/>
      <c r="C18"/>
      <c r="E18" s="78">
        <v>16</v>
      </c>
      <c r="F18" s="98" t="s">
        <v>98</v>
      </c>
      <c r="G18" s="80"/>
      <c r="H18" s="98" t="s">
        <v>97</v>
      </c>
      <c r="I18" s="80"/>
      <c r="J18" s="98" t="s">
        <v>98</v>
      </c>
      <c r="K18" s="80"/>
      <c r="L18" s="98" t="s">
        <v>97</v>
      </c>
      <c r="M18" s="80"/>
      <c r="N18" s="98" t="s">
        <v>98</v>
      </c>
      <c r="O18" s="80"/>
      <c r="P18" s="98" t="s">
        <v>97</v>
      </c>
      <c r="Q18" s="80"/>
      <c r="R18" s="98" t="s">
        <v>98</v>
      </c>
      <c r="S18" s="173" t="s">
        <v>286</v>
      </c>
      <c r="T18" s="98" t="s">
        <v>97</v>
      </c>
      <c r="U18" s="173" t="s">
        <v>286</v>
      </c>
      <c r="V18" s="84"/>
    </row>
    <row r="19" spans="1:31" x14ac:dyDescent="0.3">
      <c r="A19"/>
      <c r="B19"/>
      <c r="C19"/>
      <c r="E19" s="78">
        <v>17</v>
      </c>
      <c r="F19" s="99" t="s">
        <v>98</v>
      </c>
      <c r="G19" s="85"/>
      <c r="H19" s="99" t="s">
        <v>97</v>
      </c>
      <c r="I19" s="85"/>
      <c r="J19" s="99" t="s">
        <v>98</v>
      </c>
      <c r="K19" s="85"/>
      <c r="L19" s="99" t="s">
        <v>97</v>
      </c>
      <c r="M19" s="85"/>
      <c r="N19" s="99" t="s">
        <v>98</v>
      </c>
      <c r="O19" s="85"/>
      <c r="P19" s="99" t="s">
        <v>97</v>
      </c>
      <c r="Q19" s="85"/>
      <c r="R19" s="99" t="s">
        <v>98</v>
      </c>
      <c r="S19" s="175" t="s">
        <v>125</v>
      </c>
      <c r="T19" s="99" t="s">
        <v>97</v>
      </c>
      <c r="U19" s="175" t="s">
        <v>125</v>
      </c>
      <c r="V19" s="84"/>
    </row>
    <row r="20" spans="1:31" x14ac:dyDescent="0.3">
      <c r="A20"/>
      <c r="B20"/>
      <c r="C20"/>
      <c r="G20" s="191" t="s">
        <v>287</v>
      </c>
      <c r="H20"/>
      <c r="I20" s="191" t="s">
        <v>287</v>
      </c>
      <c r="J20"/>
      <c r="K20"/>
      <c r="L20"/>
      <c r="M20"/>
      <c r="N20" s="84"/>
      <c r="O20" s="191" t="s">
        <v>288</v>
      </c>
      <c r="P20" s="84"/>
      <c r="Q20" s="91" t="s">
        <v>128</v>
      </c>
      <c r="R20" s="84"/>
      <c r="S20" s="91" t="s">
        <v>128</v>
      </c>
      <c r="T20" s="84"/>
      <c r="U20" s="91" t="s">
        <v>128</v>
      </c>
      <c r="V20" s="84"/>
    </row>
    <row r="21" spans="1:31" ht="16.2" thickBot="1" x14ac:dyDescent="0.35">
      <c r="A21"/>
      <c r="B21"/>
      <c r="C21"/>
      <c r="G21" s="78"/>
      <c r="H21" s="84"/>
      <c r="I21" s="74"/>
      <c r="J21"/>
      <c r="K21"/>
      <c r="L21"/>
      <c r="M21" s="74"/>
      <c r="N21"/>
      <c r="O21"/>
      <c r="P21"/>
      <c r="Q21"/>
      <c r="R21"/>
      <c r="S21"/>
      <c r="T21"/>
      <c r="U21"/>
      <c r="V21"/>
    </row>
    <row r="22" spans="1:31" x14ac:dyDescent="0.3">
      <c r="A22"/>
      <c r="B22"/>
      <c r="C22"/>
      <c r="D22" s="101" t="s">
        <v>289</v>
      </c>
      <c r="E22" s="74">
        <v>1</v>
      </c>
      <c r="F22" s="107" t="s">
        <v>89</v>
      </c>
      <c r="G22" s="108" t="s">
        <v>93</v>
      </c>
      <c r="H22" s="156" t="s">
        <v>96</v>
      </c>
      <c r="I22" s="109" t="s">
        <v>104</v>
      </c>
      <c r="J22"/>
      <c r="K22" s="84"/>
      <c r="L22" s="74"/>
      <c r="M22"/>
      <c r="N22"/>
      <c r="O22"/>
      <c r="P22"/>
      <c r="Q22"/>
      <c r="R22"/>
      <c r="S22"/>
      <c r="T22"/>
      <c r="U22"/>
      <c r="V22"/>
    </row>
    <row r="23" spans="1:31" x14ac:dyDescent="0.3">
      <c r="A23"/>
      <c r="B23"/>
      <c r="C23"/>
      <c r="D23"/>
      <c r="E23" s="78">
        <v>2</v>
      </c>
      <c r="F23" s="110" t="s">
        <v>272</v>
      </c>
      <c r="G23" s="157" t="s">
        <v>268</v>
      </c>
      <c r="H23" s="167" t="s">
        <v>280</v>
      </c>
      <c r="I23" s="112" t="s">
        <v>285</v>
      </c>
      <c r="J23"/>
      <c r="K23" s="84"/>
      <c r="L23" s="74"/>
      <c r="M23" s="84"/>
      <c r="N23" s="74"/>
      <c r="O23" s="84"/>
      <c r="P23" s="74"/>
      <c r="Q23" s="84"/>
      <c r="R23" s="74"/>
      <c r="S23" s="84"/>
      <c r="T23" s="74"/>
    </row>
    <row r="24" spans="1:31" x14ac:dyDescent="0.3">
      <c r="A24"/>
      <c r="B24"/>
      <c r="C24"/>
      <c r="D24"/>
      <c r="E24" s="78">
        <v>3</v>
      </c>
      <c r="F24" s="110" t="s">
        <v>273</v>
      </c>
      <c r="G24" s="111"/>
      <c r="H24" s="169" t="s">
        <v>155</v>
      </c>
      <c r="I24" s="112" t="s">
        <v>155</v>
      </c>
      <c r="J24"/>
      <c r="K24" s="84"/>
      <c r="L24" s="74"/>
      <c r="M24" s="84"/>
      <c r="N24" s="74"/>
      <c r="O24" s="84"/>
      <c r="P24" s="74"/>
      <c r="Q24" s="84"/>
      <c r="R24" s="74"/>
      <c r="S24" s="84"/>
      <c r="T24" s="74"/>
    </row>
    <row r="25" spans="1:31" x14ac:dyDescent="0.3">
      <c r="A25"/>
      <c r="B25"/>
      <c r="C25"/>
      <c r="E25" s="78">
        <v>4</v>
      </c>
      <c r="F25" s="110" t="s">
        <v>281</v>
      </c>
      <c r="G25" s="111"/>
      <c r="H25" s="169" t="s">
        <v>181</v>
      </c>
      <c r="I25" s="112" t="s">
        <v>181</v>
      </c>
      <c r="J25"/>
      <c r="K25" s="84"/>
      <c r="R25" s="64"/>
      <c r="S25" s="64"/>
      <c r="T25" s="64"/>
    </row>
    <row r="26" spans="1:31" x14ac:dyDescent="0.3">
      <c r="A26"/>
      <c r="B26"/>
      <c r="C26"/>
      <c r="E26" s="78">
        <v>5</v>
      </c>
      <c r="F26" s="110" t="s">
        <v>274</v>
      </c>
      <c r="G26" s="111"/>
      <c r="H26" s="169" t="s">
        <v>167</v>
      </c>
      <c r="I26" s="112" t="s">
        <v>167</v>
      </c>
      <c r="J26"/>
      <c r="R26" s="64"/>
      <c r="S26" s="64"/>
      <c r="T26" s="64"/>
    </row>
    <row r="27" spans="1:31" x14ac:dyDescent="0.3">
      <c r="A27"/>
      <c r="B27"/>
      <c r="C27"/>
      <c r="E27" s="78">
        <v>6</v>
      </c>
      <c r="F27" s="110" t="s">
        <v>290</v>
      </c>
      <c r="G27" s="111"/>
      <c r="H27" s="169" t="s">
        <v>284</v>
      </c>
      <c r="I27" s="112" t="s">
        <v>286</v>
      </c>
      <c r="J27"/>
      <c r="K27" s="84"/>
      <c r="L27" s="74"/>
      <c r="R27" s="64"/>
      <c r="S27" s="64"/>
      <c r="T27" s="64"/>
    </row>
    <row r="28" spans="1:31" x14ac:dyDescent="0.3">
      <c r="A28"/>
      <c r="B28"/>
      <c r="C28"/>
      <c r="E28" s="78">
        <v>7</v>
      </c>
      <c r="F28" s="110" t="s">
        <v>270</v>
      </c>
      <c r="G28" s="111"/>
      <c r="H28" s="169" t="s">
        <v>177</v>
      </c>
      <c r="I28" s="112" t="s">
        <v>177</v>
      </c>
      <c r="J28"/>
      <c r="K28" s="84"/>
      <c r="L28" s="74"/>
      <c r="R28" s="64"/>
      <c r="S28" s="64"/>
      <c r="T28" s="64"/>
    </row>
    <row r="29" spans="1:31" ht="16.2" thickBot="1" x14ac:dyDescent="0.35">
      <c r="A29"/>
      <c r="B29"/>
      <c r="C29"/>
      <c r="E29" s="78">
        <v>8</v>
      </c>
      <c r="F29" s="113"/>
      <c r="G29" s="114"/>
      <c r="H29" s="171" t="s">
        <v>161</v>
      </c>
      <c r="I29" s="115" t="s">
        <v>161</v>
      </c>
      <c r="J29"/>
      <c r="K29" s="84"/>
      <c r="L29" s="74"/>
      <c r="R29" s="64"/>
      <c r="S29" s="64"/>
      <c r="T29" s="64"/>
    </row>
    <row r="30" spans="1:31" ht="16.2" thickBot="1" x14ac:dyDescent="0.35">
      <c r="A30" s="286"/>
      <c r="B30" s="286"/>
      <c r="C30" s="286"/>
      <c r="D30" s="287"/>
      <c r="E30" s="288"/>
      <c r="F30" s="286"/>
      <c r="G30" s="286"/>
      <c r="H30" s="286"/>
      <c r="I30" s="286"/>
      <c r="J30" s="286"/>
      <c r="K30" s="289"/>
      <c r="L30" s="289"/>
      <c r="M30" s="289"/>
      <c r="N30" s="289"/>
      <c r="O30" s="289"/>
      <c r="P30" s="289"/>
      <c r="Q30" s="289"/>
      <c r="R30" s="287"/>
      <c r="S30" s="287"/>
      <c r="T30" s="287"/>
      <c r="U30" s="289"/>
      <c r="V30" s="289"/>
      <c r="W30" s="289"/>
      <c r="X30" s="289"/>
      <c r="Y30" s="289"/>
      <c r="Z30" s="289"/>
      <c r="AA30" s="289"/>
      <c r="AB30" s="289"/>
      <c r="AC30" s="289"/>
      <c r="AD30" s="289"/>
      <c r="AE30" s="289"/>
    </row>
    <row r="31" spans="1:31" x14ac:dyDescent="0.3">
      <c r="A31"/>
      <c r="B31"/>
      <c r="C31"/>
      <c r="E31" s="78"/>
      <c r="F31"/>
      <c r="G31"/>
      <c r="H31"/>
      <c r="I31"/>
      <c r="J31"/>
      <c r="R31" s="64"/>
      <c r="S31" s="64"/>
      <c r="T31" s="64"/>
    </row>
    <row r="32" spans="1:31" x14ac:dyDescent="0.3">
      <c r="A32" s="154" t="s">
        <v>291</v>
      </c>
      <c r="B32"/>
      <c r="C32"/>
      <c r="D32" s="101" t="s">
        <v>292</v>
      </c>
      <c r="E32" s="74">
        <v>1</v>
      </c>
      <c r="F32" s="76"/>
      <c r="G32" s="75" t="s">
        <v>293</v>
      </c>
      <c r="H32" s="76"/>
      <c r="I32" s="75" t="s">
        <v>294</v>
      </c>
      <c r="J32" s="76"/>
      <c r="K32" s="75" t="s">
        <v>295</v>
      </c>
      <c r="L32" s="76"/>
      <c r="M32" s="75" t="s">
        <v>296</v>
      </c>
      <c r="N32" s="76"/>
      <c r="O32" s="75" t="s">
        <v>297</v>
      </c>
      <c r="P32" s="76"/>
      <c r="Q32" s="75" t="s">
        <v>298</v>
      </c>
      <c r="R32" s="76"/>
      <c r="S32" s="75" t="s">
        <v>299</v>
      </c>
      <c r="T32" s="76"/>
      <c r="U32" s="75" t="s">
        <v>300</v>
      </c>
    </row>
    <row r="33" spans="1:21" ht="15.75" customHeight="1" x14ac:dyDescent="0.3">
      <c r="A33" s="152" t="s">
        <v>69</v>
      </c>
      <c r="B33" t="s">
        <v>70</v>
      </c>
      <c r="C33"/>
      <c r="E33" s="78">
        <v>2</v>
      </c>
      <c r="F33" s="97" t="s">
        <v>55</v>
      </c>
      <c r="G33" s="79" t="s">
        <v>301</v>
      </c>
      <c r="H33" s="97" t="s">
        <v>57</v>
      </c>
      <c r="I33" s="165" t="s">
        <v>269</v>
      </c>
      <c r="J33" s="97" t="s">
        <v>55</v>
      </c>
      <c r="K33" s="79" t="s">
        <v>268</v>
      </c>
      <c r="L33" s="97" t="s">
        <v>57</v>
      </c>
      <c r="M33" s="79" t="s">
        <v>268</v>
      </c>
      <c r="N33" s="97" t="s">
        <v>55</v>
      </c>
      <c r="O33" s="79" t="s">
        <v>301</v>
      </c>
      <c r="P33" s="97" t="s">
        <v>57</v>
      </c>
      <c r="Q33" s="165" t="s">
        <v>269</v>
      </c>
      <c r="R33" s="97" t="s">
        <v>55</v>
      </c>
      <c r="S33" s="79" t="s">
        <v>302</v>
      </c>
      <c r="T33" s="97" t="s">
        <v>57</v>
      </c>
      <c r="U33" s="79" t="s">
        <v>303</v>
      </c>
    </row>
    <row r="34" spans="1:21" x14ac:dyDescent="0.3">
      <c r="A34" s="152" t="s">
        <v>81</v>
      </c>
      <c r="B34" t="s">
        <v>82</v>
      </c>
      <c r="C34"/>
      <c r="E34" s="78">
        <v>3</v>
      </c>
      <c r="F34" s="98" t="s">
        <v>55</v>
      </c>
      <c r="G34" s="80" t="s">
        <v>302</v>
      </c>
      <c r="H34" s="98" t="s">
        <v>57</v>
      </c>
      <c r="I34" s="80"/>
      <c r="J34" s="98" t="s">
        <v>55</v>
      </c>
      <c r="K34" s="80"/>
      <c r="L34" s="98" t="s">
        <v>57</v>
      </c>
      <c r="M34" s="80"/>
      <c r="N34" s="98" t="s">
        <v>55</v>
      </c>
      <c r="O34" s="80" t="s">
        <v>302</v>
      </c>
      <c r="P34" s="98" t="s">
        <v>57</v>
      </c>
      <c r="Q34" s="80"/>
      <c r="R34" s="98" t="s">
        <v>55</v>
      </c>
      <c r="S34" s="80" t="s">
        <v>301</v>
      </c>
      <c r="T34" s="98" t="s">
        <v>57</v>
      </c>
      <c r="U34" s="80" t="s">
        <v>303</v>
      </c>
    </row>
    <row r="35" spans="1:21" ht="15.75" customHeight="1" x14ac:dyDescent="0.3">
      <c r="A35" s="153" t="s">
        <v>85</v>
      </c>
      <c r="B35" t="s">
        <v>86</v>
      </c>
      <c r="C35"/>
      <c r="E35" s="78">
        <v>4</v>
      </c>
      <c r="F35" s="98" t="s">
        <v>55</v>
      </c>
      <c r="G35" s="80" t="s">
        <v>304</v>
      </c>
      <c r="H35" s="98" t="s">
        <v>57</v>
      </c>
      <c r="I35" s="80"/>
      <c r="J35" s="98" t="s">
        <v>55</v>
      </c>
      <c r="K35" s="80"/>
      <c r="L35" s="98" t="s">
        <v>57</v>
      </c>
      <c r="M35" s="80"/>
      <c r="N35" s="98" t="s">
        <v>55</v>
      </c>
      <c r="O35" s="80" t="s">
        <v>304</v>
      </c>
      <c r="P35" s="98" t="s">
        <v>57</v>
      </c>
      <c r="Q35" s="80"/>
      <c r="R35" s="98" t="s">
        <v>55</v>
      </c>
      <c r="S35" s="102" t="s">
        <v>305</v>
      </c>
      <c r="T35" s="98" t="s">
        <v>57</v>
      </c>
      <c r="U35" s="80" t="s">
        <v>303</v>
      </c>
    </row>
    <row r="36" spans="1:21" ht="15.75" customHeight="1" x14ac:dyDescent="0.3">
      <c r="A36"/>
      <c r="B36"/>
      <c r="C36"/>
      <c r="E36" s="78">
        <v>5</v>
      </c>
      <c r="F36" s="98" t="s">
        <v>55</v>
      </c>
      <c r="G36" s="102" t="s">
        <v>210</v>
      </c>
      <c r="H36" s="98" t="s">
        <v>57</v>
      </c>
      <c r="I36" s="80"/>
      <c r="J36" s="98" t="s">
        <v>55</v>
      </c>
      <c r="K36" s="80"/>
      <c r="L36" s="98" t="s">
        <v>57</v>
      </c>
      <c r="M36" s="80"/>
      <c r="N36" s="98" t="s">
        <v>55</v>
      </c>
      <c r="O36" s="102" t="s">
        <v>305</v>
      </c>
      <c r="P36" s="98" t="s">
        <v>57</v>
      </c>
      <c r="Q36" s="80"/>
      <c r="R36" s="98" t="s">
        <v>55</v>
      </c>
      <c r="S36" s="80" t="s">
        <v>304</v>
      </c>
      <c r="T36" s="98" t="s">
        <v>57</v>
      </c>
      <c r="U36" s="80" t="s">
        <v>303</v>
      </c>
    </row>
    <row r="37" spans="1:21" x14ac:dyDescent="0.3">
      <c r="A37"/>
      <c r="B37"/>
      <c r="C37"/>
      <c r="E37" s="78">
        <v>6</v>
      </c>
      <c r="F37" s="98" t="s">
        <v>57</v>
      </c>
      <c r="G37" s="163"/>
      <c r="H37" s="98" t="s">
        <v>55</v>
      </c>
      <c r="I37" s="80"/>
      <c r="J37" s="98" t="s">
        <v>57</v>
      </c>
      <c r="K37" s="80"/>
      <c r="L37" s="98" t="s">
        <v>55</v>
      </c>
      <c r="M37" s="80"/>
      <c r="N37" s="98" t="s">
        <v>57</v>
      </c>
      <c r="O37" s="80" t="s">
        <v>306</v>
      </c>
      <c r="P37" s="98" t="s">
        <v>55</v>
      </c>
      <c r="Q37" s="80"/>
      <c r="R37" s="98" t="s">
        <v>57</v>
      </c>
      <c r="S37" s="102" t="s">
        <v>210</v>
      </c>
      <c r="T37" s="98" t="s">
        <v>55</v>
      </c>
      <c r="U37" s="80" t="s">
        <v>302</v>
      </c>
    </row>
    <row r="38" spans="1:21" x14ac:dyDescent="0.3">
      <c r="A38"/>
      <c r="B38"/>
      <c r="C38"/>
      <c r="E38" s="78">
        <v>7</v>
      </c>
      <c r="F38" s="98" t="s">
        <v>57</v>
      </c>
      <c r="G38" s="80"/>
      <c r="H38" s="98" t="s">
        <v>55</v>
      </c>
      <c r="I38" s="80"/>
      <c r="J38" s="98" t="s">
        <v>57</v>
      </c>
      <c r="K38" s="80"/>
      <c r="L38" s="98" t="s">
        <v>55</v>
      </c>
      <c r="M38" s="80"/>
      <c r="N38" s="98" t="s">
        <v>57</v>
      </c>
      <c r="O38" s="80" t="s">
        <v>307</v>
      </c>
      <c r="P38" s="98" t="s">
        <v>55</v>
      </c>
      <c r="Q38" s="80"/>
      <c r="R38" s="98" t="s">
        <v>57</v>
      </c>
      <c r="S38" s="80" t="s">
        <v>307</v>
      </c>
      <c r="T38" s="98" t="s">
        <v>55</v>
      </c>
      <c r="U38" s="80" t="s">
        <v>301</v>
      </c>
    </row>
    <row r="39" spans="1:21" x14ac:dyDescent="0.3">
      <c r="A39" s="196" t="s">
        <v>308</v>
      </c>
      <c r="B39"/>
      <c r="C39"/>
      <c r="E39" s="78">
        <v>8</v>
      </c>
      <c r="F39" s="98" t="s">
        <v>57</v>
      </c>
      <c r="G39" s="80"/>
      <c r="H39" s="98" t="s">
        <v>55</v>
      </c>
      <c r="I39" s="80"/>
      <c r="J39" s="98" t="s">
        <v>57</v>
      </c>
      <c r="K39" s="80"/>
      <c r="L39" s="98" t="s">
        <v>55</v>
      </c>
      <c r="M39" s="80"/>
      <c r="N39" s="98" t="s">
        <v>57</v>
      </c>
      <c r="O39" s="102" t="s">
        <v>210</v>
      </c>
      <c r="P39" s="98" t="s">
        <v>55</v>
      </c>
      <c r="Q39" s="80"/>
      <c r="R39" s="98" t="s">
        <v>57</v>
      </c>
      <c r="S39" s="80" t="s">
        <v>309</v>
      </c>
      <c r="T39" s="98" t="s">
        <v>55</v>
      </c>
      <c r="U39" s="102" t="s">
        <v>305</v>
      </c>
    </row>
    <row r="40" spans="1:21" x14ac:dyDescent="0.3">
      <c r="A40" s="293" t="s">
        <v>310</v>
      </c>
      <c r="B40"/>
      <c r="C40"/>
      <c r="E40" s="78">
        <v>9</v>
      </c>
      <c r="F40" s="98" t="s">
        <v>57</v>
      </c>
      <c r="G40" s="80"/>
      <c r="H40" s="99" t="s">
        <v>55</v>
      </c>
      <c r="I40" s="80"/>
      <c r="J40" s="98" t="s">
        <v>57</v>
      </c>
      <c r="K40" s="80"/>
      <c r="L40" s="99" t="s">
        <v>55</v>
      </c>
      <c r="M40" s="80"/>
      <c r="N40" s="98" t="s">
        <v>57</v>
      </c>
      <c r="O40" s="80" t="s">
        <v>309</v>
      </c>
      <c r="P40" s="99" t="s">
        <v>55</v>
      </c>
      <c r="Q40" s="80"/>
      <c r="R40" s="98" t="s">
        <v>57</v>
      </c>
      <c r="S40" s="80" t="s">
        <v>306</v>
      </c>
      <c r="T40" s="99" t="s">
        <v>55</v>
      </c>
      <c r="U40" s="80" t="s">
        <v>304</v>
      </c>
    </row>
    <row r="41" spans="1:21" x14ac:dyDescent="0.3">
      <c r="A41" s="293" t="s">
        <v>311</v>
      </c>
      <c r="B41"/>
      <c r="C41"/>
      <c r="E41" s="78">
        <v>10</v>
      </c>
      <c r="F41" s="97" t="s">
        <v>97</v>
      </c>
      <c r="G41" s="79"/>
      <c r="H41" s="98" t="s">
        <v>98</v>
      </c>
      <c r="I41" s="79"/>
      <c r="J41" s="97" t="s">
        <v>97</v>
      </c>
      <c r="K41" s="79"/>
      <c r="L41" s="98" t="s">
        <v>98</v>
      </c>
      <c r="M41" s="79"/>
      <c r="N41" s="97" t="s">
        <v>97</v>
      </c>
      <c r="O41" s="79" t="s">
        <v>312</v>
      </c>
      <c r="P41" s="98" t="s">
        <v>98</v>
      </c>
      <c r="Q41" s="79"/>
      <c r="R41" s="97" t="s">
        <v>97</v>
      </c>
      <c r="S41" s="79" t="s">
        <v>312</v>
      </c>
      <c r="T41" s="98" t="s">
        <v>98</v>
      </c>
      <c r="U41" s="190" t="s">
        <v>210</v>
      </c>
    </row>
    <row r="42" spans="1:21" x14ac:dyDescent="0.3">
      <c r="E42" s="78">
        <v>11</v>
      </c>
      <c r="F42" s="98" t="s">
        <v>97</v>
      </c>
      <c r="G42" s="80"/>
      <c r="H42" s="98" t="s">
        <v>98</v>
      </c>
      <c r="I42" s="80"/>
      <c r="J42" s="98" t="s">
        <v>97</v>
      </c>
      <c r="K42" s="80"/>
      <c r="L42" s="98" t="s">
        <v>98</v>
      </c>
      <c r="M42" s="80"/>
      <c r="N42" s="98" t="s">
        <v>97</v>
      </c>
      <c r="O42" s="80" t="s">
        <v>313</v>
      </c>
      <c r="P42" s="98" t="s">
        <v>98</v>
      </c>
      <c r="Q42" s="80"/>
      <c r="R42" s="98" t="s">
        <v>97</v>
      </c>
      <c r="S42" s="80" t="s">
        <v>314</v>
      </c>
      <c r="T42" s="98" t="s">
        <v>98</v>
      </c>
      <c r="U42" s="80" t="s">
        <v>307</v>
      </c>
    </row>
    <row r="43" spans="1:21" x14ac:dyDescent="0.3">
      <c r="A43" s="196" t="s">
        <v>279</v>
      </c>
      <c r="E43" s="78">
        <v>12</v>
      </c>
      <c r="F43" s="98" t="s">
        <v>97</v>
      </c>
      <c r="G43" s="80"/>
      <c r="H43" s="98" t="s">
        <v>98</v>
      </c>
      <c r="I43" s="80"/>
      <c r="J43" s="98" t="s">
        <v>97</v>
      </c>
      <c r="K43" s="80"/>
      <c r="L43" s="98" t="s">
        <v>98</v>
      </c>
      <c r="M43" s="80"/>
      <c r="N43" s="98" t="s">
        <v>97</v>
      </c>
      <c r="O43" s="173" t="s">
        <v>155</v>
      </c>
      <c r="P43" s="98" t="s">
        <v>98</v>
      </c>
      <c r="Q43" s="80"/>
      <c r="R43" s="98" t="s">
        <v>97</v>
      </c>
      <c r="S43" s="173" t="s">
        <v>155</v>
      </c>
      <c r="T43" s="98" t="s">
        <v>98</v>
      </c>
      <c r="U43" s="80" t="s">
        <v>309</v>
      </c>
    </row>
    <row r="44" spans="1:21" x14ac:dyDescent="0.3">
      <c r="E44" s="78">
        <v>13</v>
      </c>
      <c r="F44" s="98" t="s">
        <v>97</v>
      </c>
      <c r="G44" s="80"/>
      <c r="H44" s="98" t="s">
        <v>98</v>
      </c>
      <c r="I44" s="80"/>
      <c r="J44" s="98" t="s">
        <v>97</v>
      </c>
      <c r="K44" s="80"/>
      <c r="L44" s="98" t="s">
        <v>98</v>
      </c>
      <c r="M44" s="80"/>
      <c r="N44" s="98" t="s">
        <v>97</v>
      </c>
      <c r="O44" s="173" t="s">
        <v>125</v>
      </c>
      <c r="P44" s="98" t="s">
        <v>98</v>
      </c>
      <c r="Q44" s="80"/>
      <c r="R44" s="98" t="s">
        <v>97</v>
      </c>
      <c r="S44" s="173" t="s">
        <v>125</v>
      </c>
      <c r="T44" s="98" t="s">
        <v>98</v>
      </c>
      <c r="U44" s="80" t="s">
        <v>306</v>
      </c>
    </row>
    <row r="45" spans="1:21" x14ac:dyDescent="0.3">
      <c r="E45" s="78">
        <v>14</v>
      </c>
      <c r="F45" s="98" t="s">
        <v>98</v>
      </c>
      <c r="G45" s="80"/>
      <c r="H45" s="98" t="s">
        <v>97</v>
      </c>
      <c r="I45" s="80"/>
      <c r="J45" s="98" t="s">
        <v>98</v>
      </c>
      <c r="K45" s="80"/>
      <c r="L45" s="98" t="s">
        <v>97</v>
      </c>
      <c r="M45" s="80"/>
      <c r="N45" s="98" t="s">
        <v>98</v>
      </c>
      <c r="O45" s="80"/>
      <c r="P45" s="98" t="s">
        <v>97</v>
      </c>
      <c r="Q45" s="80"/>
      <c r="R45" s="98" t="s">
        <v>98</v>
      </c>
      <c r="S45" s="80" t="s">
        <v>303</v>
      </c>
      <c r="T45" s="98" t="s">
        <v>97</v>
      </c>
      <c r="U45" s="80" t="s">
        <v>312</v>
      </c>
    </row>
    <row r="46" spans="1:21" x14ac:dyDescent="0.3">
      <c r="E46" s="78">
        <v>15</v>
      </c>
      <c r="F46" s="98" t="s">
        <v>98</v>
      </c>
      <c r="G46" s="155"/>
      <c r="H46" s="98" t="s">
        <v>97</v>
      </c>
      <c r="I46" s="155"/>
      <c r="J46" s="98" t="s">
        <v>98</v>
      </c>
      <c r="K46" s="155"/>
      <c r="L46" s="98" t="s">
        <v>97</v>
      </c>
      <c r="M46" s="155"/>
      <c r="N46" s="98" t="s">
        <v>98</v>
      </c>
      <c r="O46" s="155"/>
      <c r="P46" s="98" t="s">
        <v>97</v>
      </c>
      <c r="Q46" s="155"/>
      <c r="R46" s="98" t="s">
        <v>98</v>
      </c>
      <c r="S46" s="80" t="s">
        <v>303</v>
      </c>
      <c r="T46" s="98" t="s">
        <v>97</v>
      </c>
      <c r="U46" s="80" t="s">
        <v>314</v>
      </c>
    </row>
    <row r="47" spans="1:21" x14ac:dyDescent="0.3">
      <c r="E47" s="78">
        <v>16</v>
      </c>
      <c r="F47" s="98" t="s">
        <v>98</v>
      </c>
      <c r="G47" s="80"/>
      <c r="H47" s="98" t="s">
        <v>97</v>
      </c>
      <c r="I47" s="80"/>
      <c r="J47" s="98" t="s">
        <v>98</v>
      </c>
      <c r="K47" s="80"/>
      <c r="L47" s="98" t="s">
        <v>97</v>
      </c>
      <c r="M47" s="80"/>
      <c r="N47" s="98" t="s">
        <v>98</v>
      </c>
      <c r="O47" s="80"/>
      <c r="P47" s="98" t="s">
        <v>97</v>
      </c>
      <c r="Q47" s="80"/>
      <c r="R47" s="98" t="s">
        <v>98</v>
      </c>
      <c r="S47" s="80" t="s">
        <v>303</v>
      </c>
      <c r="T47" s="98" t="s">
        <v>97</v>
      </c>
      <c r="U47" s="173" t="s">
        <v>155</v>
      </c>
    </row>
    <row r="48" spans="1:21" x14ac:dyDescent="0.3">
      <c r="E48" s="78">
        <v>17</v>
      </c>
      <c r="F48" s="99" t="s">
        <v>98</v>
      </c>
      <c r="G48" s="85"/>
      <c r="H48" s="99" t="s">
        <v>97</v>
      </c>
      <c r="I48" s="85"/>
      <c r="J48" s="99" t="s">
        <v>98</v>
      </c>
      <c r="K48" s="85"/>
      <c r="L48" s="99" t="s">
        <v>97</v>
      </c>
      <c r="M48" s="85"/>
      <c r="N48" s="99" t="s">
        <v>98</v>
      </c>
      <c r="O48" s="85"/>
      <c r="P48" s="99" t="s">
        <v>97</v>
      </c>
      <c r="Q48" s="85"/>
      <c r="R48" s="99" t="s">
        <v>98</v>
      </c>
      <c r="S48" s="85" t="s">
        <v>303</v>
      </c>
      <c r="T48" s="99" t="s">
        <v>97</v>
      </c>
      <c r="U48" s="175" t="s">
        <v>125</v>
      </c>
    </row>
    <row r="49" spans="4:21" x14ac:dyDescent="0.3">
      <c r="G49" s="292" t="s">
        <v>315</v>
      </c>
      <c r="H49"/>
      <c r="I49"/>
      <c r="J49"/>
      <c r="K49"/>
      <c r="L49"/>
      <c r="M49"/>
      <c r="N49" s="84"/>
      <c r="O49" s="91" t="s">
        <v>128</v>
      </c>
      <c r="P49" s="84"/>
      <c r="Q49"/>
      <c r="R49" s="84"/>
      <c r="S49" s="91" t="s">
        <v>128</v>
      </c>
      <c r="T49" s="84"/>
      <c r="U49" s="91" t="s">
        <v>128</v>
      </c>
    </row>
    <row r="50" spans="4:21" ht="16.2" thickBot="1" x14ac:dyDescent="0.35">
      <c r="D50"/>
      <c r="E50"/>
      <c r="J50"/>
      <c r="K50"/>
    </row>
    <row r="51" spans="4:21" x14ac:dyDescent="0.3">
      <c r="D51" s="101" t="s">
        <v>316</v>
      </c>
      <c r="E51" s="74">
        <v>1</v>
      </c>
      <c r="F51" s="107" t="s">
        <v>70</v>
      </c>
      <c r="G51" s="108" t="s">
        <v>77</v>
      </c>
      <c r="H51" s="156" t="s">
        <v>82</v>
      </c>
      <c r="I51" s="109" t="s">
        <v>86</v>
      </c>
      <c r="J51"/>
      <c r="K51"/>
      <c r="O51"/>
      <c r="P51"/>
      <c r="Q51"/>
    </row>
    <row r="52" spans="4:21" x14ac:dyDescent="0.3">
      <c r="D52"/>
      <c r="E52" s="78">
        <v>2</v>
      </c>
      <c r="F52" s="174" t="s">
        <v>317</v>
      </c>
      <c r="G52" s="167" t="s">
        <v>268</v>
      </c>
      <c r="H52" s="167" t="s">
        <v>313</v>
      </c>
      <c r="I52" s="168" t="s">
        <v>314</v>
      </c>
      <c r="J52"/>
      <c r="K52"/>
      <c r="O52"/>
      <c r="P52"/>
      <c r="Q52"/>
    </row>
    <row r="53" spans="4:21" x14ac:dyDescent="0.3">
      <c r="D53"/>
      <c r="E53" s="78">
        <v>3</v>
      </c>
      <c r="F53" s="166"/>
      <c r="G53" s="169"/>
      <c r="H53" s="169" t="s">
        <v>318</v>
      </c>
      <c r="I53" s="168" t="s">
        <v>318</v>
      </c>
      <c r="J53"/>
      <c r="K53"/>
      <c r="O53"/>
      <c r="P53"/>
      <c r="Q53"/>
    </row>
    <row r="54" spans="4:21" x14ac:dyDescent="0.3">
      <c r="E54" s="78">
        <v>4</v>
      </c>
      <c r="F54" s="166"/>
      <c r="G54" s="169"/>
      <c r="H54" s="169" t="s">
        <v>215</v>
      </c>
      <c r="I54" s="168" t="s">
        <v>215</v>
      </c>
      <c r="J54"/>
      <c r="K54"/>
      <c r="O54"/>
      <c r="P54"/>
      <c r="Q54"/>
    </row>
    <row r="55" spans="4:21" x14ac:dyDescent="0.3">
      <c r="E55" s="78">
        <v>5</v>
      </c>
      <c r="F55" s="166"/>
      <c r="G55" s="169"/>
      <c r="H55" s="169"/>
      <c r="I55" s="168" t="s">
        <v>167</v>
      </c>
      <c r="J55"/>
      <c r="K55"/>
      <c r="O55"/>
      <c r="P55"/>
      <c r="Q55"/>
    </row>
    <row r="56" spans="4:21" x14ac:dyDescent="0.3">
      <c r="E56" s="78">
        <v>6</v>
      </c>
      <c r="F56" s="166"/>
      <c r="G56" s="169"/>
      <c r="H56" s="169"/>
      <c r="I56" s="168" t="s">
        <v>303</v>
      </c>
      <c r="J56"/>
      <c r="K56"/>
      <c r="O56"/>
      <c r="P56"/>
      <c r="Q56"/>
    </row>
    <row r="57" spans="4:21" x14ac:dyDescent="0.3">
      <c r="E57" s="78">
        <v>7</v>
      </c>
      <c r="F57" s="166"/>
      <c r="G57" s="169"/>
      <c r="H57" s="169"/>
      <c r="I57" s="168" t="s">
        <v>281</v>
      </c>
      <c r="J57"/>
      <c r="K57"/>
      <c r="O57"/>
      <c r="P57"/>
      <c r="Q57"/>
    </row>
    <row r="58" spans="4:21" x14ac:dyDescent="0.3">
      <c r="E58" s="78">
        <v>8</v>
      </c>
      <c r="F58" s="166"/>
      <c r="G58" s="169"/>
      <c r="H58" s="169"/>
      <c r="I58" s="168" t="s">
        <v>274</v>
      </c>
      <c r="J58"/>
      <c r="K58"/>
      <c r="O58"/>
      <c r="P58"/>
      <c r="Q58"/>
    </row>
    <row r="59" spans="4:21" x14ac:dyDescent="0.3">
      <c r="E59" s="78">
        <v>9</v>
      </c>
      <c r="F59" s="166"/>
      <c r="G59" s="169"/>
      <c r="H59" s="169"/>
      <c r="I59" s="168" t="s">
        <v>319</v>
      </c>
      <c r="J59"/>
      <c r="K59"/>
      <c r="O59"/>
      <c r="P59"/>
      <c r="Q59"/>
    </row>
    <row r="60" spans="4:21" x14ac:dyDescent="0.3">
      <c r="E60" s="78">
        <v>10</v>
      </c>
      <c r="F60" s="166"/>
      <c r="G60" s="169"/>
      <c r="H60" s="169"/>
      <c r="I60" s="168" t="s">
        <v>270</v>
      </c>
      <c r="J60"/>
      <c r="K60"/>
      <c r="O60"/>
      <c r="P60"/>
      <c r="Q60"/>
    </row>
    <row r="61" spans="4:21" x14ac:dyDescent="0.3">
      <c r="E61" s="78">
        <v>11</v>
      </c>
      <c r="F61" s="166"/>
      <c r="G61" s="169"/>
      <c r="H61" s="169"/>
      <c r="I61" s="168" t="s">
        <v>320</v>
      </c>
      <c r="J61"/>
      <c r="K61"/>
      <c r="O61"/>
      <c r="P61"/>
      <c r="Q61"/>
    </row>
    <row r="62" spans="4:21" x14ac:dyDescent="0.3">
      <c r="E62" s="78">
        <v>12</v>
      </c>
      <c r="F62" s="166"/>
      <c r="G62" s="169"/>
      <c r="H62" s="169"/>
      <c r="I62" s="168" t="s">
        <v>321</v>
      </c>
      <c r="J62"/>
      <c r="K62"/>
      <c r="O62"/>
      <c r="P62"/>
      <c r="Q62"/>
    </row>
    <row r="63" spans="4:21" x14ac:dyDescent="0.3">
      <c r="E63" s="78">
        <v>13</v>
      </c>
      <c r="F63" s="166"/>
      <c r="G63" s="169"/>
      <c r="H63" s="169"/>
      <c r="I63" s="168" t="s">
        <v>322</v>
      </c>
      <c r="J63"/>
      <c r="K63"/>
      <c r="O63"/>
      <c r="P63"/>
      <c r="Q63"/>
    </row>
    <row r="64" spans="4:21" x14ac:dyDescent="0.3">
      <c r="E64" s="78">
        <v>14</v>
      </c>
      <c r="F64" s="166"/>
      <c r="G64" s="169"/>
      <c r="H64" s="169"/>
      <c r="I64" s="168" t="s">
        <v>323</v>
      </c>
      <c r="J64"/>
      <c r="K64"/>
    </row>
    <row r="65" spans="1:31" ht="16.2" thickBot="1" x14ac:dyDescent="0.35">
      <c r="E65" s="78">
        <v>15</v>
      </c>
      <c r="F65" s="170"/>
      <c r="G65" s="171"/>
      <c r="H65" s="171"/>
      <c r="I65" s="172"/>
      <c r="J65"/>
      <c r="K65"/>
    </row>
    <row r="66" spans="1:31" ht="16.2" thickBot="1" x14ac:dyDescent="0.35">
      <c r="A66" s="290"/>
      <c r="B66" s="287"/>
      <c r="C66" s="287"/>
      <c r="D66" s="286"/>
      <c r="E66" s="286"/>
      <c r="F66" s="289"/>
      <c r="G66" s="289"/>
      <c r="H66" s="289"/>
      <c r="I66" s="289"/>
      <c r="J66" s="286"/>
      <c r="K66" s="286"/>
      <c r="L66" s="289"/>
      <c r="M66" s="289"/>
      <c r="N66" s="289"/>
      <c r="O66" s="289"/>
      <c r="P66" s="289"/>
      <c r="Q66" s="289"/>
      <c r="R66" s="289"/>
      <c r="S66" s="289"/>
      <c r="T66" s="289"/>
      <c r="U66" s="289"/>
      <c r="V66" s="289"/>
      <c r="W66" s="289"/>
      <c r="X66" s="289"/>
      <c r="Y66" s="289"/>
      <c r="Z66" s="289"/>
      <c r="AA66" s="289"/>
      <c r="AB66" s="289"/>
      <c r="AC66" s="289"/>
      <c r="AD66" s="289"/>
      <c r="AE66" s="289"/>
    </row>
    <row r="67" spans="1:31" x14ac:dyDescent="0.3">
      <c r="D67"/>
      <c r="E67"/>
      <c r="J67"/>
      <c r="K67"/>
    </row>
    <row r="68" spans="1:31" x14ac:dyDescent="0.3">
      <c r="A68" s="257" t="s">
        <v>324</v>
      </c>
      <c r="B68" s="217"/>
      <c r="C68" s="217"/>
      <c r="D68" s="258" t="s">
        <v>325</v>
      </c>
      <c r="E68" s="259">
        <v>1</v>
      </c>
      <c r="F68" s="260"/>
      <c r="G68" s="261" t="s">
        <v>326</v>
      </c>
      <c r="H68" s="260"/>
      <c r="I68" s="261" t="s">
        <v>327</v>
      </c>
      <c r="J68" s="260"/>
      <c r="K68" s="261" t="s">
        <v>328</v>
      </c>
      <c r="L68" s="260"/>
      <c r="M68" s="261" t="s">
        <v>329</v>
      </c>
      <c r="N68" s="260"/>
      <c r="O68" s="261" t="s">
        <v>330</v>
      </c>
      <c r="P68" s="260"/>
      <c r="Q68" s="261" t="s">
        <v>331</v>
      </c>
      <c r="R68"/>
      <c r="S68"/>
      <c r="T68"/>
      <c r="U68"/>
    </row>
    <row r="69" spans="1:31" x14ac:dyDescent="0.3">
      <c r="A69" s="262" t="s">
        <v>105</v>
      </c>
      <c r="B69" s="217" t="s">
        <v>106</v>
      </c>
      <c r="C69" s="217"/>
      <c r="D69" s="89"/>
      <c r="E69" s="259">
        <v>2</v>
      </c>
      <c r="F69" s="263" t="s">
        <v>55</v>
      </c>
      <c r="G69" s="264" t="s">
        <v>332</v>
      </c>
      <c r="H69" s="263" t="s">
        <v>57</v>
      </c>
      <c r="I69" s="264" t="s">
        <v>332</v>
      </c>
      <c r="J69" s="263" t="s">
        <v>55</v>
      </c>
      <c r="K69" s="264" t="s">
        <v>332</v>
      </c>
      <c r="L69" s="263" t="s">
        <v>57</v>
      </c>
      <c r="M69" s="264" t="s">
        <v>332</v>
      </c>
      <c r="N69" s="263" t="s">
        <v>55</v>
      </c>
      <c r="O69" s="264" t="s">
        <v>333</v>
      </c>
      <c r="P69" s="263" t="s">
        <v>57</v>
      </c>
      <c r="Q69" s="264" t="s">
        <v>333</v>
      </c>
      <c r="R69"/>
      <c r="S69"/>
      <c r="T69"/>
      <c r="U69"/>
    </row>
    <row r="70" spans="1:31" x14ac:dyDescent="0.3">
      <c r="A70" s="262" t="s">
        <v>109</v>
      </c>
      <c r="B70" s="217" t="s">
        <v>110</v>
      </c>
      <c r="C70" s="217"/>
      <c r="D70" s="89"/>
      <c r="E70" s="259">
        <v>3</v>
      </c>
      <c r="F70" s="265" t="s">
        <v>55</v>
      </c>
      <c r="G70" s="266" t="s">
        <v>333</v>
      </c>
      <c r="H70" s="265" t="s">
        <v>57</v>
      </c>
      <c r="I70" s="266" t="s">
        <v>333</v>
      </c>
      <c r="J70" s="265" t="s">
        <v>55</v>
      </c>
      <c r="K70" s="266" t="s">
        <v>333</v>
      </c>
      <c r="L70" s="265" t="s">
        <v>57</v>
      </c>
      <c r="M70" s="266" t="s">
        <v>333</v>
      </c>
      <c r="N70" s="265" t="s">
        <v>55</v>
      </c>
      <c r="O70" s="266" t="s">
        <v>333</v>
      </c>
      <c r="P70" s="265" t="s">
        <v>57</v>
      </c>
      <c r="Q70" s="266" t="s">
        <v>333</v>
      </c>
      <c r="R70"/>
      <c r="S70"/>
      <c r="T70"/>
      <c r="U70"/>
    </row>
    <row r="71" spans="1:31" x14ac:dyDescent="0.3">
      <c r="A71" s="267" t="s">
        <v>111</v>
      </c>
      <c r="B71" s="217" t="s">
        <v>112</v>
      </c>
      <c r="C71" s="217"/>
      <c r="D71" s="89"/>
      <c r="E71" s="259">
        <v>4</v>
      </c>
      <c r="F71" s="265" t="s">
        <v>55</v>
      </c>
      <c r="G71" s="266" t="s">
        <v>333</v>
      </c>
      <c r="H71" s="265" t="s">
        <v>57</v>
      </c>
      <c r="I71" s="266" t="s">
        <v>333</v>
      </c>
      <c r="J71" s="265" t="s">
        <v>55</v>
      </c>
      <c r="K71" s="266" t="s">
        <v>333</v>
      </c>
      <c r="L71" s="265" t="s">
        <v>57</v>
      </c>
      <c r="M71" s="266" t="s">
        <v>333</v>
      </c>
      <c r="N71" s="265" t="s">
        <v>55</v>
      </c>
      <c r="O71" s="268" t="s">
        <v>181</v>
      </c>
      <c r="P71" s="265" t="s">
        <v>57</v>
      </c>
      <c r="Q71" s="268" t="s">
        <v>181</v>
      </c>
      <c r="R71"/>
      <c r="S71"/>
      <c r="T71"/>
      <c r="U71"/>
    </row>
    <row r="72" spans="1:31" x14ac:dyDescent="0.3">
      <c r="A72" s="217"/>
      <c r="B72" s="217"/>
      <c r="C72" s="217"/>
      <c r="D72" s="89"/>
      <c r="E72" s="259">
        <v>5</v>
      </c>
      <c r="F72" s="265" t="s">
        <v>55</v>
      </c>
      <c r="G72" s="266" t="s">
        <v>333</v>
      </c>
      <c r="H72" s="265" t="s">
        <v>57</v>
      </c>
      <c r="I72" s="266" t="s">
        <v>333</v>
      </c>
      <c r="J72" s="265" t="s">
        <v>55</v>
      </c>
      <c r="K72" s="266" t="s">
        <v>333</v>
      </c>
      <c r="L72" s="265" t="s">
        <v>57</v>
      </c>
      <c r="M72" s="266" t="s">
        <v>333</v>
      </c>
      <c r="N72" s="265" t="s">
        <v>55</v>
      </c>
      <c r="O72" s="268" t="s">
        <v>125</v>
      </c>
      <c r="P72" s="265" t="s">
        <v>57</v>
      </c>
      <c r="Q72" s="268" t="s">
        <v>125</v>
      </c>
      <c r="R72"/>
      <c r="S72"/>
      <c r="T72"/>
      <c r="U72"/>
    </row>
    <row r="73" spans="1:31" x14ac:dyDescent="0.3">
      <c r="A73" s="217"/>
      <c r="B73" s="217"/>
      <c r="C73" s="217"/>
      <c r="D73" s="89"/>
      <c r="E73" s="259">
        <v>6</v>
      </c>
      <c r="F73" s="265" t="s">
        <v>57</v>
      </c>
      <c r="G73" s="269"/>
      <c r="H73" s="265" t="s">
        <v>55</v>
      </c>
      <c r="I73" s="266"/>
      <c r="J73" s="265" t="s">
        <v>57</v>
      </c>
      <c r="K73" s="266" t="s">
        <v>333</v>
      </c>
      <c r="L73" s="265" t="s">
        <v>55</v>
      </c>
      <c r="M73" s="266" t="s">
        <v>333</v>
      </c>
      <c r="N73" s="265" t="s">
        <v>57</v>
      </c>
      <c r="O73" s="266" t="s">
        <v>332</v>
      </c>
      <c r="P73" s="265" t="s">
        <v>55</v>
      </c>
      <c r="Q73" s="266" t="s">
        <v>332</v>
      </c>
      <c r="R73"/>
      <c r="S73"/>
      <c r="T73"/>
      <c r="U73"/>
    </row>
    <row r="74" spans="1:31" x14ac:dyDescent="0.3">
      <c r="A74" s="196" t="s">
        <v>334</v>
      </c>
      <c r="B74" s="217"/>
      <c r="C74" s="217"/>
      <c r="D74" s="89"/>
      <c r="E74" s="259">
        <v>7</v>
      </c>
      <c r="F74" s="265" t="s">
        <v>57</v>
      </c>
      <c r="G74" s="266"/>
      <c r="H74" s="265" t="s">
        <v>55</v>
      </c>
      <c r="I74" s="266"/>
      <c r="J74" s="265" t="s">
        <v>57</v>
      </c>
      <c r="K74" s="266" t="s">
        <v>333</v>
      </c>
      <c r="L74" s="265" t="s">
        <v>55</v>
      </c>
      <c r="M74" s="266" t="s">
        <v>333</v>
      </c>
      <c r="N74" s="265" t="s">
        <v>57</v>
      </c>
      <c r="O74" s="266" t="s">
        <v>333</v>
      </c>
      <c r="P74" s="265" t="s">
        <v>55</v>
      </c>
      <c r="Q74" s="266" t="s">
        <v>333</v>
      </c>
      <c r="R74"/>
      <c r="S74"/>
      <c r="T74"/>
      <c r="U74"/>
    </row>
    <row r="75" spans="1:31" x14ac:dyDescent="0.3">
      <c r="A75" s="217"/>
      <c r="B75" s="217"/>
      <c r="C75" s="217"/>
      <c r="D75" s="89"/>
      <c r="E75" s="259">
        <v>8</v>
      </c>
      <c r="F75" s="265" t="s">
        <v>57</v>
      </c>
      <c r="G75" s="266"/>
      <c r="H75" s="265" t="s">
        <v>55</v>
      </c>
      <c r="I75" s="266"/>
      <c r="J75" s="265" t="s">
        <v>57</v>
      </c>
      <c r="K75" s="266" t="s">
        <v>333</v>
      </c>
      <c r="L75" s="265" t="s">
        <v>55</v>
      </c>
      <c r="M75" s="266" t="s">
        <v>333</v>
      </c>
      <c r="N75" s="265" t="s">
        <v>57</v>
      </c>
      <c r="O75" s="266" t="s">
        <v>333</v>
      </c>
      <c r="P75" s="265" t="s">
        <v>55</v>
      </c>
      <c r="Q75" s="266" t="s">
        <v>333</v>
      </c>
      <c r="R75"/>
      <c r="S75"/>
      <c r="T75"/>
      <c r="U75"/>
    </row>
    <row r="76" spans="1:31" x14ac:dyDescent="0.3">
      <c r="A76" s="217"/>
      <c r="B76" s="217"/>
      <c r="C76" s="217"/>
      <c r="D76" s="89"/>
      <c r="E76" s="259">
        <v>9</v>
      </c>
      <c r="F76" s="265" t="s">
        <v>57</v>
      </c>
      <c r="G76" s="266"/>
      <c r="H76" s="270" t="s">
        <v>55</v>
      </c>
      <c r="I76" s="266"/>
      <c r="J76" s="265" t="s">
        <v>57</v>
      </c>
      <c r="K76" s="266" t="s">
        <v>333</v>
      </c>
      <c r="L76" s="270" t="s">
        <v>55</v>
      </c>
      <c r="M76" s="266" t="s">
        <v>333</v>
      </c>
      <c r="N76" s="265" t="s">
        <v>57</v>
      </c>
      <c r="O76" s="266" t="s">
        <v>333</v>
      </c>
      <c r="P76" s="270" t="s">
        <v>55</v>
      </c>
      <c r="Q76" s="266" t="s">
        <v>333</v>
      </c>
      <c r="R76"/>
      <c r="S76"/>
      <c r="T76"/>
      <c r="U76"/>
    </row>
    <row r="77" spans="1:31" x14ac:dyDescent="0.3">
      <c r="A77" s="217"/>
      <c r="B77" s="217"/>
      <c r="C77" s="217"/>
      <c r="D77" s="89"/>
      <c r="E77" s="259">
        <v>10</v>
      </c>
      <c r="F77" s="263" t="s">
        <v>97</v>
      </c>
      <c r="G77" s="264"/>
      <c r="H77" s="265" t="s">
        <v>98</v>
      </c>
      <c r="I77" s="264"/>
      <c r="J77" s="263" t="s">
        <v>97</v>
      </c>
      <c r="K77" s="264"/>
      <c r="L77" s="265" t="s">
        <v>98</v>
      </c>
      <c r="M77" s="264"/>
      <c r="N77" s="263" t="s">
        <v>97</v>
      </c>
      <c r="O77" s="264" t="s">
        <v>333</v>
      </c>
      <c r="P77" s="265" t="s">
        <v>98</v>
      </c>
      <c r="Q77" s="264" t="s">
        <v>333</v>
      </c>
      <c r="R77"/>
      <c r="S77"/>
      <c r="T77"/>
      <c r="U77"/>
    </row>
    <row r="78" spans="1:31" x14ac:dyDescent="0.3">
      <c r="A78" s="217"/>
      <c r="B78" s="217"/>
      <c r="C78" s="217"/>
      <c r="D78" s="89"/>
      <c r="E78" s="259">
        <v>11</v>
      </c>
      <c r="F78" s="265" t="s">
        <v>97</v>
      </c>
      <c r="G78" s="266"/>
      <c r="H78" s="265" t="s">
        <v>98</v>
      </c>
      <c r="I78" s="266"/>
      <c r="J78" s="265" t="s">
        <v>97</v>
      </c>
      <c r="K78" s="266"/>
      <c r="L78" s="265" t="s">
        <v>98</v>
      </c>
      <c r="M78" s="266"/>
      <c r="N78" s="265" t="s">
        <v>97</v>
      </c>
      <c r="O78" s="266" t="s">
        <v>333</v>
      </c>
      <c r="P78" s="265" t="s">
        <v>98</v>
      </c>
      <c r="Q78" s="266" t="s">
        <v>333</v>
      </c>
      <c r="R78"/>
      <c r="S78"/>
      <c r="T78"/>
      <c r="U78"/>
    </row>
    <row r="79" spans="1:31" x14ac:dyDescent="0.3">
      <c r="A79" s="217"/>
      <c r="B79" s="217"/>
      <c r="C79" s="217"/>
      <c r="D79" s="89"/>
      <c r="E79" s="259">
        <v>12</v>
      </c>
      <c r="F79" s="265" t="s">
        <v>97</v>
      </c>
      <c r="G79" s="266"/>
      <c r="H79" s="265" t="s">
        <v>98</v>
      </c>
      <c r="I79" s="266"/>
      <c r="J79" s="265" t="s">
        <v>97</v>
      </c>
      <c r="K79" s="266"/>
      <c r="L79" s="265" t="s">
        <v>98</v>
      </c>
      <c r="M79" s="266"/>
      <c r="N79" s="265" t="s">
        <v>97</v>
      </c>
      <c r="O79" s="268" t="s">
        <v>161</v>
      </c>
      <c r="P79" s="265" t="s">
        <v>98</v>
      </c>
      <c r="Q79" s="268" t="s">
        <v>161</v>
      </c>
      <c r="R79"/>
      <c r="S79"/>
      <c r="T79"/>
      <c r="U79"/>
    </row>
    <row r="80" spans="1:31" x14ac:dyDescent="0.3">
      <c r="A80" s="217"/>
      <c r="B80" s="217"/>
      <c r="C80" s="217"/>
      <c r="D80" s="89"/>
      <c r="E80" s="259">
        <v>13</v>
      </c>
      <c r="F80" s="265" t="s">
        <v>97</v>
      </c>
      <c r="G80" s="266"/>
      <c r="H80" s="265" t="s">
        <v>98</v>
      </c>
      <c r="I80" s="266"/>
      <c r="J80" s="265" t="s">
        <v>97</v>
      </c>
      <c r="K80" s="266"/>
      <c r="L80" s="265" t="s">
        <v>98</v>
      </c>
      <c r="M80" s="266"/>
      <c r="N80" s="265" t="s">
        <v>97</v>
      </c>
      <c r="O80" s="268" t="s">
        <v>125</v>
      </c>
      <c r="P80" s="265" t="s">
        <v>98</v>
      </c>
      <c r="Q80" s="268" t="s">
        <v>125</v>
      </c>
      <c r="R80"/>
      <c r="S80"/>
      <c r="T80"/>
      <c r="U80"/>
    </row>
    <row r="81" spans="1:21" x14ac:dyDescent="0.3">
      <c r="A81" s="217"/>
      <c r="B81" s="217"/>
      <c r="C81" s="217"/>
      <c r="D81" s="89"/>
      <c r="E81" s="259">
        <v>14</v>
      </c>
      <c r="F81" s="265" t="s">
        <v>98</v>
      </c>
      <c r="G81" s="266"/>
      <c r="H81" s="265" t="s">
        <v>97</v>
      </c>
      <c r="I81" s="266"/>
      <c r="J81" s="265" t="s">
        <v>98</v>
      </c>
      <c r="K81" s="266"/>
      <c r="L81" s="265" t="s">
        <v>97</v>
      </c>
      <c r="M81" s="266"/>
      <c r="N81" s="265" t="s">
        <v>98</v>
      </c>
      <c r="O81" s="266"/>
      <c r="P81" s="265" t="s">
        <v>97</v>
      </c>
      <c r="Q81" s="266"/>
      <c r="R81"/>
      <c r="S81"/>
      <c r="T81"/>
      <c r="U81"/>
    </row>
    <row r="82" spans="1:21" x14ac:dyDescent="0.3">
      <c r="A82" s="217"/>
      <c r="B82" s="217"/>
      <c r="C82" s="217"/>
      <c r="D82" s="89"/>
      <c r="E82" s="259">
        <v>15</v>
      </c>
      <c r="F82" s="265" t="s">
        <v>98</v>
      </c>
      <c r="G82" s="271"/>
      <c r="H82" s="265" t="s">
        <v>97</v>
      </c>
      <c r="I82" s="271"/>
      <c r="J82" s="265" t="s">
        <v>98</v>
      </c>
      <c r="K82" s="271"/>
      <c r="L82" s="265" t="s">
        <v>97</v>
      </c>
      <c r="M82" s="271"/>
      <c r="N82" s="265" t="s">
        <v>98</v>
      </c>
      <c r="O82" s="271"/>
      <c r="P82" s="265" t="s">
        <v>97</v>
      </c>
      <c r="Q82" s="271"/>
      <c r="R82"/>
      <c r="S82"/>
      <c r="T82"/>
      <c r="U82"/>
    </row>
    <row r="83" spans="1:21" x14ac:dyDescent="0.3">
      <c r="A83" s="217"/>
      <c r="B83" s="217"/>
      <c r="C83" s="217"/>
      <c r="D83" s="89"/>
      <c r="E83" s="259">
        <v>16</v>
      </c>
      <c r="F83" s="265" t="s">
        <v>98</v>
      </c>
      <c r="G83" s="266"/>
      <c r="H83" s="265" t="s">
        <v>97</v>
      </c>
      <c r="I83" s="266"/>
      <c r="J83" s="265" t="s">
        <v>98</v>
      </c>
      <c r="K83" s="266"/>
      <c r="L83" s="265" t="s">
        <v>97</v>
      </c>
      <c r="M83" s="266"/>
      <c r="N83" s="265" t="s">
        <v>98</v>
      </c>
      <c r="O83" s="266"/>
      <c r="P83" s="265" t="s">
        <v>97</v>
      </c>
      <c r="Q83" s="266"/>
      <c r="R83"/>
      <c r="S83"/>
      <c r="T83"/>
      <c r="U83"/>
    </row>
    <row r="84" spans="1:21" x14ac:dyDescent="0.3">
      <c r="A84" s="217"/>
      <c r="B84" s="217"/>
      <c r="C84" s="217"/>
      <c r="D84" s="89"/>
      <c r="E84" s="259">
        <v>17</v>
      </c>
      <c r="F84" s="270" t="s">
        <v>98</v>
      </c>
      <c r="G84" s="272"/>
      <c r="H84" s="270" t="s">
        <v>97</v>
      </c>
      <c r="I84" s="272"/>
      <c r="J84" s="270" t="s">
        <v>98</v>
      </c>
      <c r="K84" s="272"/>
      <c r="L84" s="270" t="s">
        <v>97</v>
      </c>
      <c r="M84" s="272"/>
      <c r="N84" s="270" t="s">
        <v>98</v>
      </c>
      <c r="O84" s="272"/>
      <c r="P84" s="270" t="s">
        <v>97</v>
      </c>
      <c r="Q84" s="272"/>
      <c r="R84"/>
      <c r="S84"/>
      <c r="T84"/>
      <c r="U84"/>
    </row>
    <row r="85" spans="1:21" x14ac:dyDescent="0.3">
      <c r="A85" s="217"/>
      <c r="B85" s="217"/>
      <c r="C85" s="217"/>
      <c r="D85" s="89"/>
      <c r="E85" s="273"/>
      <c r="F85" s="273"/>
      <c r="G85" s="217"/>
      <c r="H85" s="217"/>
      <c r="I85" s="217"/>
      <c r="J85" s="217"/>
      <c r="K85" s="217"/>
      <c r="L85" s="217"/>
      <c r="M85" s="217"/>
      <c r="N85" s="259"/>
      <c r="O85" s="274" t="s">
        <v>128</v>
      </c>
      <c r="P85" s="259"/>
      <c r="Q85" s="274" t="s">
        <v>128</v>
      </c>
      <c r="R85" s="84"/>
      <c r="S85"/>
      <c r="T85"/>
      <c r="U85"/>
    </row>
    <row r="86" spans="1:21" ht="16.2" thickBot="1" x14ac:dyDescent="0.35">
      <c r="A86" s="217"/>
      <c r="B86" s="217"/>
      <c r="C86" s="217"/>
      <c r="D86" s="89"/>
      <c r="E86" s="273"/>
      <c r="F86" s="273"/>
      <c r="G86" s="259"/>
      <c r="H86" s="259"/>
      <c r="I86" s="259"/>
      <c r="J86" s="217"/>
      <c r="K86" s="217"/>
      <c r="L86" s="217"/>
      <c r="M86" s="259"/>
      <c r="N86" s="217"/>
      <c r="O86" s="217"/>
      <c r="P86" s="217"/>
      <c r="Q86" s="217"/>
      <c r="R86"/>
      <c r="S86"/>
      <c r="T86"/>
      <c r="U86"/>
    </row>
    <row r="87" spans="1:21" x14ac:dyDescent="0.3">
      <c r="A87" s="217"/>
      <c r="B87" s="217"/>
      <c r="C87" s="217"/>
      <c r="D87" s="258" t="s">
        <v>335</v>
      </c>
      <c r="E87" s="259">
        <v>1</v>
      </c>
      <c r="F87" s="275" t="s">
        <v>106</v>
      </c>
      <c r="G87" s="276" t="s">
        <v>110</v>
      </c>
      <c r="H87" s="277" t="s">
        <v>112</v>
      </c>
      <c r="I87" s="217"/>
      <c r="J87" s="259"/>
      <c r="K87" s="259"/>
      <c r="L87" s="217"/>
      <c r="M87" s="217"/>
      <c r="N87" s="217"/>
      <c r="O87" s="217"/>
      <c r="P87" s="217"/>
      <c r="Q87" s="217"/>
      <c r="R87"/>
      <c r="S87"/>
      <c r="T87"/>
    </row>
    <row r="88" spans="1:21" x14ac:dyDescent="0.3">
      <c r="A88" s="217"/>
      <c r="B88" s="217"/>
      <c r="C88" s="217"/>
      <c r="D88" s="217"/>
      <c r="E88" s="259">
        <v>2</v>
      </c>
      <c r="F88" s="278" t="s">
        <v>332</v>
      </c>
      <c r="G88" s="279" t="s">
        <v>332</v>
      </c>
      <c r="H88" s="280" t="s">
        <v>332</v>
      </c>
      <c r="I88" s="217"/>
      <c r="J88" s="259"/>
      <c r="K88" s="259"/>
      <c r="L88" s="259"/>
      <c r="M88" s="259"/>
      <c r="N88" s="259"/>
      <c r="O88" s="259"/>
      <c r="P88" s="259"/>
      <c r="Q88" s="259"/>
      <c r="R88" s="84"/>
      <c r="S88" s="74"/>
    </row>
    <row r="89" spans="1:21" x14ac:dyDescent="0.3">
      <c r="A89" s="217"/>
      <c r="B89" s="217"/>
      <c r="C89" s="217"/>
      <c r="D89" s="217"/>
      <c r="E89" s="259">
        <v>3</v>
      </c>
      <c r="F89" s="278" t="s">
        <v>156</v>
      </c>
      <c r="G89" s="281" t="s">
        <v>156</v>
      </c>
      <c r="H89" s="280" t="s">
        <v>156</v>
      </c>
      <c r="I89" s="217"/>
      <c r="J89" s="259"/>
      <c r="K89" s="259"/>
      <c r="L89" s="259"/>
      <c r="M89" s="259"/>
      <c r="N89" s="259"/>
      <c r="O89" s="259"/>
      <c r="P89" s="259"/>
      <c r="Q89" s="259"/>
      <c r="R89" s="84"/>
      <c r="S89" s="74"/>
    </row>
    <row r="90" spans="1:21" x14ac:dyDescent="0.3">
      <c r="A90" s="217"/>
      <c r="B90" s="217"/>
      <c r="C90" s="217"/>
      <c r="D90" s="89"/>
      <c r="E90" s="259">
        <v>4</v>
      </c>
      <c r="F90" s="278" t="s">
        <v>162</v>
      </c>
      <c r="G90" s="281" t="s">
        <v>162</v>
      </c>
      <c r="H90" s="280" t="s">
        <v>162</v>
      </c>
      <c r="I90" s="217"/>
      <c r="J90" s="259"/>
      <c r="K90" s="273"/>
      <c r="L90" s="273"/>
      <c r="M90" s="273"/>
      <c r="N90" s="273"/>
      <c r="O90" s="273"/>
      <c r="P90" s="273"/>
      <c r="Q90" s="89"/>
      <c r="R90" s="64"/>
      <c r="S90" s="64"/>
    </row>
    <row r="91" spans="1:21" x14ac:dyDescent="0.3">
      <c r="A91" s="217"/>
      <c r="B91" s="217"/>
      <c r="C91" s="217"/>
      <c r="D91" s="89"/>
      <c r="E91" s="259">
        <v>5</v>
      </c>
      <c r="F91" s="278" t="s">
        <v>167</v>
      </c>
      <c r="G91" s="281" t="s">
        <v>167</v>
      </c>
      <c r="H91" s="280" t="s">
        <v>167</v>
      </c>
      <c r="I91" s="217"/>
      <c r="J91" s="273"/>
      <c r="K91" s="273"/>
      <c r="L91" s="273"/>
      <c r="M91" s="273"/>
      <c r="N91" s="273"/>
      <c r="O91" s="273"/>
      <c r="P91" s="273"/>
      <c r="Q91" s="89"/>
      <c r="R91" s="64"/>
      <c r="S91" s="64"/>
    </row>
    <row r="92" spans="1:21" x14ac:dyDescent="0.3">
      <c r="A92" s="217"/>
      <c r="B92" s="217"/>
      <c r="C92" s="217"/>
      <c r="D92" s="89"/>
      <c r="E92" s="259">
        <v>6</v>
      </c>
      <c r="F92" s="278" t="s">
        <v>333</v>
      </c>
      <c r="G92" s="281" t="s">
        <v>333</v>
      </c>
      <c r="H92" s="280" t="s">
        <v>333</v>
      </c>
      <c r="I92" s="217"/>
      <c r="J92" s="259"/>
      <c r="K92" s="259"/>
      <c r="L92" s="273"/>
      <c r="M92" s="273"/>
      <c r="N92" s="273"/>
      <c r="O92" s="273"/>
      <c r="P92" s="273"/>
      <c r="Q92" s="89"/>
      <c r="R92" s="64"/>
      <c r="S92" s="64"/>
    </row>
    <row r="93" spans="1:21" x14ac:dyDescent="0.3">
      <c r="A93" s="217"/>
      <c r="B93" s="217"/>
      <c r="C93" s="217"/>
      <c r="D93" s="89"/>
      <c r="E93" s="259">
        <v>7</v>
      </c>
      <c r="F93" s="278" t="s">
        <v>156</v>
      </c>
      <c r="G93" s="281" t="s">
        <v>156</v>
      </c>
      <c r="H93" s="280" t="s">
        <v>212</v>
      </c>
      <c r="I93" s="217"/>
      <c r="J93" s="259"/>
      <c r="K93" s="259"/>
      <c r="L93" s="273"/>
      <c r="M93" s="273"/>
      <c r="N93" s="273"/>
      <c r="O93" s="273"/>
      <c r="P93" s="273"/>
      <c r="Q93" s="89"/>
      <c r="R93" s="64"/>
      <c r="S93" s="64"/>
    </row>
    <row r="94" spans="1:21" x14ac:dyDescent="0.3">
      <c r="A94" s="217"/>
      <c r="B94" s="217"/>
      <c r="C94" s="217"/>
      <c r="D94" s="89"/>
      <c r="E94" s="259">
        <v>8</v>
      </c>
      <c r="F94" s="278" t="s">
        <v>162</v>
      </c>
      <c r="G94" s="281" t="s">
        <v>162</v>
      </c>
      <c r="H94" s="280" t="s">
        <v>215</v>
      </c>
      <c r="I94" s="217"/>
      <c r="J94" s="217"/>
      <c r="K94" s="273"/>
      <c r="L94" s="273"/>
      <c r="M94" s="273"/>
      <c r="N94" s="273"/>
      <c r="O94" s="273"/>
      <c r="P94" s="273"/>
      <c r="Q94" s="273"/>
      <c r="R94" s="64"/>
      <c r="S94" s="64"/>
      <c r="T94" s="64"/>
    </row>
    <row r="95" spans="1:21" x14ac:dyDescent="0.3">
      <c r="A95" s="282"/>
      <c r="B95" s="89"/>
      <c r="C95" s="89"/>
      <c r="D95" s="89"/>
      <c r="E95" s="259">
        <v>9</v>
      </c>
      <c r="F95" s="278" t="s">
        <v>212</v>
      </c>
      <c r="G95" s="281" t="s">
        <v>212</v>
      </c>
      <c r="H95" s="280" t="s">
        <v>182</v>
      </c>
      <c r="I95" s="273"/>
      <c r="J95" s="273"/>
      <c r="K95" s="273"/>
      <c r="L95" s="273"/>
      <c r="M95" s="273"/>
      <c r="N95" s="273"/>
      <c r="O95" s="273"/>
      <c r="P95" s="273"/>
      <c r="Q95" s="273"/>
    </row>
    <row r="96" spans="1:21" x14ac:dyDescent="0.3">
      <c r="A96" s="282"/>
      <c r="B96" s="89"/>
      <c r="C96" s="89"/>
      <c r="D96" s="89"/>
      <c r="E96" s="259">
        <v>10</v>
      </c>
      <c r="F96" s="278" t="s">
        <v>215</v>
      </c>
      <c r="G96" s="281" t="s">
        <v>215</v>
      </c>
      <c r="H96" s="280" t="s">
        <v>223</v>
      </c>
      <c r="I96" s="273"/>
      <c r="J96" s="273"/>
      <c r="K96" s="273"/>
      <c r="L96" s="273"/>
      <c r="M96" s="273"/>
      <c r="N96" s="273"/>
      <c r="O96" s="273"/>
      <c r="P96" s="273"/>
      <c r="Q96" s="273"/>
    </row>
    <row r="97" spans="1:31" x14ac:dyDescent="0.3">
      <c r="A97" s="282"/>
      <c r="B97" s="89"/>
      <c r="C97" s="89"/>
      <c r="D97" s="89"/>
      <c r="E97" s="259">
        <v>11</v>
      </c>
      <c r="F97" s="278" t="s">
        <v>182</v>
      </c>
      <c r="G97" s="281" t="s">
        <v>182</v>
      </c>
      <c r="H97" s="280" t="s">
        <v>227</v>
      </c>
      <c r="I97" s="273"/>
      <c r="J97" s="273"/>
      <c r="K97" s="273"/>
      <c r="L97" s="273"/>
      <c r="M97" s="273"/>
      <c r="N97" s="273"/>
      <c r="O97" s="273"/>
      <c r="P97" s="273"/>
      <c r="Q97" s="273"/>
    </row>
    <row r="98" spans="1:31" x14ac:dyDescent="0.3">
      <c r="A98" s="282"/>
      <c r="B98" s="89"/>
      <c r="C98" s="89"/>
      <c r="D98" s="89"/>
      <c r="E98" s="259">
        <v>12</v>
      </c>
      <c r="F98" s="278" t="s">
        <v>223</v>
      </c>
      <c r="G98" s="281" t="s">
        <v>223</v>
      </c>
      <c r="H98" s="280" t="s">
        <v>229</v>
      </c>
      <c r="I98" s="273"/>
      <c r="J98" s="273"/>
      <c r="K98" s="273"/>
      <c r="L98" s="273"/>
      <c r="M98" s="273"/>
      <c r="N98" s="273"/>
      <c r="O98" s="273"/>
      <c r="P98" s="273"/>
      <c r="Q98" s="273"/>
    </row>
    <row r="99" spans="1:31" x14ac:dyDescent="0.3">
      <c r="A99" s="282"/>
      <c r="B99" s="89"/>
      <c r="C99" s="89"/>
      <c r="D99" s="89"/>
      <c r="E99" s="259">
        <v>13</v>
      </c>
      <c r="F99" s="278" t="s">
        <v>227</v>
      </c>
      <c r="G99" s="281" t="s">
        <v>227</v>
      </c>
      <c r="H99" s="280" t="s">
        <v>164</v>
      </c>
      <c r="I99" s="273"/>
      <c r="J99" s="273"/>
      <c r="K99" s="273"/>
      <c r="L99" s="273"/>
      <c r="M99" s="273"/>
      <c r="N99" s="273"/>
      <c r="O99" s="273"/>
      <c r="P99" s="273"/>
      <c r="Q99" s="273"/>
    </row>
    <row r="100" spans="1:31" x14ac:dyDescent="0.3">
      <c r="A100" s="282"/>
      <c r="B100" s="89"/>
      <c r="C100" s="89"/>
      <c r="D100" s="89"/>
      <c r="E100" s="259">
        <v>14</v>
      </c>
      <c r="F100" s="278" t="s">
        <v>229</v>
      </c>
      <c r="G100" s="281" t="s">
        <v>229</v>
      </c>
      <c r="H100" s="280" t="s">
        <v>231</v>
      </c>
      <c r="I100" s="273"/>
      <c r="J100" s="273"/>
      <c r="K100" s="273"/>
      <c r="L100" s="273"/>
      <c r="M100" s="273"/>
      <c r="N100" s="273"/>
      <c r="O100" s="273"/>
      <c r="P100" s="273"/>
      <c r="Q100" s="273"/>
    </row>
    <row r="101" spans="1:31" x14ac:dyDescent="0.3">
      <c r="A101" s="282"/>
      <c r="B101" s="89"/>
      <c r="C101" s="89"/>
      <c r="D101" s="89"/>
      <c r="E101" s="259">
        <v>15</v>
      </c>
      <c r="F101" s="278" t="s">
        <v>164</v>
      </c>
      <c r="G101" s="281" t="s">
        <v>164</v>
      </c>
      <c r="H101" s="280"/>
      <c r="I101" s="273"/>
      <c r="J101" s="273"/>
      <c r="K101" s="273"/>
      <c r="L101" s="273"/>
      <c r="M101" s="273"/>
      <c r="N101" s="273"/>
      <c r="O101" s="273"/>
      <c r="P101" s="273"/>
      <c r="Q101" s="273"/>
    </row>
    <row r="102" spans="1:31" ht="16.2" thickBot="1" x14ac:dyDescent="0.35">
      <c r="A102" s="282"/>
      <c r="B102" s="89"/>
      <c r="C102" s="89"/>
      <c r="D102" s="89"/>
      <c r="E102" s="259">
        <v>16</v>
      </c>
      <c r="F102" s="283" t="s">
        <v>231</v>
      </c>
      <c r="G102" s="284" t="s">
        <v>231</v>
      </c>
      <c r="H102" s="285"/>
      <c r="I102" s="273"/>
      <c r="J102" s="273"/>
      <c r="K102" s="273"/>
      <c r="L102" s="273"/>
      <c r="M102" s="273"/>
      <c r="N102" s="273"/>
      <c r="O102" s="273"/>
      <c r="P102" s="273"/>
      <c r="Q102" s="273"/>
    </row>
    <row r="103" spans="1:31" ht="16.2" thickBot="1" x14ac:dyDescent="0.35">
      <c r="A103" s="290"/>
      <c r="B103" s="287"/>
      <c r="C103" s="287"/>
      <c r="D103" s="287"/>
      <c r="E103" s="288"/>
      <c r="F103" s="114"/>
      <c r="G103" s="114"/>
      <c r="H103" s="114"/>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row>
    <row r="104" spans="1:31" x14ac:dyDescent="0.3">
      <c r="E104"/>
      <c r="F104"/>
      <c r="G104"/>
      <c r="H104"/>
    </row>
    <row r="105" spans="1:31" x14ac:dyDescent="0.3">
      <c r="A105" s="154" t="s">
        <v>336</v>
      </c>
      <c r="B105"/>
      <c r="C105"/>
      <c r="D105" s="101" t="s">
        <v>337</v>
      </c>
      <c r="E105" s="74">
        <v>1</v>
      </c>
      <c r="F105" s="76"/>
      <c r="G105" s="75" t="s">
        <v>338</v>
      </c>
      <c r="H105" s="76"/>
      <c r="I105" s="75" t="s">
        <v>339</v>
      </c>
      <c r="J105" s="76"/>
      <c r="K105" s="75" t="s">
        <v>340</v>
      </c>
      <c r="L105" s="76"/>
      <c r="M105" s="75" t="s">
        <v>341</v>
      </c>
      <c r="N105" s="76"/>
      <c r="O105" s="75" t="s">
        <v>342</v>
      </c>
      <c r="P105" s="76"/>
      <c r="Q105" s="75" t="s">
        <v>343</v>
      </c>
      <c r="R105" s="76"/>
      <c r="S105" s="75" t="s">
        <v>344</v>
      </c>
      <c r="T105" s="76"/>
      <c r="U105" s="75" t="s">
        <v>345</v>
      </c>
      <c r="V105" s="76"/>
      <c r="W105" s="75" t="s">
        <v>346</v>
      </c>
      <c r="X105" s="76"/>
      <c r="Y105" s="75" t="s">
        <v>347</v>
      </c>
      <c r="Z105" s="76"/>
      <c r="AA105" s="75" t="s">
        <v>348</v>
      </c>
      <c r="AB105" s="76"/>
      <c r="AC105" s="75" t="s">
        <v>349</v>
      </c>
      <c r="AD105"/>
    </row>
    <row r="106" spans="1:31" x14ac:dyDescent="0.3">
      <c r="A106" s="152" t="s">
        <v>126</v>
      </c>
      <c r="B106" t="s">
        <v>127</v>
      </c>
      <c r="C106"/>
      <c r="E106" s="78">
        <v>2</v>
      </c>
      <c r="F106" s="97" t="s">
        <v>55</v>
      </c>
      <c r="G106" s="165" t="s">
        <v>322</v>
      </c>
      <c r="H106" s="97" t="s">
        <v>57</v>
      </c>
      <c r="I106" s="165" t="s">
        <v>320</v>
      </c>
      <c r="J106" s="97" t="s">
        <v>55</v>
      </c>
      <c r="K106" s="165" t="s">
        <v>322</v>
      </c>
      <c r="L106" s="97" t="s">
        <v>57</v>
      </c>
      <c r="M106" s="79" t="s">
        <v>321</v>
      </c>
      <c r="N106" s="97" t="s">
        <v>55</v>
      </c>
      <c r="O106" s="79" t="s">
        <v>322</v>
      </c>
      <c r="P106" s="97" t="s">
        <v>57</v>
      </c>
      <c r="Q106" s="79" t="s">
        <v>350</v>
      </c>
      <c r="R106" s="97" t="s">
        <v>55</v>
      </c>
      <c r="S106" s="79" t="s">
        <v>322</v>
      </c>
      <c r="T106" s="97" t="s">
        <v>57</v>
      </c>
      <c r="U106" s="79" t="s">
        <v>350</v>
      </c>
      <c r="V106" s="97" t="s">
        <v>55</v>
      </c>
      <c r="W106" s="79" t="s">
        <v>322</v>
      </c>
      <c r="X106" s="97" t="s">
        <v>57</v>
      </c>
      <c r="Y106" s="79" t="s">
        <v>350</v>
      </c>
      <c r="Z106" s="97" t="s">
        <v>55</v>
      </c>
      <c r="AA106" s="79" t="s">
        <v>322</v>
      </c>
      <c r="AB106" s="97" t="s">
        <v>57</v>
      </c>
      <c r="AC106" s="79" t="s">
        <v>350</v>
      </c>
      <c r="AD106"/>
    </row>
    <row r="107" spans="1:31" x14ac:dyDescent="0.3">
      <c r="A107" s="152" t="s">
        <v>129</v>
      </c>
      <c r="B107" t="s">
        <v>130</v>
      </c>
      <c r="C107"/>
      <c r="E107" s="78">
        <v>3</v>
      </c>
      <c r="F107" s="98" t="s">
        <v>55</v>
      </c>
      <c r="G107" s="80" t="s">
        <v>351</v>
      </c>
      <c r="H107" s="98" t="s">
        <v>57</v>
      </c>
      <c r="I107" s="80" t="s">
        <v>352</v>
      </c>
      <c r="J107" s="98" t="s">
        <v>55</v>
      </c>
      <c r="K107" s="80" t="s">
        <v>353</v>
      </c>
      <c r="L107" s="98" t="s">
        <v>57</v>
      </c>
      <c r="M107" s="80" t="s">
        <v>350</v>
      </c>
      <c r="N107" s="98" t="s">
        <v>55</v>
      </c>
      <c r="O107" s="80" t="s">
        <v>354</v>
      </c>
      <c r="P107" s="98" t="s">
        <v>57</v>
      </c>
      <c r="Q107" s="80" t="s">
        <v>354</v>
      </c>
      <c r="R107" s="98" t="s">
        <v>55</v>
      </c>
      <c r="S107" s="80" t="s">
        <v>354</v>
      </c>
      <c r="T107" s="98" t="s">
        <v>57</v>
      </c>
      <c r="U107" s="80" t="s">
        <v>354</v>
      </c>
      <c r="V107" s="98" t="s">
        <v>55</v>
      </c>
      <c r="W107" s="80" t="s">
        <v>354</v>
      </c>
      <c r="X107" s="98" t="s">
        <v>57</v>
      </c>
      <c r="Y107" s="80" t="s">
        <v>354</v>
      </c>
      <c r="Z107" s="98" t="s">
        <v>55</v>
      </c>
      <c r="AA107" s="80" t="s">
        <v>275</v>
      </c>
      <c r="AB107" s="98" t="s">
        <v>57</v>
      </c>
      <c r="AC107" s="80" t="s">
        <v>355</v>
      </c>
      <c r="AD107"/>
    </row>
    <row r="108" spans="1:31" x14ac:dyDescent="0.3">
      <c r="A108" s="152" t="s">
        <v>132</v>
      </c>
      <c r="B108" t="s">
        <v>133</v>
      </c>
      <c r="C108"/>
      <c r="E108" s="78">
        <v>4</v>
      </c>
      <c r="F108" s="98" t="s">
        <v>55</v>
      </c>
      <c r="G108" s="80" t="s">
        <v>167</v>
      </c>
      <c r="H108" s="98" t="s">
        <v>57</v>
      </c>
      <c r="I108" s="80" t="s">
        <v>167</v>
      </c>
      <c r="J108" s="98" t="s">
        <v>55</v>
      </c>
      <c r="K108" s="80" t="s">
        <v>167</v>
      </c>
      <c r="L108" s="98" t="s">
        <v>57</v>
      </c>
      <c r="M108" s="80" t="s">
        <v>167</v>
      </c>
      <c r="N108" s="98" t="s">
        <v>55</v>
      </c>
      <c r="O108" s="80" t="s">
        <v>354</v>
      </c>
      <c r="P108" s="98" t="s">
        <v>57</v>
      </c>
      <c r="Q108" s="80" t="s">
        <v>354</v>
      </c>
      <c r="R108" s="98" t="s">
        <v>55</v>
      </c>
      <c r="S108" s="80" t="s">
        <v>354</v>
      </c>
      <c r="T108" s="98" t="s">
        <v>57</v>
      </c>
      <c r="U108" s="80" t="s">
        <v>354</v>
      </c>
      <c r="V108" s="98" t="s">
        <v>55</v>
      </c>
      <c r="W108" s="80" t="s">
        <v>354</v>
      </c>
      <c r="X108" s="98" t="s">
        <v>57</v>
      </c>
      <c r="Y108" s="80" t="s">
        <v>354</v>
      </c>
      <c r="Z108" s="98" t="s">
        <v>55</v>
      </c>
      <c r="AA108" s="80" t="s">
        <v>277</v>
      </c>
      <c r="AB108" s="98" t="s">
        <v>57</v>
      </c>
      <c r="AC108" s="80" t="s">
        <v>355</v>
      </c>
      <c r="AD108"/>
    </row>
    <row r="109" spans="1:31" x14ac:dyDescent="0.3">
      <c r="A109" s="152" t="s">
        <v>138</v>
      </c>
      <c r="B109" t="s">
        <v>139</v>
      </c>
      <c r="C109"/>
      <c r="E109" s="78">
        <v>5</v>
      </c>
      <c r="F109" s="98" t="s">
        <v>55</v>
      </c>
      <c r="G109" s="80" t="s">
        <v>167</v>
      </c>
      <c r="H109" s="98" t="s">
        <v>57</v>
      </c>
      <c r="I109" s="80" t="s">
        <v>167</v>
      </c>
      <c r="J109" s="98" t="s">
        <v>55</v>
      </c>
      <c r="K109" s="80" t="s">
        <v>167</v>
      </c>
      <c r="L109" s="98" t="s">
        <v>57</v>
      </c>
      <c r="M109" s="80" t="s">
        <v>167</v>
      </c>
      <c r="N109" s="98" t="s">
        <v>55</v>
      </c>
      <c r="O109" s="80" t="s">
        <v>354</v>
      </c>
      <c r="P109" s="98" t="s">
        <v>57</v>
      </c>
      <c r="Q109" s="80" t="s">
        <v>354</v>
      </c>
      <c r="R109" s="98" t="s">
        <v>55</v>
      </c>
      <c r="S109" s="80" t="s">
        <v>354</v>
      </c>
      <c r="T109" s="98" t="s">
        <v>57</v>
      </c>
      <c r="U109" s="80" t="s">
        <v>354</v>
      </c>
      <c r="V109" s="98" t="s">
        <v>55</v>
      </c>
      <c r="W109" s="80" t="s">
        <v>354</v>
      </c>
      <c r="X109" s="98" t="s">
        <v>57</v>
      </c>
      <c r="Y109" s="80" t="s">
        <v>354</v>
      </c>
      <c r="Z109" s="98" t="s">
        <v>55</v>
      </c>
      <c r="AA109" s="80" t="s">
        <v>355</v>
      </c>
      <c r="AB109" s="98" t="s">
        <v>57</v>
      </c>
      <c r="AC109" s="80" t="s">
        <v>355</v>
      </c>
      <c r="AD109"/>
    </row>
    <row r="110" spans="1:31" x14ac:dyDescent="0.3">
      <c r="A110" s="152" t="s">
        <v>140</v>
      </c>
      <c r="B110" t="s">
        <v>141</v>
      </c>
      <c r="C110"/>
      <c r="E110" s="78">
        <v>6</v>
      </c>
      <c r="F110" s="98" t="s">
        <v>57</v>
      </c>
      <c r="G110" s="80" t="s">
        <v>320</v>
      </c>
      <c r="H110" s="98" t="s">
        <v>55</v>
      </c>
      <c r="I110" s="80" t="s">
        <v>322</v>
      </c>
      <c r="J110" s="98" t="s">
        <v>57</v>
      </c>
      <c r="K110" s="163" t="s">
        <v>321</v>
      </c>
      <c r="L110" s="98" t="s">
        <v>55</v>
      </c>
      <c r="M110" s="80" t="s">
        <v>322</v>
      </c>
      <c r="N110" s="98" t="s">
        <v>57</v>
      </c>
      <c r="O110" s="163"/>
      <c r="P110" s="98" t="s">
        <v>55</v>
      </c>
      <c r="Q110" s="80"/>
      <c r="R110" s="98" t="s">
        <v>57</v>
      </c>
      <c r="S110" s="163" t="s">
        <v>177</v>
      </c>
      <c r="T110" s="98" t="s">
        <v>55</v>
      </c>
      <c r="U110" s="80" t="s">
        <v>177</v>
      </c>
      <c r="V110" s="98" t="s">
        <v>57</v>
      </c>
      <c r="W110" s="163" t="s">
        <v>350</v>
      </c>
      <c r="X110" s="98" t="s">
        <v>55</v>
      </c>
      <c r="Y110" s="80" t="s">
        <v>322</v>
      </c>
      <c r="Z110" s="98" t="s">
        <v>57</v>
      </c>
      <c r="AA110" s="163" t="s">
        <v>350</v>
      </c>
      <c r="AB110" s="98" t="s">
        <v>55</v>
      </c>
      <c r="AC110" s="80" t="s">
        <v>322</v>
      </c>
      <c r="AD110"/>
    </row>
    <row r="111" spans="1:31" x14ac:dyDescent="0.3">
      <c r="A111" s="153" t="s">
        <v>142</v>
      </c>
      <c r="B111" t="s">
        <v>143</v>
      </c>
      <c r="C111"/>
      <c r="E111" s="78">
        <v>7</v>
      </c>
      <c r="F111" s="98" t="s">
        <v>57</v>
      </c>
      <c r="G111" s="80" t="s">
        <v>352</v>
      </c>
      <c r="H111" s="98" t="s">
        <v>55</v>
      </c>
      <c r="I111" s="80" t="s">
        <v>351</v>
      </c>
      <c r="J111" s="98" t="s">
        <v>57</v>
      </c>
      <c r="K111" s="80" t="s">
        <v>350</v>
      </c>
      <c r="L111" s="98" t="s">
        <v>55</v>
      </c>
      <c r="M111" s="80" t="s">
        <v>353</v>
      </c>
      <c r="N111" s="98" t="s">
        <v>57</v>
      </c>
      <c r="O111" s="80"/>
      <c r="P111" s="98" t="s">
        <v>55</v>
      </c>
      <c r="Q111" s="80"/>
      <c r="R111" s="98" t="s">
        <v>57</v>
      </c>
      <c r="S111" s="80" t="s">
        <v>125</v>
      </c>
      <c r="T111" s="98" t="s">
        <v>55</v>
      </c>
      <c r="U111" s="80" t="s">
        <v>125</v>
      </c>
      <c r="V111" s="98" t="s">
        <v>57</v>
      </c>
      <c r="W111" s="80" t="s">
        <v>354</v>
      </c>
      <c r="X111" s="98" t="s">
        <v>55</v>
      </c>
      <c r="Y111" s="80" t="s">
        <v>354</v>
      </c>
      <c r="Z111" s="98" t="s">
        <v>57</v>
      </c>
      <c r="AA111" s="80" t="s">
        <v>355</v>
      </c>
      <c r="AB111" s="98" t="s">
        <v>55</v>
      </c>
      <c r="AC111" s="80" t="s">
        <v>275</v>
      </c>
      <c r="AD111"/>
    </row>
    <row r="112" spans="1:31" x14ac:dyDescent="0.3">
      <c r="A112"/>
      <c r="B112"/>
      <c r="C112"/>
      <c r="E112" s="78">
        <v>8</v>
      </c>
      <c r="F112" s="98" t="s">
        <v>57</v>
      </c>
      <c r="G112" s="80" t="s">
        <v>167</v>
      </c>
      <c r="H112" s="98" t="s">
        <v>55</v>
      </c>
      <c r="I112" s="80" t="s">
        <v>167</v>
      </c>
      <c r="J112" s="98" t="s">
        <v>57</v>
      </c>
      <c r="K112" s="80" t="s">
        <v>167</v>
      </c>
      <c r="L112" s="98" t="s">
        <v>55</v>
      </c>
      <c r="M112" s="80" t="s">
        <v>167</v>
      </c>
      <c r="N112" s="98" t="s">
        <v>57</v>
      </c>
      <c r="O112" s="80"/>
      <c r="P112" s="98" t="s">
        <v>55</v>
      </c>
      <c r="Q112" s="80"/>
      <c r="R112" s="98" t="s">
        <v>57</v>
      </c>
      <c r="S112" s="80" t="s">
        <v>155</v>
      </c>
      <c r="T112" s="98" t="s">
        <v>55</v>
      </c>
      <c r="U112" s="80" t="s">
        <v>155</v>
      </c>
      <c r="V112" s="98" t="s">
        <v>57</v>
      </c>
      <c r="W112" s="80" t="s">
        <v>356</v>
      </c>
      <c r="X112" s="98" t="s">
        <v>55</v>
      </c>
      <c r="Y112" s="80" t="s">
        <v>356</v>
      </c>
      <c r="Z112" s="98" t="s">
        <v>57</v>
      </c>
      <c r="AA112" s="80" t="s">
        <v>355</v>
      </c>
      <c r="AB112" s="98" t="s">
        <v>55</v>
      </c>
      <c r="AC112" s="80" t="s">
        <v>277</v>
      </c>
      <c r="AD112"/>
    </row>
    <row r="113" spans="1:30" x14ac:dyDescent="0.3">
      <c r="A113" s="254" t="s">
        <v>278</v>
      </c>
      <c r="B113"/>
      <c r="C113"/>
      <c r="E113" s="78">
        <v>9</v>
      </c>
      <c r="F113" s="98" t="s">
        <v>57</v>
      </c>
      <c r="G113" s="80" t="s">
        <v>167</v>
      </c>
      <c r="H113" s="99" t="s">
        <v>55</v>
      </c>
      <c r="I113" s="80" t="s">
        <v>167</v>
      </c>
      <c r="J113" s="98" t="s">
        <v>57</v>
      </c>
      <c r="K113" s="80" t="s">
        <v>167</v>
      </c>
      <c r="L113" s="99" t="s">
        <v>55</v>
      </c>
      <c r="M113" s="80" t="s">
        <v>167</v>
      </c>
      <c r="N113" s="98" t="s">
        <v>57</v>
      </c>
      <c r="O113" s="80"/>
      <c r="P113" s="99" t="s">
        <v>55</v>
      </c>
      <c r="Q113" s="80"/>
      <c r="R113" s="98" t="s">
        <v>57</v>
      </c>
      <c r="S113" s="80" t="s">
        <v>125</v>
      </c>
      <c r="T113" s="99" t="s">
        <v>55</v>
      </c>
      <c r="U113" s="80" t="s">
        <v>125</v>
      </c>
      <c r="V113" s="98" t="s">
        <v>57</v>
      </c>
      <c r="W113" s="80" t="s">
        <v>125</v>
      </c>
      <c r="X113" s="99" t="s">
        <v>55</v>
      </c>
      <c r="Y113" s="80" t="s">
        <v>125</v>
      </c>
      <c r="Z113" s="98" t="s">
        <v>57</v>
      </c>
      <c r="AA113" s="80" t="s">
        <v>355</v>
      </c>
      <c r="AB113" s="99" t="s">
        <v>55</v>
      </c>
      <c r="AC113" s="80" t="s">
        <v>355</v>
      </c>
      <c r="AD113"/>
    </row>
    <row r="114" spans="1:30" x14ac:dyDescent="0.3">
      <c r="A114"/>
      <c r="B114"/>
      <c r="C114"/>
      <c r="E114" s="78">
        <v>10</v>
      </c>
      <c r="F114" s="97" t="s">
        <v>97</v>
      </c>
      <c r="G114" s="79"/>
      <c r="H114" s="98" t="s">
        <v>98</v>
      </c>
      <c r="I114" s="79"/>
      <c r="J114" s="97" t="s">
        <v>97</v>
      </c>
      <c r="K114" s="79"/>
      <c r="L114" s="98" t="s">
        <v>98</v>
      </c>
      <c r="M114" s="79"/>
      <c r="N114" s="97" t="s">
        <v>97</v>
      </c>
      <c r="O114" s="79"/>
      <c r="P114" s="98" t="s">
        <v>98</v>
      </c>
      <c r="Q114" s="79"/>
      <c r="R114" s="97" t="s">
        <v>97</v>
      </c>
      <c r="S114" s="79"/>
      <c r="T114" s="98" t="s">
        <v>98</v>
      </c>
      <c r="U114" s="79"/>
      <c r="V114" s="97" t="s">
        <v>97</v>
      </c>
      <c r="W114" s="79" t="s">
        <v>354</v>
      </c>
      <c r="X114" s="98" t="s">
        <v>98</v>
      </c>
      <c r="Y114" s="79" t="s">
        <v>354</v>
      </c>
      <c r="Z114" s="97" t="s">
        <v>97</v>
      </c>
      <c r="AA114" s="79" t="s">
        <v>282</v>
      </c>
      <c r="AB114" s="98" t="s">
        <v>98</v>
      </c>
      <c r="AC114" s="79" t="s">
        <v>355</v>
      </c>
      <c r="AD114"/>
    </row>
    <row r="115" spans="1:30" x14ac:dyDescent="0.3">
      <c r="A115" s="196" t="s">
        <v>279</v>
      </c>
      <c r="B115"/>
      <c r="C115"/>
      <c r="E115" s="78">
        <v>11</v>
      </c>
      <c r="F115" s="98" t="s">
        <v>97</v>
      </c>
      <c r="G115" s="80"/>
      <c r="H115" s="98" t="s">
        <v>98</v>
      </c>
      <c r="I115" s="80"/>
      <c r="J115" s="98" t="s">
        <v>97</v>
      </c>
      <c r="K115" s="80"/>
      <c r="L115" s="98" t="s">
        <v>98</v>
      </c>
      <c r="M115" s="80"/>
      <c r="N115" s="98" t="s">
        <v>97</v>
      </c>
      <c r="O115" s="80"/>
      <c r="P115" s="98" t="s">
        <v>98</v>
      </c>
      <c r="Q115" s="80"/>
      <c r="R115" s="98" t="s">
        <v>97</v>
      </c>
      <c r="S115" s="80"/>
      <c r="T115" s="98" t="s">
        <v>98</v>
      </c>
      <c r="U115" s="80"/>
      <c r="V115" s="98" t="s">
        <v>97</v>
      </c>
      <c r="W115" s="80" t="s">
        <v>354</v>
      </c>
      <c r="X115" s="98" t="s">
        <v>98</v>
      </c>
      <c r="Y115" s="80" t="s">
        <v>354</v>
      </c>
      <c r="Z115" s="98" t="s">
        <v>97</v>
      </c>
      <c r="AA115" s="80" t="s">
        <v>283</v>
      </c>
      <c r="AB115" s="98" t="s">
        <v>98</v>
      </c>
      <c r="AC115" s="80" t="s">
        <v>355</v>
      </c>
      <c r="AD115"/>
    </row>
    <row r="116" spans="1:30" x14ac:dyDescent="0.3">
      <c r="A116"/>
      <c r="B116"/>
      <c r="C116"/>
      <c r="E116" s="78">
        <v>12</v>
      </c>
      <c r="F116" s="98" t="s">
        <v>97</v>
      </c>
      <c r="G116" s="80"/>
      <c r="H116" s="98" t="s">
        <v>98</v>
      </c>
      <c r="I116" s="80"/>
      <c r="J116" s="98" t="s">
        <v>97</v>
      </c>
      <c r="K116" s="80"/>
      <c r="L116" s="98" t="s">
        <v>98</v>
      </c>
      <c r="M116" s="80"/>
      <c r="N116" s="98" t="s">
        <v>97</v>
      </c>
      <c r="O116" s="80"/>
      <c r="P116" s="98" t="s">
        <v>98</v>
      </c>
      <c r="Q116" s="80"/>
      <c r="R116" s="98" t="s">
        <v>97</v>
      </c>
      <c r="S116" s="80"/>
      <c r="T116" s="98" t="s">
        <v>98</v>
      </c>
      <c r="U116" s="80"/>
      <c r="V116" s="98" t="s">
        <v>97</v>
      </c>
      <c r="W116" s="80" t="s">
        <v>357</v>
      </c>
      <c r="X116" s="98" t="s">
        <v>98</v>
      </c>
      <c r="Y116" s="80" t="s">
        <v>357</v>
      </c>
      <c r="Z116" s="98" t="s">
        <v>97</v>
      </c>
      <c r="AA116" s="80" t="s">
        <v>358</v>
      </c>
      <c r="AB116" s="98" t="s">
        <v>98</v>
      </c>
      <c r="AC116" s="80" t="s">
        <v>358</v>
      </c>
      <c r="AD116"/>
    </row>
    <row r="117" spans="1:30" x14ac:dyDescent="0.3">
      <c r="A117"/>
      <c r="B117"/>
      <c r="C117"/>
      <c r="E117" s="78">
        <v>13</v>
      </c>
      <c r="F117" s="98" t="s">
        <v>97</v>
      </c>
      <c r="G117" s="80"/>
      <c r="H117" s="98" t="s">
        <v>98</v>
      </c>
      <c r="I117" s="80"/>
      <c r="J117" s="98" t="s">
        <v>97</v>
      </c>
      <c r="K117" s="80"/>
      <c r="L117" s="98" t="s">
        <v>98</v>
      </c>
      <c r="M117" s="80"/>
      <c r="N117" s="98" t="s">
        <v>97</v>
      </c>
      <c r="O117" s="80"/>
      <c r="P117" s="98" t="s">
        <v>98</v>
      </c>
      <c r="Q117" s="80"/>
      <c r="R117" s="98" t="s">
        <v>97</v>
      </c>
      <c r="S117" s="80"/>
      <c r="T117" s="98" t="s">
        <v>98</v>
      </c>
      <c r="U117" s="80"/>
      <c r="V117" s="98" t="s">
        <v>97</v>
      </c>
      <c r="W117" s="80" t="s">
        <v>125</v>
      </c>
      <c r="X117" s="98" t="s">
        <v>98</v>
      </c>
      <c r="Y117" s="80" t="s">
        <v>125</v>
      </c>
      <c r="Z117" s="98" t="s">
        <v>97</v>
      </c>
      <c r="AA117" s="80" t="s">
        <v>125</v>
      </c>
      <c r="AB117" s="98" t="s">
        <v>98</v>
      </c>
      <c r="AC117" s="80" t="s">
        <v>125</v>
      </c>
      <c r="AD117"/>
    </row>
    <row r="118" spans="1:30" x14ac:dyDescent="0.3">
      <c r="A118"/>
      <c r="B118"/>
      <c r="C118"/>
      <c r="E118" s="78">
        <v>14</v>
      </c>
      <c r="F118" s="98" t="s">
        <v>98</v>
      </c>
      <c r="G118" s="80"/>
      <c r="H118" s="98" t="s">
        <v>97</v>
      </c>
      <c r="I118" s="80"/>
      <c r="J118" s="98" t="s">
        <v>98</v>
      </c>
      <c r="K118" s="80"/>
      <c r="L118" s="98" t="s">
        <v>97</v>
      </c>
      <c r="M118" s="80"/>
      <c r="N118" s="98" t="s">
        <v>98</v>
      </c>
      <c r="O118" s="80"/>
      <c r="P118" s="98" t="s">
        <v>97</v>
      </c>
      <c r="Q118" s="80"/>
      <c r="R118" s="98" t="s">
        <v>98</v>
      </c>
      <c r="S118" s="80"/>
      <c r="T118" s="98" t="s">
        <v>97</v>
      </c>
      <c r="U118" s="80"/>
      <c r="V118" s="98" t="s">
        <v>98</v>
      </c>
      <c r="W118" s="80"/>
      <c r="X118" s="98" t="s">
        <v>97</v>
      </c>
      <c r="Y118" s="80"/>
      <c r="Z118" s="98" t="s">
        <v>98</v>
      </c>
      <c r="AA118" s="80" t="s">
        <v>355</v>
      </c>
      <c r="AB118" s="98" t="s">
        <v>97</v>
      </c>
      <c r="AC118" s="80" t="s">
        <v>282</v>
      </c>
      <c r="AD118"/>
    </row>
    <row r="119" spans="1:30" x14ac:dyDescent="0.3">
      <c r="A119"/>
      <c r="B119"/>
      <c r="C119"/>
      <c r="E119" s="78">
        <v>15</v>
      </c>
      <c r="F119" s="98" t="s">
        <v>98</v>
      </c>
      <c r="G119" s="155"/>
      <c r="H119" s="98" t="s">
        <v>97</v>
      </c>
      <c r="I119" s="155"/>
      <c r="J119" s="98" t="s">
        <v>98</v>
      </c>
      <c r="K119" s="155"/>
      <c r="L119" s="98" t="s">
        <v>97</v>
      </c>
      <c r="M119" s="155"/>
      <c r="N119" s="98" t="s">
        <v>98</v>
      </c>
      <c r="O119" s="155"/>
      <c r="P119" s="98" t="s">
        <v>97</v>
      </c>
      <c r="Q119" s="155"/>
      <c r="R119" s="98" t="s">
        <v>98</v>
      </c>
      <c r="S119" s="155"/>
      <c r="T119" s="98" t="s">
        <v>97</v>
      </c>
      <c r="U119" s="155"/>
      <c r="V119" s="98" t="s">
        <v>98</v>
      </c>
      <c r="W119" s="80"/>
      <c r="X119" s="98" t="s">
        <v>97</v>
      </c>
      <c r="Y119" s="80"/>
      <c r="Z119" s="98" t="s">
        <v>98</v>
      </c>
      <c r="AA119" s="80" t="s">
        <v>355</v>
      </c>
      <c r="AB119" s="98" t="s">
        <v>97</v>
      </c>
      <c r="AC119" s="80" t="s">
        <v>283</v>
      </c>
      <c r="AD119"/>
    </row>
    <row r="120" spans="1:30" x14ac:dyDescent="0.3">
      <c r="A120"/>
      <c r="B120"/>
      <c r="C120"/>
      <c r="E120" s="78">
        <v>16</v>
      </c>
      <c r="F120" s="98" t="s">
        <v>98</v>
      </c>
      <c r="G120" s="80"/>
      <c r="H120" s="98" t="s">
        <v>97</v>
      </c>
      <c r="I120" s="80"/>
      <c r="J120" s="98" t="s">
        <v>98</v>
      </c>
      <c r="K120" s="80"/>
      <c r="L120" s="98" t="s">
        <v>97</v>
      </c>
      <c r="M120" s="80"/>
      <c r="N120" s="98" t="s">
        <v>98</v>
      </c>
      <c r="O120" s="80"/>
      <c r="P120" s="98" t="s">
        <v>97</v>
      </c>
      <c r="Q120" s="80"/>
      <c r="R120" s="98" t="s">
        <v>98</v>
      </c>
      <c r="S120" s="80"/>
      <c r="T120" s="98" t="s">
        <v>97</v>
      </c>
      <c r="U120" s="80"/>
      <c r="V120" s="98" t="s">
        <v>98</v>
      </c>
      <c r="W120" s="80"/>
      <c r="X120" s="98" t="s">
        <v>97</v>
      </c>
      <c r="Y120" s="80"/>
      <c r="Z120" s="98" t="s">
        <v>98</v>
      </c>
      <c r="AA120" s="80" t="s">
        <v>359</v>
      </c>
      <c r="AB120" s="98" t="s">
        <v>97</v>
      </c>
      <c r="AC120" s="80" t="s">
        <v>359</v>
      </c>
      <c r="AD120"/>
    </row>
    <row r="121" spans="1:30" x14ac:dyDescent="0.3">
      <c r="A121"/>
      <c r="B121"/>
      <c r="C121"/>
      <c r="E121" s="78">
        <v>17</v>
      </c>
      <c r="F121" s="99" t="s">
        <v>98</v>
      </c>
      <c r="G121" s="85"/>
      <c r="H121" s="99" t="s">
        <v>97</v>
      </c>
      <c r="I121" s="85"/>
      <c r="J121" s="99" t="s">
        <v>98</v>
      </c>
      <c r="K121" s="85"/>
      <c r="L121" s="99" t="s">
        <v>97</v>
      </c>
      <c r="M121" s="85"/>
      <c r="N121" s="99" t="s">
        <v>98</v>
      </c>
      <c r="O121" s="85"/>
      <c r="P121" s="99" t="s">
        <v>97</v>
      </c>
      <c r="Q121" s="85"/>
      <c r="R121" s="99" t="s">
        <v>98</v>
      </c>
      <c r="S121" s="85"/>
      <c r="T121" s="99" t="s">
        <v>97</v>
      </c>
      <c r="U121" s="85"/>
      <c r="V121" s="99" t="s">
        <v>98</v>
      </c>
      <c r="W121" s="85"/>
      <c r="X121" s="99" t="s">
        <v>97</v>
      </c>
      <c r="Y121" s="85"/>
      <c r="Z121" s="99" t="s">
        <v>98</v>
      </c>
      <c r="AA121" s="85" t="s">
        <v>125</v>
      </c>
      <c r="AB121" s="99" t="s">
        <v>97</v>
      </c>
      <c r="AC121" s="85" t="s">
        <v>125</v>
      </c>
      <c r="AD121"/>
    </row>
    <row r="122" spans="1:30" x14ac:dyDescent="0.3">
      <c r="A122"/>
      <c r="B122"/>
      <c r="C122"/>
      <c r="G122"/>
      <c r="H122"/>
      <c r="I122"/>
      <c r="J122"/>
      <c r="K122"/>
      <c r="L122"/>
      <c r="M122"/>
      <c r="N122" s="84"/>
      <c r="O122"/>
      <c r="P122"/>
      <c r="Q122"/>
      <c r="R122" s="84"/>
    </row>
    <row r="123" spans="1:30" ht="16.2" thickBot="1" x14ac:dyDescent="0.35">
      <c r="A123"/>
      <c r="B123"/>
      <c r="C123"/>
      <c r="G123" s="78"/>
      <c r="H123" s="84"/>
      <c r="I123" s="74"/>
      <c r="J123"/>
      <c r="K123"/>
      <c r="L123"/>
      <c r="M123" s="74"/>
      <c r="N123"/>
      <c r="O123"/>
      <c r="P123"/>
      <c r="Q123"/>
      <c r="R123"/>
    </row>
    <row r="124" spans="1:30" x14ac:dyDescent="0.3">
      <c r="A124"/>
      <c r="B124"/>
      <c r="C124"/>
      <c r="D124" s="101" t="s">
        <v>360</v>
      </c>
      <c r="E124" s="74">
        <v>1</v>
      </c>
      <c r="F124" s="107" t="s">
        <v>127</v>
      </c>
      <c r="G124" s="108" t="s">
        <v>130</v>
      </c>
      <c r="H124" s="108" t="s">
        <v>133</v>
      </c>
      <c r="I124" s="108" t="s">
        <v>139</v>
      </c>
      <c r="J124" s="108" t="s">
        <v>141</v>
      </c>
      <c r="K124" s="109" t="s">
        <v>143</v>
      </c>
      <c r="L124"/>
      <c r="M124" s="101" t="s">
        <v>361</v>
      </c>
      <c r="N124" s="236" t="s">
        <v>127</v>
      </c>
      <c r="O124" s="237" t="s">
        <v>362</v>
      </c>
      <c r="P124"/>
      <c r="Q124"/>
      <c r="R124"/>
      <c r="S124"/>
      <c r="T124"/>
      <c r="U124"/>
      <c r="V124"/>
      <c r="W124"/>
      <c r="X124"/>
      <c r="Y124"/>
      <c r="Z124"/>
      <c r="AA124"/>
    </row>
    <row r="125" spans="1:30" x14ac:dyDescent="0.3">
      <c r="A125"/>
      <c r="B125"/>
      <c r="C125"/>
      <c r="D125"/>
      <c r="E125" s="78">
        <v>2</v>
      </c>
      <c r="F125" s="242" t="s">
        <v>317</v>
      </c>
      <c r="G125" s="157" t="s">
        <v>317</v>
      </c>
      <c r="H125" s="111" t="s">
        <v>363</v>
      </c>
      <c r="I125" s="111" t="s">
        <v>363</v>
      </c>
      <c r="J125" s="157" t="s">
        <v>356</v>
      </c>
      <c r="K125" s="176" t="s">
        <v>358</v>
      </c>
      <c r="L125"/>
      <c r="M125" s="84"/>
      <c r="N125" s="238" t="s">
        <v>130</v>
      </c>
      <c r="O125" s="240" t="s">
        <v>362</v>
      </c>
      <c r="P125" s="74"/>
      <c r="Q125" s="84"/>
      <c r="R125" s="74"/>
      <c r="S125"/>
      <c r="T125"/>
      <c r="U125"/>
      <c r="V125"/>
      <c r="W125"/>
      <c r="X125"/>
      <c r="Y125"/>
      <c r="Z125"/>
      <c r="AA125"/>
    </row>
    <row r="126" spans="1:30" x14ac:dyDescent="0.3">
      <c r="A126"/>
      <c r="B126"/>
      <c r="C126"/>
      <c r="D126"/>
      <c r="E126" s="74">
        <v>3</v>
      </c>
      <c r="F126" s="166"/>
      <c r="G126" s="169"/>
      <c r="H126" s="169" t="s">
        <v>322</v>
      </c>
      <c r="I126" s="169" t="s">
        <v>322</v>
      </c>
      <c r="J126" s="169" t="s">
        <v>155</v>
      </c>
      <c r="K126" s="168" t="s">
        <v>155</v>
      </c>
      <c r="L126" s="235"/>
      <c r="M126" s="84"/>
      <c r="N126" s="238" t="s">
        <v>133</v>
      </c>
      <c r="O126" s="240" t="s">
        <v>364</v>
      </c>
      <c r="P126" s="74"/>
      <c r="Q126" s="84"/>
      <c r="R126" s="74"/>
      <c r="S126"/>
      <c r="T126"/>
      <c r="U126"/>
      <c r="V126"/>
      <c r="W126"/>
      <c r="X126"/>
      <c r="Y126"/>
      <c r="Z126"/>
      <c r="AA126"/>
    </row>
    <row r="127" spans="1:30" x14ac:dyDescent="0.3">
      <c r="A127"/>
      <c r="B127"/>
      <c r="C127"/>
      <c r="E127" s="78">
        <v>4</v>
      </c>
      <c r="F127" s="110"/>
      <c r="G127" s="111"/>
      <c r="H127" s="111" t="s">
        <v>350</v>
      </c>
      <c r="I127" s="111" t="s">
        <v>350</v>
      </c>
      <c r="J127" s="111" t="s">
        <v>181</v>
      </c>
      <c r="K127" s="112" t="s">
        <v>181</v>
      </c>
      <c r="L127"/>
      <c r="M127" s="84"/>
      <c r="N127" s="238" t="s">
        <v>139</v>
      </c>
      <c r="O127" s="240" t="s">
        <v>365</v>
      </c>
      <c r="S127"/>
      <c r="T127"/>
      <c r="U127"/>
      <c r="V127"/>
      <c r="W127"/>
      <c r="X127"/>
      <c r="Y127"/>
      <c r="Z127"/>
      <c r="AA127"/>
    </row>
    <row r="128" spans="1:30" x14ac:dyDescent="0.3">
      <c r="A128"/>
      <c r="B128"/>
      <c r="C128"/>
      <c r="E128" s="74">
        <v>5</v>
      </c>
      <c r="F128" s="110"/>
      <c r="G128" s="111"/>
      <c r="H128" s="111" t="s">
        <v>167</v>
      </c>
      <c r="I128" s="111" t="s">
        <v>167</v>
      </c>
      <c r="J128" s="111" t="s">
        <v>167</v>
      </c>
      <c r="K128" s="112" t="s">
        <v>167</v>
      </c>
      <c r="L128"/>
      <c r="N128" s="238" t="s">
        <v>141</v>
      </c>
      <c r="O128" s="240" t="s">
        <v>366</v>
      </c>
      <c r="S128"/>
      <c r="T128"/>
      <c r="U128"/>
      <c r="V128"/>
      <c r="W128"/>
      <c r="X128"/>
      <c r="Y128"/>
      <c r="Z128"/>
      <c r="AA128"/>
    </row>
    <row r="129" spans="1:27" x14ac:dyDescent="0.3">
      <c r="A129"/>
      <c r="B129"/>
      <c r="C129"/>
      <c r="E129" s="78">
        <v>6</v>
      </c>
      <c r="F129" s="110"/>
      <c r="G129" s="111"/>
      <c r="H129" s="111" t="s">
        <v>367</v>
      </c>
      <c r="I129" s="111" t="s">
        <v>367</v>
      </c>
      <c r="J129" s="111" t="s">
        <v>357</v>
      </c>
      <c r="K129" s="112" t="s">
        <v>359</v>
      </c>
      <c r="L129"/>
      <c r="M129" s="84"/>
      <c r="N129" s="238" t="s">
        <v>143</v>
      </c>
      <c r="O129" s="251" t="s">
        <v>368</v>
      </c>
      <c r="S129"/>
      <c r="T129"/>
      <c r="U129"/>
      <c r="V129"/>
      <c r="W129"/>
      <c r="X129"/>
      <c r="Y129"/>
      <c r="Z129"/>
      <c r="AA129"/>
    </row>
    <row r="130" spans="1:27" x14ac:dyDescent="0.3">
      <c r="A130"/>
      <c r="B130"/>
      <c r="C130"/>
      <c r="E130" s="74">
        <v>7</v>
      </c>
      <c r="F130" s="110"/>
      <c r="G130" s="111"/>
      <c r="H130" s="111" t="s">
        <v>369</v>
      </c>
      <c r="I130" s="111" t="s">
        <v>369</v>
      </c>
      <c r="J130" s="111" t="s">
        <v>177</v>
      </c>
      <c r="K130" s="112" t="s">
        <v>177</v>
      </c>
      <c r="L130"/>
      <c r="M130" s="84"/>
      <c r="N130" s="250" t="s">
        <v>89</v>
      </c>
      <c r="O130" s="251" t="s">
        <v>370</v>
      </c>
      <c r="S130"/>
      <c r="T130"/>
      <c r="U130"/>
      <c r="V130"/>
      <c r="W130"/>
      <c r="X130"/>
      <c r="Y130"/>
      <c r="Z130"/>
      <c r="AA130"/>
    </row>
    <row r="131" spans="1:27" x14ac:dyDescent="0.3">
      <c r="A131"/>
      <c r="B131"/>
      <c r="C131"/>
      <c r="E131" s="78">
        <v>8</v>
      </c>
      <c r="F131" s="110"/>
      <c r="G131" s="111"/>
      <c r="H131" s="111" t="s">
        <v>320</v>
      </c>
      <c r="I131" s="111" t="s">
        <v>320</v>
      </c>
      <c r="J131" s="111" t="s">
        <v>161</v>
      </c>
      <c r="K131" s="112" t="s">
        <v>161</v>
      </c>
      <c r="L131"/>
      <c r="M131"/>
      <c r="N131" s="250" t="s">
        <v>96</v>
      </c>
      <c r="O131" s="251" t="s">
        <v>371</v>
      </c>
      <c r="S131"/>
      <c r="T131"/>
      <c r="U131"/>
      <c r="V131"/>
      <c r="W131"/>
      <c r="X131"/>
      <c r="Y131"/>
      <c r="Z131"/>
      <c r="AA131"/>
    </row>
    <row r="132" spans="1:27" x14ac:dyDescent="0.3">
      <c r="A132"/>
      <c r="B132"/>
      <c r="E132" s="74">
        <v>9</v>
      </c>
      <c r="F132" s="110"/>
      <c r="G132" s="111"/>
      <c r="H132" s="111" t="s">
        <v>372</v>
      </c>
      <c r="I132" s="111" t="s">
        <v>372</v>
      </c>
      <c r="J132" s="111" t="s">
        <v>167</v>
      </c>
      <c r="K132" s="112" t="s">
        <v>167</v>
      </c>
      <c r="N132" s="250" t="s">
        <v>104</v>
      </c>
      <c r="O132" s="251" t="s">
        <v>373</v>
      </c>
      <c r="S132"/>
      <c r="T132"/>
      <c r="U132"/>
      <c r="V132"/>
      <c r="W132"/>
      <c r="X132"/>
      <c r="Y132"/>
      <c r="Z132"/>
      <c r="AA132"/>
    </row>
    <row r="133" spans="1:27" x14ac:dyDescent="0.3">
      <c r="A133"/>
      <c r="B133"/>
      <c r="E133" s="78">
        <v>10</v>
      </c>
      <c r="F133" s="110"/>
      <c r="G133" s="111"/>
      <c r="H133" s="111" t="s">
        <v>352</v>
      </c>
      <c r="I133" s="111" t="s">
        <v>352</v>
      </c>
      <c r="J133" s="111" t="s">
        <v>367</v>
      </c>
      <c r="K133" s="112" t="s">
        <v>374</v>
      </c>
      <c r="N133" s="250" t="s">
        <v>151</v>
      </c>
      <c r="O133" s="251" t="s">
        <v>375</v>
      </c>
      <c r="S133"/>
      <c r="T133"/>
      <c r="U133"/>
      <c r="V133"/>
      <c r="W133"/>
      <c r="X133"/>
      <c r="Y133"/>
      <c r="Z133"/>
      <c r="AA133"/>
    </row>
    <row r="134" spans="1:27" x14ac:dyDescent="0.3">
      <c r="A134"/>
      <c r="B134"/>
      <c r="E134" s="74">
        <v>11</v>
      </c>
      <c r="F134" s="110"/>
      <c r="G134" s="111"/>
      <c r="H134" s="111" t="s">
        <v>376</v>
      </c>
      <c r="I134" s="111" t="s">
        <v>376</v>
      </c>
      <c r="J134" s="111" t="s">
        <v>369</v>
      </c>
      <c r="K134" s="112" t="s">
        <v>369</v>
      </c>
      <c r="N134" s="250" t="s">
        <v>154</v>
      </c>
      <c r="O134" s="251" t="s">
        <v>377</v>
      </c>
      <c r="S134"/>
      <c r="T134"/>
      <c r="U134"/>
      <c r="V134"/>
      <c r="W134"/>
      <c r="X134"/>
      <c r="Y134"/>
      <c r="Z134"/>
      <c r="AA134"/>
    </row>
    <row r="135" spans="1:27" x14ac:dyDescent="0.3">
      <c r="E135" s="78">
        <v>12</v>
      </c>
      <c r="F135" s="110"/>
      <c r="G135" s="111"/>
      <c r="H135" s="111" t="s">
        <v>321</v>
      </c>
      <c r="I135" s="111" t="s">
        <v>321</v>
      </c>
      <c r="J135" s="111" t="s">
        <v>320</v>
      </c>
      <c r="K135" s="112" t="s">
        <v>320</v>
      </c>
      <c r="N135" s="250" t="s">
        <v>160</v>
      </c>
      <c r="O135" s="251" t="s">
        <v>377</v>
      </c>
      <c r="S135"/>
      <c r="T135"/>
      <c r="U135"/>
      <c r="V135"/>
      <c r="W135"/>
      <c r="X135"/>
      <c r="Y135"/>
      <c r="Z135"/>
      <c r="AA135"/>
    </row>
    <row r="136" spans="1:27" x14ac:dyDescent="0.3">
      <c r="E136" s="74">
        <v>13</v>
      </c>
      <c r="F136" s="110"/>
      <c r="G136" s="111"/>
      <c r="H136" s="111" t="s">
        <v>378</v>
      </c>
      <c r="I136" s="111" t="s">
        <v>378</v>
      </c>
      <c r="J136" s="111" t="s">
        <v>372</v>
      </c>
      <c r="K136" s="112" t="s">
        <v>372</v>
      </c>
      <c r="N136" s="238" t="s">
        <v>166</v>
      </c>
      <c r="O136" s="251" t="s">
        <v>379</v>
      </c>
      <c r="S136"/>
      <c r="T136"/>
      <c r="U136"/>
      <c r="V136"/>
      <c r="W136"/>
      <c r="X136"/>
      <c r="Y136"/>
      <c r="Z136"/>
      <c r="AA136"/>
    </row>
    <row r="137" spans="1:27" x14ac:dyDescent="0.3">
      <c r="E137" s="78">
        <v>14</v>
      </c>
      <c r="F137" s="110"/>
      <c r="G137" s="111"/>
      <c r="H137" s="111" t="s">
        <v>353</v>
      </c>
      <c r="I137" s="111" t="s">
        <v>353</v>
      </c>
      <c r="J137" s="111" t="s">
        <v>352</v>
      </c>
      <c r="K137" s="112" t="s">
        <v>352</v>
      </c>
      <c r="N137" s="250" t="s">
        <v>70</v>
      </c>
      <c r="O137" s="251" t="s">
        <v>375</v>
      </c>
      <c r="S137"/>
      <c r="T137"/>
      <c r="U137"/>
      <c r="V137"/>
      <c r="W137"/>
      <c r="X137"/>
      <c r="Y137"/>
      <c r="Z137"/>
      <c r="AA137"/>
    </row>
    <row r="138" spans="1:27" x14ac:dyDescent="0.3">
      <c r="E138" s="74">
        <v>15</v>
      </c>
      <c r="F138" s="110"/>
      <c r="G138" s="111"/>
      <c r="H138" s="111" t="s">
        <v>351</v>
      </c>
      <c r="I138" s="111" t="s">
        <v>351</v>
      </c>
      <c r="J138" s="111" t="s">
        <v>376</v>
      </c>
      <c r="K138" s="112" t="s">
        <v>376</v>
      </c>
      <c r="N138" s="250" t="s">
        <v>82</v>
      </c>
      <c r="O138" s="251" t="s">
        <v>380</v>
      </c>
    </row>
    <row r="139" spans="1:27" ht="16.2" thickBot="1" x14ac:dyDescent="0.35">
      <c r="E139" s="78">
        <v>16</v>
      </c>
      <c r="F139" s="110"/>
      <c r="G139" s="111"/>
      <c r="H139" s="111" t="s">
        <v>323</v>
      </c>
      <c r="I139" s="111" t="s">
        <v>323</v>
      </c>
      <c r="J139" s="111" t="s">
        <v>321</v>
      </c>
      <c r="K139" s="112" t="s">
        <v>321</v>
      </c>
      <c r="N139" s="252" t="s">
        <v>86</v>
      </c>
      <c r="O139" s="239" t="s">
        <v>381</v>
      </c>
    </row>
    <row r="140" spans="1:27" x14ac:dyDescent="0.3">
      <c r="E140" s="78">
        <v>17</v>
      </c>
      <c r="F140" s="110"/>
      <c r="G140" s="111"/>
      <c r="H140" s="111"/>
      <c r="I140" s="111"/>
      <c r="J140" s="111" t="s">
        <v>378</v>
      </c>
      <c r="K140" s="112" t="s">
        <v>378</v>
      </c>
    </row>
    <row r="141" spans="1:27" x14ac:dyDescent="0.3">
      <c r="E141" s="74">
        <v>18</v>
      </c>
      <c r="F141" s="110"/>
      <c r="G141" s="111"/>
      <c r="H141" s="111"/>
      <c r="I141" s="111"/>
      <c r="J141" s="111" t="s">
        <v>353</v>
      </c>
      <c r="K141" s="112" t="s">
        <v>353</v>
      </c>
    </row>
    <row r="142" spans="1:27" x14ac:dyDescent="0.3">
      <c r="E142" s="78">
        <v>19</v>
      </c>
      <c r="F142" s="110"/>
      <c r="G142" s="111"/>
      <c r="H142" s="111"/>
      <c r="I142" s="111"/>
      <c r="J142" s="111" t="s">
        <v>351</v>
      </c>
      <c r="K142" s="112" t="s">
        <v>351</v>
      </c>
      <c r="N142"/>
      <c r="O142"/>
    </row>
    <row r="143" spans="1:27" x14ac:dyDescent="0.3">
      <c r="E143" s="78">
        <v>20</v>
      </c>
      <c r="F143" s="110"/>
      <c r="G143" s="111"/>
      <c r="H143" s="111"/>
      <c r="I143" s="111"/>
      <c r="J143" s="111" t="s">
        <v>323</v>
      </c>
      <c r="K143" s="112" t="s">
        <v>323</v>
      </c>
      <c r="L143"/>
    </row>
    <row r="144" spans="1:27" ht="16.2" thickBot="1" x14ac:dyDescent="0.35">
      <c r="E144" s="78">
        <v>21</v>
      </c>
      <c r="F144" s="113"/>
      <c r="G144" s="114"/>
      <c r="H144" s="114"/>
      <c r="I144" s="114"/>
      <c r="J144" s="114"/>
      <c r="K144" s="115"/>
    </row>
    <row r="145" spans="1:31" ht="16.2" thickBot="1" x14ac:dyDescent="0.35">
      <c r="A145" s="290"/>
      <c r="B145" s="287"/>
      <c r="C145" s="287"/>
      <c r="D145" s="287"/>
      <c r="E145" s="289"/>
      <c r="F145" s="286"/>
      <c r="G145" s="286"/>
      <c r="H145" s="286"/>
      <c r="I145" s="289"/>
      <c r="J145" s="289"/>
      <c r="K145" s="289"/>
      <c r="L145" s="289"/>
      <c r="M145" s="289"/>
      <c r="N145" s="289"/>
      <c r="O145" s="289"/>
      <c r="P145" s="289"/>
      <c r="Q145" s="289"/>
      <c r="R145" s="289"/>
      <c r="S145" s="289"/>
      <c r="T145" s="289"/>
      <c r="U145" s="289"/>
      <c r="V145" s="289"/>
      <c r="W145" s="289"/>
      <c r="X145" s="289"/>
      <c r="Y145" s="289"/>
      <c r="Z145" s="289"/>
      <c r="AA145" s="289"/>
      <c r="AB145" s="289"/>
      <c r="AC145" s="289"/>
      <c r="AD145" s="289"/>
      <c r="AE145" s="289"/>
    </row>
    <row r="147" spans="1:31" x14ac:dyDescent="0.3">
      <c r="C147"/>
      <c r="D147" s="101" t="s">
        <v>382</v>
      </c>
      <c r="E147" s="74">
        <v>1</v>
      </c>
      <c r="F147" s="76"/>
      <c r="G147" s="75" t="s">
        <v>383</v>
      </c>
      <c r="H147" s="76"/>
      <c r="I147" s="75" t="s">
        <v>384</v>
      </c>
      <c r="J147" s="76"/>
      <c r="K147" s="75" t="s">
        <v>385</v>
      </c>
      <c r="L147" s="76"/>
      <c r="M147" s="75" t="s">
        <v>386</v>
      </c>
      <c r="N147" s="76"/>
      <c r="O147" s="75" t="s">
        <v>387</v>
      </c>
      <c r="P147" s="76"/>
      <c r="Q147" s="75" t="s">
        <v>388</v>
      </c>
      <c r="R147" s="76"/>
      <c r="S147" s="75" t="s">
        <v>389</v>
      </c>
      <c r="T147" s="76"/>
      <c r="U147" s="75" t="s">
        <v>390</v>
      </c>
    </row>
    <row r="148" spans="1:31" x14ac:dyDescent="0.3">
      <c r="C148"/>
      <c r="E148" s="78">
        <v>2</v>
      </c>
      <c r="F148" s="97" t="s">
        <v>55</v>
      </c>
      <c r="G148" s="79" t="s">
        <v>275</v>
      </c>
      <c r="H148" s="97" t="s">
        <v>57</v>
      </c>
      <c r="I148" s="165" t="s">
        <v>269</v>
      </c>
      <c r="J148" s="97" t="s">
        <v>55</v>
      </c>
      <c r="K148" s="79" t="s">
        <v>275</v>
      </c>
      <c r="L148" s="97" t="s">
        <v>57</v>
      </c>
      <c r="M148" s="165" t="s">
        <v>269</v>
      </c>
      <c r="N148" s="97" t="s">
        <v>55</v>
      </c>
      <c r="O148" s="79" t="s">
        <v>275</v>
      </c>
      <c r="P148" s="97" t="s">
        <v>57</v>
      </c>
      <c r="Q148" s="165" t="s">
        <v>269</v>
      </c>
      <c r="R148" s="97" t="s">
        <v>55</v>
      </c>
      <c r="S148" s="79" t="s">
        <v>282</v>
      </c>
      <c r="T148" s="97" t="s">
        <v>57</v>
      </c>
      <c r="U148" s="190" t="s">
        <v>391</v>
      </c>
    </row>
    <row r="149" spans="1:31" x14ac:dyDescent="0.3">
      <c r="C149"/>
      <c r="E149" s="78">
        <v>3</v>
      </c>
      <c r="F149" s="98" t="s">
        <v>55</v>
      </c>
      <c r="G149" s="80" t="s">
        <v>277</v>
      </c>
      <c r="H149" s="98" t="s">
        <v>57</v>
      </c>
      <c r="I149" s="80"/>
      <c r="J149" s="98" t="s">
        <v>55</v>
      </c>
      <c r="K149" s="80" t="s">
        <v>277</v>
      </c>
      <c r="L149" s="98" t="s">
        <v>57</v>
      </c>
      <c r="M149" s="80"/>
      <c r="N149" s="98" t="s">
        <v>55</v>
      </c>
      <c r="O149" s="80" t="s">
        <v>277</v>
      </c>
      <c r="P149" s="98" t="s">
        <v>57</v>
      </c>
      <c r="Q149" s="80"/>
      <c r="R149" s="98" t="s">
        <v>55</v>
      </c>
      <c r="S149" s="80" t="s">
        <v>283</v>
      </c>
      <c r="T149" s="98" t="s">
        <v>57</v>
      </c>
      <c r="U149" s="80" t="s">
        <v>392</v>
      </c>
    </row>
    <row r="150" spans="1:31" x14ac:dyDescent="0.3">
      <c r="A150" s="154" t="s">
        <v>393</v>
      </c>
      <c r="B150"/>
      <c r="C150"/>
      <c r="E150" s="78">
        <v>4</v>
      </c>
      <c r="F150" s="98" t="s">
        <v>55</v>
      </c>
      <c r="G150" s="80" t="s">
        <v>282</v>
      </c>
      <c r="H150" s="98" t="s">
        <v>57</v>
      </c>
      <c r="I150" s="80"/>
      <c r="J150" s="98" t="s">
        <v>55</v>
      </c>
      <c r="K150" s="80" t="s">
        <v>282</v>
      </c>
      <c r="L150" s="98" t="s">
        <v>57</v>
      </c>
      <c r="M150" s="80"/>
      <c r="N150" s="98" t="s">
        <v>55</v>
      </c>
      <c r="O150" s="80" t="s">
        <v>282</v>
      </c>
      <c r="P150" s="98" t="s">
        <v>57</v>
      </c>
      <c r="Q150" s="80"/>
      <c r="R150" s="98" t="s">
        <v>55</v>
      </c>
      <c r="S150" s="80" t="s">
        <v>275</v>
      </c>
      <c r="T150" s="98" t="s">
        <v>57</v>
      </c>
      <c r="U150" s="80" t="s">
        <v>392</v>
      </c>
    </row>
    <row r="151" spans="1:31" x14ac:dyDescent="0.3">
      <c r="A151" s="152" t="s">
        <v>150</v>
      </c>
      <c r="B151" t="s">
        <v>151</v>
      </c>
      <c r="C151"/>
      <c r="E151" s="78">
        <v>5</v>
      </c>
      <c r="F151" s="98" t="s">
        <v>55</v>
      </c>
      <c r="G151" s="80" t="s">
        <v>283</v>
      </c>
      <c r="H151" s="98" t="s">
        <v>57</v>
      </c>
      <c r="I151" s="80"/>
      <c r="J151" s="98" t="s">
        <v>55</v>
      </c>
      <c r="K151" s="80" t="s">
        <v>283</v>
      </c>
      <c r="L151" s="98" t="s">
        <v>57</v>
      </c>
      <c r="M151" s="80"/>
      <c r="N151" s="98" t="s">
        <v>55</v>
      </c>
      <c r="O151" s="80" t="s">
        <v>283</v>
      </c>
      <c r="P151" s="98" t="s">
        <v>57</v>
      </c>
      <c r="Q151" s="80"/>
      <c r="R151" s="98" t="s">
        <v>55</v>
      </c>
      <c r="S151" s="80" t="s">
        <v>277</v>
      </c>
      <c r="T151" s="98" t="s">
        <v>57</v>
      </c>
      <c r="U151" s="80" t="s">
        <v>392</v>
      </c>
    </row>
    <row r="152" spans="1:31" x14ac:dyDescent="0.3">
      <c r="A152" s="152" t="s">
        <v>153</v>
      </c>
      <c r="B152" t="s">
        <v>394</v>
      </c>
      <c r="C152"/>
      <c r="E152" s="78">
        <v>6</v>
      </c>
      <c r="F152" s="98" t="s">
        <v>57</v>
      </c>
      <c r="G152" s="163"/>
      <c r="H152" s="98" t="s">
        <v>55</v>
      </c>
      <c r="I152" s="163"/>
      <c r="J152" s="98" t="s">
        <v>57</v>
      </c>
      <c r="K152" s="163" t="s">
        <v>395</v>
      </c>
      <c r="L152" s="98" t="s">
        <v>55</v>
      </c>
      <c r="M152" s="163"/>
      <c r="N152" s="98" t="s">
        <v>57</v>
      </c>
      <c r="O152" s="255" t="s">
        <v>391</v>
      </c>
      <c r="P152" s="98" t="s">
        <v>55</v>
      </c>
      <c r="Q152" s="163"/>
      <c r="R152" s="98" t="s">
        <v>57</v>
      </c>
      <c r="S152" s="255" t="s">
        <v>391</v>
      </c>
      <c r="T152" s="98" t="s">
        <v>55</v>
      </c>
      <c r="U152" s="163" t="s">
        <v>282</v>
      </c>
    </row>
    <row r="153" spans="1:31" x14ac:dyDescent="0.3">
      <c r="A153" s="152" t="s">
        <v>159</v>
      </c>
      <c r="B153" t="s">
        <v>394</v>
      </c>
      <c r="C153"/>
      <c r="E153" s="78">
        <v>7</v>
      </c>
      <c r="F153" s="98" t="s">
        <v>57</v>
      </c>
      <c r="G153" s="80"/>
      <c r="H153" s="98" t="s">
        <v>55</v>
      </c>
      <c r="I153" s="80"/>
      <c r="J153" s="98" t="s">
        <v>57</v>
      </c>
      <c r="K153" s="80" t="s">
        <v>395</v>
      </c>
      <c r="L153" s="98" t="s">
        <v>55</v>
      </c>
      <c r="M153" s="80"/>
      <c r="N153" s="98" t="s">
        <v>57</v>
      </c>
      <c r="O153" s="80" t="s">
        <v>392</v>
      </c>
      <c r="P153" s="98" t="s">
        <v>55</v>
      </c>
      <c r="Q153" s="80"/>
      <c r="R153" s="98" t="s">
        <v>57</v>
      </c>
      <c r="S153" s="80" t="s">
        <v>392</v>
      </c>
      <c r="T153" s="98" t="s">
        <v>55</v>
      </c>
      <c r="U153" s="80" t="s">
        <v>283</v>
      </c>
    </row>
    <row r="154" spans="1:31" x14ac:dyDescent="0.3">
      <c r="A154" s="153" t="s">
        <v>165</v>
      </c>
      <c r="B154" t="s">
        <v>166</v>
      </c>
      <c r="C154"/>
      <c r="E154" s="78">
        <v>8</v>
      </c>
      <c r="F154" s="98" t="s">
        <v>57</v>
      </c>
      <c r="G154" s="80"/>
      <c r="H154" s="98" t="s">
        <v>55</v>
      </c>
      <c r="I154" s="80"/>
      <c r="J154" s="98" t="s">
        <v>57</v>
      </c>
      <c r="K154" s="80" t="s">
        <v>396</v>
      </c>
      <c r="L154" s="98" t="s">
        <v>55</v>
      </c>
      <c r="M154" s="80"/>
      <c r="N154" s="98" t="s">
        <v>57</v>
      </c>
      <c r="O154" s="80" t="s">
        <v>396</v>
      </c>
      <c r="P154" s="98" t="s">
        <v>55</v>
      </c>
      <c r="Q154" s="80"/>
      <c r="R154" s="98" t="s">
        <v>57</v>
      </c>
      <c r="S154" s="80" t="s">
        <v>392</v>
      </c>
      <c r="T154" s="98" t="s">
        <v>55</v>
      </c>
      <c r="U154" s="80" t="s">
        <v>275</v>
      </c>
    </row>
    <row r="155" spans="1:31" x14ac:dyDescent="0.3">
      <c r="A155"/>
      <c r="B155"/>
      <c r="C155"/>
      <c r="E155" s="78">
        <v>9</v>
      </c>
      <c r="F155" s="98" t="s">
        <v>57</v>
      </c>
      <c r="G155" s="80"/>
      <c r="H155" s="99" t="s">
        <v>55</v>
      </c>
      <c r="I155" s="80"/>
      <c r="J155" s="98" t="s">
        <v>57</v>
      </c>
      <c r="K155" s="80" t="s">
        <v>125</v>
      </c>
      <c r="L155" s="99" t="s">
        <v>55</v>
      </c>
      <c r="M155" s="80"/>
      <c r="N155" s="98" t="s">
        <v>57</v>
      </c>
      <c r="O155" s="80" t="s">
        <v>125</v>
      </c>
      <c r="P155" s="99" t="s">
        <v>55</v>
      </c>
      <c r="Q155" s="80"/>
      <c r="R155" s="98" t="s">
        <v>57</v>
      </c>
      <c r="S155" s="80" t="s">
        <v>392</v>
      </c>
      <c r="T155" s="99" t="s">
        <v>55</v>
      </c>
      <c r="U155" s="80" t="s">
        <v>277</v>
      </c>
    </row>
    <row r="156" spans="1:31" x14ac:dyDescent="0.3">
      <c r="A156" s="196" t="s">
        <v>397</v>
      </c>
      <c r="B156"/>
      <c r="C156"/>
      <c r="E156" s="78">
        <v>10</v>
      </c>
      <c r="F156" s="97" t="s">
        <v>97</v>
      </c>
      <c r="G156" s="79"/>
      <c r="H156" s="98" t="s">
        <v>98</v>
      </c>
      <c r="I156" s="79"/>
      <c r="J156" s="97" t="s">
        <v>97</v>
      </c>
      <c r="K156" s="79" t="s">
        <v>395</v>
      </c>
      <c r="L156" s="98" t="s">
        <v>98</v>
      </c>
      <c r="M156" s="79"/>
      <c r="N156" s="97" t="s">
        <v>97</v>
      </c>
      <c r="O156" s="79" t="s">
        <v>392</v>
      </c>
      <c r="P156" s="98" t="s">
        <v>98</v>
      </c>
      <c r="Q156" s="79"/>
      <c r="R156" s="97" t="s">
        <v>97</v>
      </c>
      <c r="S156" s="79" t="s">
        <v>395</v>
      </c>
      <c r="T156" s="98" t="s">
        <v>98</v>
      </c>
      <c r="U156" s="79" t="s">
        <v>395</v>
      </c>
    </row>
    <row r="157" spans="1:31" x14ac:dyDescent="0.3">
      <c r="A157"/>
      <c r="B157"/>
      <c r="C157"/>
      <c r="E157" s="78">
        <v>11</v>
      </c>
      <c r="F157" s="98" t="s">
        <v>97</v>
      </c>
      <c r="G157" s="80"/>
      <c r="H157" s="98" t="s">
        <v>98</v>
      </c>
      <c r="I157" s="80"/>
      <c r="J157" s="98" t="s">
        <v>97</v>
      </c>
      <c r="K157" s="80" t="s">
        <v>395</v>
      </c>
      <c r="L157" s="98" t="s">
        <v>98</v>
      </c>
      <c r="M157" s="80"/>
      <c r="N157" s="98" t="s">
        <v>97</v>
      </c>
      <c r="O157" s="80" t="s">
        <v>392</v>
      </c>
      <c r="P157" s="98" t="s">
        <v>98</v>
      </c>
      <c r="Q157" s="80"/>
      <c r="R157" s="98" t="s">
        <v>97</v>
      </c>
      <c r="S157" s="80" t="s">
        <v>395</v>
      </c>
      <c r="T157" s="98" t="s">
        <v>98</v>
      </c>
      <c r="U157" s="80" t="s">
        <v>395</v>
      </c>
    </row>
    <row r="158" spans="1:31" x14ac:dyDescent="0.3">
      <c r="A158" s="196" t="s">
        <v>279</v>
      </c>
      <c r="B158"/>
      <c r="C158"/>
      <c r="E158" s="78">
        <v>12</v>
      </c>
      <c r="F158" s="98" t="s">
        <v>97</v>
      </c>
      <c r="G158" s="80"/>
      <c r="H158" s="98" t="s">
        <v>98</v>
      </c>
      <c r="I158" s="80"/>
      <c r="J158" s="98" t="s">
        <v>97</v>
      </c>
      <c r="K158" s="80" t="s">
        <v>398</v>
      </c>
      <c r="L158" s="98" t="s">
        <v>98</v>
      </c>
      <c r="M158" s="80"/>
      <c r="N158" s="98" t="s">
        <v>97</v>
      </c>
      <c r="O158" s="80" t="s">
        <v>398</v>
      </c>
      <c r="P158" s="98" t="s">
        <v>98</v>
      </c>
      <c r="Q158" s="80"/>
      <c r="R158" s="98" t="s">
        <v>97</v>
      </c>
      <c r="S158" s="80" t="s">
        <v>396</v>
      </c>
      <c r="T158" s="98" t="s">
        <v>98</v>
      </c>
      <c r="U158" s="80" t="s">
        <v>396</v>
      </c>
    </row>
    <row r="159" spans="1:31" x14ac:dyDescent="0.3">
      <c r="A159"/>
      <c r="B159"/>
      <c r="C159"/>
      <c r="E159" s="78">
        <v>13</v>
      </c>
      <c r="F159" s="98" t="s">
        <v>97</v>
      </c>
      <c r="G159" s="80"/>
      <c r="H159" s="98" t="s">
        <v>98</v>
      </c>
      <c r="I159" s="80"/>
      <c r="J159" s="98" t="s">
        <v>97</v>
      </c>
      <c r="K159" s="80" t="s">
        <v>125</v>
      </c>
      <c r="L159" s="98" t="s">
        <v>98</v>
      </c>
      <c r="M159" s="80"/>
      <c r="N159" s="98" t="s">
        <v>97</v>
      </c>
      <c r="O159" s="80" t="s">
        <v>125</v>
      </c>
      <c r="P159" s="98" t="s">
        <v>98</v>
      </c>
      <c r="Q159" s="80"/>
      <c r="R159" s="98" t="s">
        <v>97</v>
      </c>
      <c r="S159" s="80" t="s">
        <v>125</v>
      </c>
      <c r="T159" s="98" t="s">
        <v>98</v>
      </c>
      <c r="U159" s="80" t="s">
        <v>125</v>
      </c>
    </row>
    <row r="160" spans="1:31" x14ac:dyDescent="0.3">
      <c r="A160"/>
      <c r="B160"/>
      <c r="C160"/>
      <c r="E160" s="78">
        <v>14</v>
      </c>
      <c r="F160" s="98" t="s">
        <v>98</v>
      </c>
      <c r="G160" s="80"/>
      <c r="H160" s="98" t="s">
        <v>97</v>
      </c>
      <c r="I160" s="80"/>
      <c r="J160" s="98" t="s">
        <v>98</v>
      </c>
      <c r="K160" s="80"/>
      <c r="L160" s="98" t="s">
        <v>97</v>
      </c>
      <c r="M160" s="80"/>
      <c r="N160" s="98" t="s">
        <v>98</v>
      </c>
      <c r="O160" s="80"/>
      <c r="P160" s="98" t="s">
        <v>97</v>
      </c>
      <c r="Q160" s="80"/>
      <c r="R160" s="98" t="s">
        <v>98</v>
      </c>
      <c r="S160" s="80" t="s">
        <v>395</v>
      </c>
      <c r="T160" s="98" t="s">
        <v>97</v>
      </c>
      <c r="U160" s="80" t="s">
        <v>395</v>
      </c>
    </row>
    <row r="161" spans="1:21" x14ac:dyDescent="0.3">
      <c r="A161"/>
      <c r="B161"/>
      <c r="C161"/>
      <c r="E161" s="78">
        <v>15</v>
      </c>
      <c r="F161" s="98" t="s">
        <v>98</v>
      </c>
      <c r="G161" s="155"/>
      <c r="H161" s="98" t="s">
        <v>97</v>
      </c>
      <c r="I161" s="155"/>
      <c r="J161" s="98" t="s">
        <v>98</v>
      </c>
      <c r="K161" s="155"/>
      <c r="L161" s="98" t="s">
        <v>97</v>
      </c>
      <c r="M161" s="155"/>
      <c r="N161" s="98" t="s">
        <v>98</v>
      </c>
      <c r="O161" s="155"/>
      <c r="P161" s="98" t="s">
        <v>97</v>
      </c>
      <c r="Q161" s="155"/>
      <c r="R161" s="98" t="s">
        <v>98</v>
      </c>
      <c r="S161" s="80" t="s">
        <v>395</v>
      </c>
      <c r="T161" s="98" t="s">
        <v>97</v>
      </c>
      <c r="U161" s="80" t="s">
        <v>395</v>
      </c>
    </row>
    <row r="162" spans="1:21" x14ac:dyDescent="0.3">
      <c r="A162"/>
      <c r="B162"/>
      <c r="C162"/>
      <c r="E162" s="78">
        <v>16</v>
      </c>
      <c r="F162" s="98" t="s">
        <v>98</v>
      </c>
      <c r="G162" s="80"/>
      <c r="H162" s="98" t="s">
        <v>97</v>
      </c>
      <c r="I162" s="80"/>
      <c r="J162" s="98" t="s">
        <v>98</v>
      </c>
      <c r="K162" s="80"/>
      <c r="L162" s="98" t="s">
        <v>97</v>
      </c>
      <c r="M162" s="80"/>
      <c r="N162" s="98" t="s">
        <v>98</v>
      </c>
      <c r="O162" s="80"/>
      <c r="P162" s="98" t="s">
        <v>97</v>
      </c>
      <c r="Q162" s="80"/>
      <c r="R162" s="98" t="s">
        <v>98</v>
      </c>
      <c r="S162" s="80" t="s">
        <v>398</v>
      </c>
      <c r="T162" s="98" t="s">
        <v>97</v>
      </c>
      <c r="U162" s="80" t="s">
        <v>398</v>
      </c>
    </row>
    <row r="163" spans="1:21" x14ac:dyDescent="0.3">
      <c r="A163"/>
      <c r="B163"/>
      <c r="C163"/>
      <c r="E163" s="78">
        <v>17</v>
      </c>
      <c r="F163" s="99" t="s">
        <v>98</v>
      </c>
      <c r="G163" s="85"/>
      <c r="H163" s="99" t="s">
        <v>97</v>
      </c>
      <c r="I163" s="85"/>
      <c r="J163" s="99" t="s">
        <v>98</v>
      </c>
      <c r="K163" s="85"/>
      <c r="L163" s="99" t="s">
        <v>97</v>
      </c>
      <c r="M163" s="85"/>
      <c r="N163" s="99" t="s">
        <v>98</v>
      </c>
      <c r="O163" s="85"/>
      <c r="P163" s="99" t="s">
        <v>97</v>
      </c>
      <c r="Q163" s="85"/>
      <c r="R163" s="99" t="s">
        <v>98</v>
      </c>
      <c r="S163" s="85" t="s">
        <v>125</v>
      </c>
      <c r="T163" s="99" t="s">
        <v>97</v>
      </c>
      <c r="U163" s="85" t="s">
        <v>125</v>
      </c>
    </row>
    <row r="164" spans="1:21" x14ac:dyDescent="0.3">
      <c r="A164"/>
      <c r="B164"/>
      <c r="C164"/>
      <c r="G164"/>
      <c r="H164"/>
      <c r="I164"/>
      <c r="J164"/>
      <c r="K164"/>
      <c r="L164"/>
      <c r="M164"/>
      <c r="N164" s="84"/>
      <c r="O164" s="256" t="s">
        <v>399</v>
      </c>
      <c r="P164"/>
      <c r="Q164"/>
      <c r="S164" s="256" t="s">
        <v>399</v>
      </c>
      <c r="U164" s="256" t="s">
        <v>399</v>
      </c>
    </row>
    <row r="165" spans="1:21" ht="16.2" thickBot="1" x14ac:dyDescent="0.35">
      <c r="A165"/>
      <c r="B165"/>
      <c r="C165"/>
      <c r="G165" s="78"/>
      <c r="H165" s="84"/>
      <c r="I165" s="74"/>
      <c r="J165"/>
      <c r="K165"/>
      <c r="L165"/>
      <c r="M165" s="74"/>
      <c r="N165"/>
      <c r="O165"/>
      <c r="P165"/>
      <c r="Q165"/>
    </row>
    <row r="166" spans="1:21" x14ac:dyDescent="0.3">
      <c r="A166"/>
      <c r="B166"/>
      <c r="C166"/>
      <c r="D166" s="101" t="s">
        <v>400</v>
      </c>
      <c r="E166" s="74">
        <v>1</v>
      </c>
      <c r="F166" s="202" t="s">
        <v>151</v>
      </c>
      <c r="G166" s="156" t="s">
        <v>154</v>
      </c>
      <c r="H166" s="156" t="s">
        <v>160</v>
      </c>
      <c r="I166" s="203" t="s">
        <v>166</v>
      </c>
      <c r="J166"/>
      <c r="K166"/>
      <c r="L166"/>
      <c r="M166"/>
      <c r="N166"/>
      <c r="O166"/>
      <c r="P166"/>
      <c r="Q166"/>
      <c r="R166"/>
    </row>
    <row r="167" spans="1:21" x14ac:dyDescent="0.3">
      <c r="A167"/>
      <c r="B167"/>
      <c r="C167"/>
      <c r="D167"/>
      <c r="E167" s="78">
        <v>2</v>
      </c>
      <c r="F167" s="174" t="s">
        <v>317</v>
      </c>
      <c r="G167" s="167" t="s">
        <v>396</v>
      </c>
      <c r="H167" s="167" t="s">
        <v>391</v>
      </c>
      <c r="I167" s="204" t="s">
        <v>391</v>
      </c>
      <c r="J167"/>
      <c r="K167"/>
      <c r="L167"/>
      <c r="M167"/>
      <c r="N167"/>
      <c r="O167"/>
      <c r="P167"/>
      <c r="Q167"/>
      <c r="R167" s="74"/>
    </row>
    <row r="168" spans="1:21" x14ac:dyDescent="0.3">
      <c r="A168"/>
      <c r="B168"/>
      <c r="C168"/>
      <c r="D168"/>
      <c r="E168" s="74">
        <v>3</v>
      </c>
      <c r="F168" s="166"/>
      <c r="G168" s="169" t="s">
        <v>155</v>
      </c>
      <c r="H168" s="169" t="s">
        <v>369</v>
      </c>
      <c r="I168" s="168" t="s">
        <v>369</v>
      </c>
      <c r="J168" s="235"/>
      <c r="K168"/>
      <c r="L168"/>
      <c r="M168"/>
      <c r="N168"/>
      <c r="O168"/>
      <c r="P168"/>
      <c r="Q168"/>
      <c r="R168" s="74"/>
    </row>
    <row r="169" spans="1:21" x14ac:dyDescent="0.3">
      <c r="A169"/>
      <c r="B169"/>
      <c r="C169"/>
      <c r="E169" s="78">
        <v>4</v>
      </c>
      <c r="F169" s="166"/>
      <c r="G169" s="169" t="s">
        <v>181</v>
      </c>
      <c r="H169" s="169" t="s">
        <v>322</v>
      </c>
      <c r="I169" s="168" t="s">
        <v>322</v>
      </c>
      <c r="J169"/>
      <c r="K169"/>
      <c r="L169"/>
      <c r="M169"/>
      <c r="N169"/>
      <c r="O169"/>
      <c r="P169"/>
      <c r="Q169"/>
      <c r="R169" s="64"/>
    </row>
    <row r="170" spans="1:21" x14ac:dyDescent="0.3">
      <c r="A170"/>
      <c r="B170"/>
      <c r="C170"/>
      <c r="E170" s="74">
        <v>5</v>
      </c>
      <c r="F170" s="166"/>
      <c r="G170" s="169" t="s">
        <v>167</v>
      </c>
      <c r="H170" s="169" t="s">
        <v>350</v>
      </c>
      <c r="I170" s="168" t="s">
        <v>350</v>
      </c>
      <c r="J170"/>
      <c r="K170"/>
      <c r="L170"/>
      <c r="M170"/>
      <c r="N170"/>
      <c r="O170"/>
      <c r="P170"/>
      <c r="Q170"/>
      <c r="R170" s="64"/>
    </row>
    <row r="171" spans="1:21" x14ac:dyDescent="0.3">
      <c r="A171"/>
      <c r="B171"/>
      <c r="C171"/>
      <c r="E171" s="78">
        <v>6</v>
      </c>
      <c r="F171" s="166"/>
      <c r="G171" s="169" t="s">
        <v>398</v>
      </c>
      <c r="H171" s="169" t="s">
        <v>167</v>
      </c>
      <c r="I171" s="168" t="s">
        <v>167</v>
      </c>
      <c r="J171"/>
      <c r="K171"/>
      <c r="L171"/>
      <c r="M171"/>
      <c r="N171"/>
      <c r="O171"/>
      <c r="P171"/>
      <c r="Q171"/>
      <c r="R171" s="64"/>
    </row>
    <row r="172" spans="1:21" x14ac:dyDescent="0.3">
      <c r="A172"/>
      <c r="B172"/>
      <c r="C172"/>
      <c r="E172" s="74">
        <v>7</v>
      </c>
      <c r="F172" s="166"/>
      <c r="G172" s="169" t="s">
        <v>177</v>
      </c>
      <c r="H172" s="169" t="s">
        <v>396</v>
      </c>
      <c r="I172" s="168" t="s">
        <v>396</v>
      </c>
      <c r="J172"/>
      <c r="K172"/>
      <c r="L172"/>
      <c r="M172"/>
      <c r="N172"/>
      <c r="O172"/>
      <c r="P172"/>
      <c r="Q172"/>
      <c r="R172" s="64"/>
    </row>
    <row r="173" spans="1:21" x14ac:dyDescent="0.3">
      <c r="A173"/>
      <c r="B173"/>
      <c r="C173"/>
      <c r="E173" s="78">
        <v>8</v>
      </c>
      <c r="F173" s="166"/>
      <c r="G173" s="169" t="s">
        <v>161</v>
      </c>
      <c r="H173" s="169" t="s">
        <v>155</v>
      </c>
      <c r="I173" s="168" t="s">
        <v>155</v>
      </c>
      <c r="J173"/>
      <c r="K173"/>
      <c r="L173"/>
      <c r="M173"/>
      <c r="N173"/>
      <c r="O173"/>
      <c r="P173"/>
      <c r="Q173"/>
    </row>
    <row r="174" spans="1:21" x14ac:dyDescent="0.3">
      <c r="A174"/>
      <c r="B174"/>
      <c r="E174" s="74">
        <v>9</v>
      </c>
      <c r="F174" s="166"/>
      <c r="G174" s="169" t="s">
        <v>167</v>
      </c>
      <c r="H174" s="169" t="s">
        <v>181</v>
      </c>
      <c r="I174" s="168" t="s">
        <v>181</v>
      </c>
      <c r="K174"/>
      <c r="L174"/>
      <c r="M174"/>
      <c r="N174"/>
      <c r="O174"/>
      <c r="P174"/>
      <c r="Q174"/>
    </row>
    <row r="175" spans="1:21" x14ac:dyDescent="0.3">
      <c r="A175"/>
      <c r="B175"/>
      <c r="E175" s="78">
        <v>10</v>
      </c>
      <c r="F175" s="166"/>
      <c r="G175" s="169" t="s">
        <v>395</v>
      </c>
      <c r="H175" s="169" t="s">
        <v>167</v>
      </c>
      <c r="I175" s="168" t="s">
        <v>167</v>
      </c>
      <c r="K175"/>
      <c r="L175"/>
      <c r="M175"/>
      <c r="N175"/>
      <c r="O175"/>
      <c r="P175"/>
      <c r="Q175"/>
    </row>
    <row r="176" spans="1:21" x14ac:dyDescent="0.3">
      <c r="A176"/>
      <c r="B176"/>
      <c r="E176" s="74">
        <v>11</v>
      </c>
      <c r="F176" s="166"/>
      <c r="G176" s="169" t="s">
        <v>272</v>
      </c>
      <c r="H176" s="169" t="s">
        <v>398</v>
      </c>
      <c r="I176" s="168" t="s">
        <v>398</v>
      </c>
      <c r="K176"/>
      <c r="L176"/>
      <c r="M176"/>
      <c r="N176"/>
      <c r="O176"/>
      <c r="P176"/>
      <c r="Q176"/>
    </row>
    <row r="177" spans="1:17" x14ac:dyDescent="0.3">
      <c r="A177"/>
      <c r="B177"/>
      <c r="E177" s="78">
        <v>12</v>
      </c>
      <c r="F177" s="166"/>
      <c r="G177" s="169" t="s">
        <v>273</v>
      </c>
      <c r="H177" s="169" t="s">
        <v>177</v>
      </c>
      <c r="I177" s="168" t="s">
        <v>177</v>
      </c>
      <c r="K177"/>
      <c r="L177"/>
      <c r="M177"/>
      <c r="N177"/>
      <c r="O177"/>
      <c r="P177"/>
      <c r="Q177"/>
    </row>
    <row r="178" spans="1:17" x14ac:dyDescent="0.3">
      <c r="E178" s="74">
        <v>13</v>
      </c>
      <c r="F178" s="166"/>
      <c r="G178" s="169" t="s">
        <v>281</v>
      </c>
      <c r="H178" s="169" t="s">
        <v>161</v>
      </c>
      <c r="I178" s="168" t="s">
        <v>161</v>
      </c>
      <c r="L178"/>
    </row>
    <row r="179" spans="1:17" x14ac:dyDescent="0.3">
      <c r="E179" s="78">
        <v>14</v>
      </c>
      <c r="F179" s="166"/>
      <c r="G179" s="169" t="s">
        <v>274</v>
      </c>
      <c r="H179" s="169" t="s">
        <v>167</v>
      </c>
      <c r="I179" s="168" t="s">
        <v>167</v>
      </c>
    </row>
    <row r="180" spans="1:17" x14ac:dyDescent="0.3">
      <c r="E180" s="74">
        <v>15</v>
      </c>
      <c r="F180" s="166"/>
      <c r="G180" s="169" t="s">
        <v>290</v>
      </c>
      <c r="H180" s="169" t="s">
        <v>392</v>
      </c>
      <c r="I180" s="168" t="s">
        <v>392</v>
      </c>
    </row>
    <row r="181" spans="1:17" x14ac:dyDescent="0.3">
      <c r="E181" s="78">
        <v>16</v>
      </c>
      <c r="F181" s="166"/>
      <c r="G181" s="169" t="s">
        <v>270</v>
      </c>
      <c r="H181" s="169" t="s">
        <v>320</v>
      </c>
      <c r="I181" s="168" t="s">
        <v>320</v>
      </c>
    </row>
    <row r="182" spans="1:17" x14ac:dyDescent="0.3">
      <c r="E182" s="78">
        <v>17</v>
      </c>
      <c r="F182" s="166"/>
      <c r="G182" s="169"/>
      <c r="H182" s="169" t="s">
        <v>372</v>
      </c>
      <c r="I182" s="168" t="s">
        <v>372</v>
      </c>
    </row>
    <row r="183" spans="1:17" x14ac:dyDescent="0.3">
      <c r="E183" s="74">
        <v>18</v>
      </c>
      <c r="F183" s="166"/>
      <c r="G183" s="169"/>
      <c r="H183" s="169" t="s">
        <v>352</v>
      </c>
      <c r="I183" s="168" t="s">
        <v>352</v>
      </c>
    </row>
    <row r="184" spans="1:17" x14ac:dyDescent="0.3">
      <c r="E184" s="78">
        <v>19</v>
      </c>
      <c r="F184" s="166"/>
      <c r="G184" s="169"/>
      <c r="H184" s="169" t="s">
        <v>376</v>
      </c>
      <c r="I184" s="168" t="s">
        <v>376</v>
      </c>
    </row>
    <row r="185" spans="1:17" x14ac:dyDescent="0.3">
      <c r="E185" s="78">
        <v>20</v>
      </c>
      <c r="F185" s="166"/>
      <c r="G185" s="169"/>
      <c r="H185" s="169" t="s">
        <v>321</v>
      </c>
      <c r="I185" s="168" t="s">
        <v>321</v>
      </c>
      <c r="J185"/>
    </row>
    <row r="186" spans="1:17" x14ac:dyDescent="0.3">
      <c r="E186" s="78">
        <v>21</v>
      </c>
      <c r="F186" s="166"/>
      <c r="G186" s="169"/>
      <c r="H186" s="169" t="s">
        <v>378</v>
      </c>
      <c r="I186" s="168" t="s">
        <v>378</v>
      </c>
    </row>
    <row r="187" spans="1:17" x14ac:dyDescent="0.3">
      <c r="E187" s="78">
        <v>22</v>
      </c>
      <c r="F187" s="166"/>
      <c r="G187" s="169"/>
      <c r="H187" s="169" t="s">
        <v>353</v>
      </c>
      <c r="I187" s="168" t="s">
        <v>353</v>
      </c>
    </row>
    <row r="188" spans="1:17" x14ac:dyDescent="0.3">
      <c r="E188" s="78">
        <v>23</v>
      </c>
      <c r="F188" s="166"/>
      <c r="G188" s="169"/>
      <c r="H188" s="169" t="s">
        <v>351</v>
      </c>
      <c r="I188" s="168" t="s">
        <v>351</v>
      </c>
    </row>
    <row r="189" spans="1:17" x14ac:dyDescent="0.3">
      <c r="E189" s="78">
        <v>24</v>
      </c>
      <c r="F189" s="166"/>
      <c r="G189" s="169"/>
      <c r="H189" s="169" t="s">
        <v>323</v>
      </c>
      <c r="I189" s="168" t="s">
        <v>323</v>
      </c>
    </row>
    <row r="190" spans="1:17" x14ac:dyDescent="0.3">
      <c r="E190" s="78">
        <v>25</v>
      </c>
      <c r="F190" s="166"/>
      <c r="G190" s="169"/>
      <c r="H190" s="169"/>
      <c r="I190" s="168" t="s">
        <v>167</v>
      </c>
    </row>
    <row r="191" spans="1:17" x14ac:dyDescent="0.3">
      <c r="E191" s="78">
        <v>26</v>
      </c>
      <c r="F191" s="166"/>
      <c r="G191" s="169"/>
      <c r="H191" s="169"/>
      <c r="I191" s="168" t="s">
        <v>395</v>
      </c>
    </row>
    <row r="192" spans="1:17" x14ac:dyDescent="0.3">
      <c r="E192" s="78">
        <v>27</v>
      </c>
      <c r="F192" s="166"/>
      <c r="G192" s="169"/>
      <c r="H192" s="169"/>
      <c r="I192" s="168" t="s">
        <v>272</v>
      </c>
    </row>
    <row r="193" spans="5:9" x14ac:dyDescent="0.3">
      <c r="E193" s="78">
        <v>28</v>
      </c>
      <c r="F193" s="166"/>
      <c r="G193" s="169"/>
      <c r="H193" s="169"/>
      <c r="I193" s="168" t="s">
        <v>273</v>
      </c>
    </row>
    <row r="194" spans="5:9" x14ac:dyDescent="0.3">
      <c r="E194" s="78">
        <v>29</v>
      </c>
      <c r="F194" s="166"/>
      <c r="G194" s="169"/>
      <c r="H194" s="169"/>
      <c r="I194" s="168" t="s">
        <v>281</v>
      </c>
    </row>
    <row r="195" spans="5:9" x14ac:dyDescent="0.3">
      <c r="E195" s="78">
        <v>30</v>
      </c>
      <c r="F195" s="166"/>
      <c r="G195" s="169"/>
      <c r="H195" s="169"/>
      <c r="I195" s="168" t="s">
        <v>274</v>
      </c>
    </row>
    <row r="196" spans="5:9" x14ac:dyDescent="0.3">
      <c r="E196" s="78">
        <v>31</v>
      </c>
      <c r="F196" s="166"/>
      <c r="G196" s="169"/>
      <c r="H196" s="169"/>
      <c r="I196" s="168" t="s">
        <v>290</v>
      </c>
    </row>
    <row r="197" spans="5:9" x14ac:dyDescent="0.3">
      <c r="E197" s="78">
        <v>32</v>
      </c>
      <c r="F197" s="166"/>
      <c r="G197" s="169"/>
      <c r="H197" s="169"/>
      <c r="I197" s="168" t="s">
        <v>270</v>
      </c>
    </row>
    <row r="198" spans="5:9" ht="16.2" thickBot="1" x14ac:dyDescent="0.35">
      <c r="E198" s="78">
        <v>33</v>
      </c>
      <c r="F198" s="170"/>
      <c r="G198" s="171"/>
      <c r="H198" s="171"/>
      <c r="I198" s="17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4"/>
  <sheetViews>
    <sheetView zoomScale="70" zoomScaleNormal="70" workbookViewId="0">
      <pane xSplit="5" ySplit="2" topLeftCell="F3" activePane="bottomRight" state="frozen"/>
      <selection activeCell="B61" sqref="B61"/>
      <selection pane="topRight" activeCell="B61" sqref="B61"/>
      <selection pane="bottomLeft" activeCell="B61" sqref="B61"/>
      <selection pane="bottomRight" activeCell="B61" sqref="B61"/>
    </sheetView>
  </sheetViews>
  <sheetFormatPr defaultRowHeight="15.6" x14ac:dyDescent="0.3"/>
  <cols>
    <col min="1" max="1" width="15.8984375" bestFit="1" customWidth="1"/>
    <col min="2" max="2" width="7.5" style="1" bestFit="1" customWidth="1"/>
    <col min="3" max="3" width="11.5" bestFit="1" customWidth="1"/>
    <col min="4" max="4" width="50" customWidth="1"/>
    <col min="5" max="5" width="11" style="1" bestFit="1" customWidth="1"/>
    <col min="6" max="6" width="39" customWidth="1"/>
    <col min="7" max="10" width="7.09765625" bestFit="1" customWidth="1"/>
    <col min="11" max="11" width="39.59765625" customWidth="1"/>
    <col min="12" max="13" width="7.09765625" style="1" bestFit="1" customWidth="1"/>
    <col min="14" max="14" width="7.09765625" style="1" customWidth="1"/>
    <col min="15" max="16" width="7.09765625" style="1" bestFit="1" customWidth="1"/>
    <col min="17" max="25" width="7.09765625" bestFit="1" customWidth="1"/>
    <col min="26" max="31" width="7.09765625" customWidth="1"/>
    <col min="32" max="37" width="7.09765625" bestFit="1" customWidth="1"/>
  </cols>
  <sheetData>
    <row r="1" spans="1:37" x14ac:dyDescent="0.3">
      <c r="A1" s="207">
        <f>COLUMN()</f>
        <v>1</v>
      </c>
      <c r="B1" s="207">
        <f>COLUMN()</f>
        <v>2</v>
      </c>
      <c r="C1" s="207">
        <f>COLUMN()</f>
        <v>3</v>
      </c>
      <c r="D1" s="207">
        <f>COLUMN()</f>
        <v>4</v>
      </c>
      <c r="E1" s="207">
        <f>COLUMN()</f>
        <v>5</v>
      </c>
      <c r="F1" s="207">
        <f>COLUMN()</f>
        <v>6</v>
      </c>
      <c r="G1" s="207">
        <f>COLUMN()</f>
        <v>7</v>
      </c>
      <c r="H1" s="207">
        <f>COLUMN()</f>
        <v>8</v>
      </c>
      <c r="I1" s="207">
        <f>COLUMN()</f>
        <v>9</v>
      </c>
      <c r="J1" s="207">
        <f>COLUMN()</f>
        <v>10</v>
      </c>
      <c r="K1" s="207">
        <f>COLUMN()</f>
        <v>11</v>
      </c>
      <c r="L1" s="207">
        <f>COLUMN()</f>
        <v>12</v>
      </c>
      <c r="M1" s="207">
        <f>COLUMN()</f>
        <v>13</v>
      </c>
      <c r="N1" s="207">
        <f>COLUMN()</f>
        <v>14</v>
      </c>
      <c r="O1" s="207">
        <f>COLUMN()</f>
        <v>15</v>
      </c>
      <c r="P1" s="207">
        <f>COLUMN()</f>
        <v>16</v>
      </c>
      <c r="Q1" s="207">
        <f>COLUMN()</f>
        <v>17</v>
      </c>
      <c r="R1" s="207">
        <f>COLUMN()</f>
        <v>18</v>
      </c>
      <c r="S1" s="207">
        <f>COLUMN()</f>
        <v>19</v>
      </c>
      <c r="T1" s="207">
        <f>COLUMN()</f>
        <v>20</v>
      </c>
      <c r="U1" s="207">
        <f>COLUMN()</f>
        <v>21</v>
      </c>
      <c r="V1" s="207">
        <f>COLUMN()</f>
        <v>22</v>
      </c>
      <c r="W1" s="207">
        <f>COLUMN()</f>
        <v>23</v>
      </c>
      <c r="X1" s="207">
        <f>COLUMN()</f>
        <v>24</v>
      </c>
      <c r="Y1" s="207">
        <f>COLUMN()</f>
        <v>25</v>
      </c>
      <c r="Z1" s="207">
        <f>COLUMN()</f>
        <v>26</v>
      </c>
      <c r="AA1" s="207">
        <f>COLUMN()</f>
        <v>27</v>
      </c>
      <c r="AB1" s="207">
        <f>COLUMN()</f>
        <v>28</v>
      </c>
      <c r="AC1" s="207">
        <f>COLUMN()</f>
        <v>29</v>
      </c>
      <c r="AD1" s="207">
        <f>COLUMN()</f>
        <v>30</v>
      </c>
      <c r="AE1" s="207">
        <f>COLUMN()</f>
        <v>31</v>
      </c>
      <c r="AF1" s="207">
        <f>COLUMN()</f>
        <v>32</v>
      </c>
      <c r="AG1" s="207">
        <f>COLUMN()</f>
        <v>33</v>
      </c>
      <c r="AH1" s="207">
        <f>COLUMN()</f>
        <v>34</v>
      </c>
      <c r="AI1" s="207">
        <f>COLUMN()</f>
        <v>35</v>
      </c>
      <c r="AJ1" s="207">
        <f>COLUMN()</f>
        <v>36</v>
      </c>
      <c r="AK1" s="207">
        <f>COLUMN()</f>
        <v>37</v>
      </c>
    </row>
    <row r="2" spans="1:37" ht="72" x14ac:dyDescent="0.3">
      <c r="A2" s="208" t="s">
        <v>0</v>
      </c>
      <c r="B2" s="208" t="s">
        <v>1</v>
      </c>
      <c r="C2" s="208" t="s">
        <v>2</v>
      </c>
      <c r="D2" s="208" t="s">
        <v>402</v>
      </c>
      <c r="E2" s="208" t="s">
        <v>5</v>
      </c>
      <c r="F2" s="208" t="s">
        <v>403</v>
      </c>
      <c r="G2" s="210" t="s">
        <v>404</v>
      </c>
      <c r="H2" s="210" t="s">
        <v>405</v>
      </c>
      <c r="I2" s="210" t="s">
        <v>406</v>
      </c>
      <c r="J2" s="210" t="s">
        <v>407</v>
      </c>
      <c r="K2" s="208" t="s">
        <v>408</v>
      </c>
      <c r="L2" s="212" t="s">
        <v>58</v>
      </c>
      <c r="M2" s="210" t="s">
        <v>145</v>
      </c>
      <c r="N2" s="210" t="s">
        <v>146</v>
      </c>
      <c r="O2" s="210" t="s">
        <v>147</v>
      </c>
      <c r="P2" s="210" t="s">
        <v>148</v>
      </c>
      <c r="Q2" s="210" t="s">
        <v>149</v>
      </c>
      <c r="R2" s="212" t="s">
        <v>86</v>
      </c>
      <c r="S2" s="210" t="s">
        <v>82</v>
      </c>
      <c r="T2" s="210" t="s">
        <v>77</v>
      </c>
      <c r="U2" s="210" t="s">
        <v>70</v>
      </c>
      <c r="V2" s="212" t="s">
        <v>104</v>
      </c>
      <c r="W2" s="210" t="s">
        <v>96</v>
      </c>
      <c r="X2" s="210" t="s">
        <v>93</v>
      </c>
      <c r="Y2" s="210" t="s">
        <v>89</v>
      </c>
      <c r="Z2" s="212" t="s">
        <v>166</v>
      </c>
      <c r="AA2" s="210" t="s">
        <v>394</v>
      </c>
      <c r="AB2" s="210" t="s">
        <v>207</v>
      </c>
      <c r="AC2" s="210" t="s">
        <v>194</v>
      </c>
      <c r="AD2" s="210" t="s">
        <v>201</v>
      </c>
      <c r="AE2" s="210" t="s">
        <v>151</v>
      </c>
      <c r="AF2" s="212" t="s">
        <v>143</v>
      </c>
      <c r="AG2" s="210" t="s">
        <v>141</v>
      </c>
      <c r="AH2" s="210" t="s">
        <v>139</v>
      </c>
      <c r="AI2" s="210" t="s">
        <v>133</v>
      </c>
      <c r="AJ2" s="210" t="s">
        <v>130</v>
      </c>
      <c r="AK2" s="210" t="s">
        <v>127</v>
      </c>
    </row>
    <row r="3" spans="1:37" x14ac:dyDescent="0.3">
      <c r="A3" s="2" t="s">
        <v>125</v>
      </c>
      <c r="B3" s="3"/>
      <c r="C3" s="3"/>
      <c r="D3" s="209" t="s">
        <v>409</v>
      </c>
      <c r="E3" s="3"/>
      <c r="F3" s="149"/>
      <c r="G3" s="96" t="str">
        <f>IFERROR(IF(VLOOKUP(TableHandbook[[#This Row],[UDC]],TableAvailabilities[],2,FALSE)&gt;0,"Y",""),"")</f>
        <v/>
      </c>
      <c r="H3" s="96" t="str">
        <f>IFERROR(IF(VLOOKUP(TableHandbook[[#This Row],[UDC]],TableAvailabilities[],3,FALSE)&gt;0,"Y",""),"")</f>
        <v/>
      </c>
      <c r="I3" s="96" t="str">
        <f>IFERROR(IF(VLOOKUP(TableHandbook[[#This Row],[UDC]],TableAvailabilities[],4,FALSE)&gt;0,"Y",""),"")</f>
        <v/>
      </c>
      <c r="J3" s="96" t="str">
        <f>IFERROR(IF(VLOOKUP(TableHandbook[[#This Row],[UDC]],TableAvailabilities[],5,FALSE)&gt;0,"Y",""),"")</f>
        <v/>
      </c>
      <c r="K3" s="209"/>
      <c r="L3" s="213" t="str">
        <f>IFERROR(VLOOKUP(TableHandbook[[#This Row],[UDC]],TableMCARTS[],7,FALSE),"")</f>
        <v/>
      </c>
      <c r="M3" s="211" t="str">
        <f>IFERROR(VLOOKUP(TableHandbook[[#This Row],[UDC]],TableMJRPCWRIT[],7,FALSE),"")</f>
        <v/>
      </c>
      <c r="N3" s="211" t="str">
        <f>IFERROR(VLOOKUP(TableHandbook[[#This Row],[UDC]],TableMJRPDGCMS[],7,FALSE),"")</f>
        <v/>
      </c>
      <c r="O3" s="211" t="str">
        <f>IFERROR(VLOOKUP(TableHandbook[[#This Row],[UDC]],TableMJRPFINAR[],7,FALSE),"")</f>
        <v/>
      </c>
      <c r="P3" s="211" t="str">
        <f>IFERROR(VLOOKUP(TableHandbook[[#This Row],[UDC]],TableMJRPPWRIT[],7,FALSE),"")</f>
        <v/>
      </c>
      <c r="Q3" s="211" t="str">
        <f>IFERROR(VLOOKUP(TableHandbook[[#This Row],[UDC]],TableMJRPSCRAR[],7,FALSE),"")</f>
        <v/>
      </c>
      <c r="R3" s="213" t="str">
        <f>IFERROR(VLOOKUP(TableHandbook[[#This Row],[UDC]],TableMCMMJRG[],7,FALSE),"")</f>
        <v/>
      </c>
      <c r="S3" s="211" t="str">
        <f>IFERROR(VLOOKUP(TableHandbook[[#This Row],[UDC]],TableMCMMJRN[],7,FALSE),"")</f>
        <v/>
      </c>
      <c r="T3" s="211" t="str">
        <f>IFERROR(VLOOKUP(TableHandbook[[#This Row],[UDC]],TableGDMMJRN[],7,FALSE),"")</f>
        <v/>
      </c>
      <c r="U3" s="211" t="str">
        <f>IFERROR(VLOOKUP(TableHandbook[[#This Row],[UDC]],TableGCMMJRN[],7,FALSE),"")</f>
        <v/>
      </c>
      <c r="V3" s="213" t="str">
        <f>IFERROR(VLOOKUP(TableHandbook[[#This Row],[UDC]],TableMCHRIGLO[],7,FALSE),"")</f>
        <v/>
      </c>
      <c r="W3" s="211" t="str">
        <f>IFERROR(VLOOKUP(TableHandbook[[#This Row],[UDC]],TableMCHRIGHT[],7,FALSE),"")</f>
        <v/>
      </c>
      <c r="X3" s="211" t="str">
        <f>IFERROR(VLOOKUP(TableHandbook[[#This Row],[UDC]],TableGDHRIGHT[],7,FALSE),"")</f>
        <v/>
      </c>
      <c r="Y3" s="211" t="str">
        <f>IFERROR(VLOOKUP(TableHandbook[[#This Row],[UDC]],TableGCHRIGHT[],7,FALSE),"")</f>
        <v/>
      </c>
      <c r="Z3" s="213" t="str">
        <f>IFERROR(VLOOKUP(TableHandbook[[#This Row],[UDC]],TableMCGLOBL2[],7,FALSE),"")</f>
        <v/>
      </c>
      <c r="AA3" s="211" t="str">
        <f>IFERROR(VLOOKUP(TableHandbook[[#This Row],[UDC]],TableMCGLOBL[],7,FALSE),"")</f>
        <v/>
      </c>
      <c r="AB3" s="211" t="str">
        <f>IFERROR(VLOOKUP(TableHandbook[[#This Row],[UDC]],TableSTRPGLOBL[],7,FALSE),"")</f>
        <v/>
      </c>
      <c r="AC3" s="211" t="str">
        <f>IFERROR(VLOOKUP(TableHandbook[[#This Row],[UDC]],TableSTRPHRIGT[],7,FALSE),"")</f>
        <v/>
      </c>
      <c r="AD3" s="211" t="str">
        <f>IFERROR(VLOOKUP(TableHandbook[[#This Row],[UDC]],TableSTRPINTRN[],7,FALSE),"")</f>
        <v/>
      </c>
      <c r="AE3" s="211" t="str">
        <f>IFERROR(VLOOKUP(TableHandbook[[#This Row],[UDC]],TableGCGLOBL[],7,FALSE),"")</f>
        <v/>
      </c>
      <c r="AF3" s="213" t="str">
        <f>IFERROR(VLOOKUP(TableHandbook[[#This Row],[UDC]],TableMCINTREL[],7,FALSE),"")</f>
        <v/>
      </c>
      <c r="AG3" s="211" t="str">
        <f>IFERROR(VLOOKUP(TableHandbook[[#This Row],[UDC]],TableMCINTSEC[],7,FALSE),"")</f>
        <v/>
      </c>
      <c r="AH3" s="211" t="str">
        <f>IFERROR(VLOOKUP(TableHandbook[[#This Row],[UDC]],TableGDINTSEC[],7,FALSE),"")</f>
        <v/>
      </c>
      <c r="AI3" s="211" t="str">
        <f>IFERROR(VLOOKUP(TableHandbook[[#This Row],[UDC]],TableGCINTSEC[],7,FALSE),"")</f>
        <v/>
      </c>
      <c r="AJ3" s="211" t="str">
        <f>IFERROR(VLOOKUP(TableHandbook[[#This Row],[UDC]],TableGCINTELL[],7,FALSE),"")</f>
        <v/>
      </c>
      <c r="AK3" s="211" t="str">
        <f>IFERROR(VLOOKUP(TableHandbook[[#This Row],[UDC]],TableGCIPCSEC[],7,FALSE),"")</f>
        <v/>
      </c>
    </row>
    <row r="4" spans="1:37" x14ac:dyDescent="0.3">
      <c r="A4" s="2" t="s">
        <v>317</v>
      </c>
      <c r="B4" s="3"/>
      <c r="C4" s="3"/>
      <c r="D4" s="209" t="s">
        <v>410</v>
      </c>
      <c r="E4" s="3"/>
      <c r="F4" s="149"/>
      <c r="G4" s="96" t="str">
        <f>IFERROR(IF(VLOOKUP(TableHandbook[[#This Row],[UDC]],TableAvailabilities[],2,FALSE)&gt;0,"Y",""),"")</f>
        <v/>
      </c>
      <c r="H4" s="96" t="str">
        <f>IFERROR(IF(VLOOKUP(TableHandbook[[#This Row],[UDC]],TableAvailabilities[],3,FALSE)&gt;0,"Y",""),"")</f>
        <v/>
      </c>
      <c r="I4" s="96" t="str">
        <f>IFERROR(IF(VLOOKUP(TableHandbook[[#This Row],[UDC]],TableAvailabilities[],4,FALSE)&gt;0,"Y",""),"")</f>
        <v/>
      </c>
      <c r="J4" s="96" t="str">
        <f>IFERROR(IF(VLOOKUP(TableHandbook[[#This Row],[UDC]],TableAvailabilities[],5,FALSE)&gt;0,"Y",""),"")</f>
        <v/>
      </c>
      <c r="K4" s="209"/>
      <c r="L4" s="213" t="str">
        <f>IFERROR(VLOOKUP(TableHandbook[[#This Row],[UDC]],TableMCARTS[],7,FALSE),"")</f>
        <v/>
      </c>
      <c r="M4" s="211" t="str">
        <f>IFERROR(VLOOKUP(TableHandbook[[#This Row],[UDC]],TableMJRPCWRIT[],7,FALSE),"")</f>
        <v/>
      </c>
      <c r="N4" s="211" t="str">
        <f>IFERROR(VLOOKUP(TableHandbook[[#This Row],[UDC]],TableMJRPDGCMS[],7,FALSE),"")</f>
        <v/>
      </c>
      <c r="O4" s="211" t="str">
        <f>IFERROR(VLOOKUP(TableHandbook[[#This Row],[UDC]],TableMJRPFINAR[],7,FALSE),"")</f>
        <v/>
      </c>
      <c r="P4" s="211" t="str">
        <f>IFERROR(VLOOKUP(TableHandbook[[#This Row],[UDC]],TableMJRPPWRIT[],7,FALSE),"")</f>
        <v/>
      </c>
      <c r="Q4" s="211" t="str">
        <f>IFERROR(VLOOKUP(TableHandbook[[#This Row],[UDC]],TableMJRPSCRAR[],7,FALSE),"")</f>
        <v/>
      </c>
      <c r="R4" s="213" t="str">
        <f>IFERROR(VLOOKUP(TableHandbook[[#This Row],[UDC]],TableMCMMJRG[],7,FALSE),"")</f>
        <v/>
      </c>
      <c r="S4" s="211" t="str">
        <f>IFERROR(VLOOKUP(TableHandbook[[#This Row],[UDC]],TableMCMMJRN[],7,FALSE),"")</f>
        <v/>
      </c>
      <c r="T4" s="211" t="str">
        <f>IFERROR(VLOOKUP(TableHandbook[[#This Row],[UDC]],TableGDMMJRN[],7,FALSE),"")</f>
        <v/>
      </c>
      <c r="U4" s="211" t="str">
        <f>IFERROR(VLOOKUP(TableHandbook[[#This Row],[UDC]],TableGCMMJRN[],7,FALSE),"")</f>
        <v/>
      </c>
      <c r="V4" s="213" t="str">
        <f>IFERROR(VLOOKUP(TableHandbook[[#This Row],[UDC]],TableMCHRIGLO[],7,FALSE),"")</f>
        <v/>
      </c>
      <c r="W4" s="211" t="str">
        <f>IFERROR(VLOOKUP(TableHandbook[[#This Row],[UDC]],TableMCHRIGHT[],7,FALSE),"")</f>
        <v/>
      </c>
      <c r="X4" s="211" t="str">
        <f>IFERROR(VLOOKUP(TableHandbook[[#This Row],[UDC]],TableGDHRIGHT[],7,FALSE),"")</f>
        <v/>
      </c>
      <c r="Y4" s="211" t="str">
        <f>IFERROR(VLOOKUP(TableHandbook[[#This Row],[UDC]],TableGCHRIGHT[],7,FALSE),"")</f>
        <v/>
      </c>
      <c r="Z4" s="213" t="str">
        <f>IFERROR(VLOOKUP(TableHandbook[[#This Row],[UDC]],TableMCGLOBL2[],7,FALSE),"")</f>
        <v/>
      </c>
      <c r="AA4" s="211" t="str">
        <f>IFERROR(VLOOKUP(TableHandbook[[#This Row],[UDC]],TableMCGLOBL[],7,FALSE),"")</f>
        <v/>
      </c>
      <c r="AB4" s="211" t="str">
        <f>IFERROR(VLOOKUP(TableHandbook[[#This Row],[UDC]],TableSTRPGLOBL[],7,FALSE),"")</f>
        <v/>
      </c>
      <c r="AC4" s="211" t="str">
        <f>IFERROR(VLOOKUP(TableHandbook[[#This Row],[UDC]],TableSTRPHRIGT[],7,FALSE),"")</f>
        <v/>
      </c>
      <c r="AD4" s="211" t="str">
        <f>IFERROR(VLOOKUP(TableHandbook[[#This Row],[UDC]],TableSTRPINTRN[],7,FALSE),"")</f>
        <v/>
      </c>
      <c r="AE4" s="211" t="str">
        <f>IFERROR(VLOOKUP(TableHandbook[[#This Row],[UDC]],TableGCGLOBL[],7,FALSE),"")</f>
        <v/>
      </c>
      <c r="AF4" s="213" t="str">
        <f>IFERROR(VLOOKUP(TableHandbook[[#This Row],[UDC]],TableMCINTREL[],7,FALSE),"")</f>
        <v/>
      </c>
      <c r="AG4" s="211" t="str">
        <f>IFERROR(VLOOKUP(TableHandbook[[#This Row],[UDC]],TableMCINTSEC[],7,FALSE),"")</f>
        <v/>
      </c>
      <c r="AH4" s="211" t="str">
        <f>IFERROR(VLOOKUP(TableHandbook[[#This Row],[UDC]],TableGDINTSEC[],7,FALSE),"")</f>
        <v/>
      </c>
      <c r="AI4" s="211" t="str">
        <f>IFERROR(VLOOKUP(TableHandbook[[#This Row],[UDC]],TableGCINTSEC[],7,FALSE),"")</f>
        <v/>
      </c>
      <c r="AJ4" s="211" t="str">
        <f>IFERROR(VLOOKUP(TableHandbook[[#This Row],[UDC]],TableGCINTELL[],7,FALSE),"")</f>
        <v/>
      </c>
      <c r="AK4" s="211" t="str">
        <f>IFERROR(VLOOKUP(TableHandbook[[#This Row],[UDC]],TableGCIPCSEC[],7,FALSE),"")</f>
        <v/>
      </c>
    </row>
    <row r="5" spans="1:37" ht="27" x14ac:dyDescent="0.3">
      <c r="A5" s="2" t="s">
        <v>269</v>
      </c>
      <c r="B5" s="3"/>
      <c r="C5" s="3"/>
      <c r="D5" s="209" t="s">
        <v>411</v>
      </c>
      <c r="E5" s="3"/>
      <c r="F5" s="149" t="s">
        <v>412</v>
      </c>
      <c r="G5" s="96" t="str">
        <f>IFERROR(IF(VLOOKUP(TableHandbook[[#This Row],[UDC]],TableAvailabilities[],2,FALSE)&gt;0,"Y",""),"")</f>
        <v/>
      </c>
      <c r="H5" s="96" t="str">
        <f>IFERROR(IF(VLOOKUP(TableHandbook[[#This Row],[UDC]],TableAvailabilities[],3,FALSE)&gt;0,"Y",""),"")</f>
        <v/>
      </c>
      <c r="I5" s="96" t="str">
        <f>IFERROR(IF(VLOOKUP(TableHandbook[[#This Row],[UDC]],TableAvailabilities[],4,FALSE)&gt;0,"Y",""),"")</f>
        <v/>
      </c>
      <c r="J5" s="96" t="str">
        <f>IFERROR(IF(VLOOKUP(TableHandbook[[#This Row],[UDC]],TableAvailabilities[],5,FALSE)&gt;0,"Y",""),"")</f>
        <v/>
      </c>
      <c r="K5" s="209"/>
      <c r="L5" s="213" t="str">
        <f>IFERROR(VLOOKUP(TableHandbook[[#This Row],[UDC]],TableMCARTS[],7,FALSE),"")</f>
        <v/>
      </c>
      <c r="M5" s="211" t="str">
        <f>IFERROR(VLOOKUP(TableHandbook[[#This Row],[UDC]],TableMJRPCWRIT[],7,FALSE),"")</f>
        <v/>
      </c>
      <c r="N5" s="211" t="str">
        <f>IFERROR(VLOOKUP(TableHandbook[[#This Row],[UDC]],TableMJRPDGCMS[],7,FALSE),"")</f>
        <v/>
      </c>
      <c r="O5" s="211" t="str">
        <f>IFERROR(VLOOKUP(TableHandbook[[#This Row],[UDC]],TableMJRPFINAR[],7,FALSE),"")</f>
        <v/>
      </c>
      <c r="P5" s="211" t="str">
        <f>IFERROR(VLOOKUP(TableHandbook[[#This Row],[UDC]],TableMJRPPWRIT[],7,FALSE),"")</f>
        <v/>
      </c>
      <c r="Q5" s="211" t="str">
        <f>IFERROR(VLOOKUP(TableHandbook[[#This Row],[UDC]],TableMJRPSCRAR[],7,FALSE),"")</f>
        <v/>
      </c>
      <c r="R5" s="213" t="str">
        <f>IFERROR(VLOOKUP(TableHandbook[[#This Row],[UDC]],TableMCMMJRG[],7,FALSE),"")</f>
        <v/>
      </c>
      <c r="S5" s="211" t="str">
        <f>IFERROR(VLOOKUP(TableHandbook[[#This Row],[UDC]],TableMCMMJRN[],7,FALSE),"")</f>
        <v/>
      </c>
      <c r="T5" s="211" t="str">
        <f>IFERROR(VLOOKUP(TableHandbook[[#This Row],[UDC]],TableGDMMJRN[],7,FALSE),"")</f>
        <v/>
      </c>
      <c r="U5" s="211" t="str">
        <f>IFERROR(VLOOKUP(TableHandbook[[#This Row],[UDC]],TableGCMMJRN[],7,FALSE),"")</f>
        <v/>
      </c>
      <c r="V5" s="213" t="str">
        <f>IFERROR(VLOOKUP(TableHandbook[[#This Row],[UDC]],TableMCHRIGLO[],7,FALSE),"")</f>
        <v/>
      </c>
      <c r="W5" s="211" t="str">
        <f>IFERROR(VLOOKUP(TableHandbook[[#This Row],[UDC]],TableMCHRIGHT[],7,FALSE),"")</f>
        <v/>
      </c>
      <c r="X5" s="211" t="str">
        <f>IFERROR(VLOOKUP(TableHandbook[[#This Row],[UDC]],TableGDHRIGHT[],7,FALSE),"")</f>
        <v/>
      </c>
      <c r="Y5" s="211" t="str">
        <f>IFERROR(VLOOKUP(TableHandbook[[#This Row],[UDC]],TableGCHRIGHT[],7,FALSE),"")</f>
        <v/>
      </c>
      <c r="Z5" s="213" t="str">
        <f>IFERROR(VLOOKUP(TableHandbook[[#This Row],[UDC]],TableMCGLOBL2[],7,FALSE),"")</f>
        <v/>
      </c>
      <c r="AA5" s="211" t="str">
        <f>IFERROR(VLOOKUP(TableHandbook[[#This Row],[UDC]],TableMCGLOBL[],7,FALSE),"")</f>
        <v/>
      </c>
      <c r="AB5" s="211" t="str">
        <f>IFERROR(VLOOKUP(TableHandbook[[#This Row],[UDC]],TableSTRPGLOBL[],7,FALSE),"")</f>
        <v/>
      </c>
      <c r="AC5" s="211" t="str">
        <f>IFERROR(VLOOKUP(TableHandbook[[#This Row],[UDC]],TableSTRPHRIGT[],7,FALSE),"")</f>
        <v/>
      </c>
      <c r="AD5" s="211" t="str">
        <f>IFERROR(VLOOKUP(TableHandbook[[#This Row],[UDC]],TableSTRPINTRN[],7,FALSE),"")</f>
        <v/>
      </c>
      <c r="AE5" s="211" t="str">
        <f>IFERROR(VLOOKUP(TableHandbook[[#This Row],[UDC]],TableGCGLOBL[],7,FALSE),"")</f>
        <v/>
      </c>
      <c r="AF5" s="213" t="str">
        <f>IFERROR(VLOOKUP(TableHandbook[[#This Row],[UDC]],TableMCINTREL[],7,FALSE),"")</f>
        <v/>
      </c>
      <c r="AG5" s="211" t="str">
        <f>IFERROR(VLOOKUP(TableHandbook[[#This Row],[UDC]],TableMCINTSEC[],7,FALSE),"")</f>
        <v/>
      </c>
      <c r="AH5" s="211" t="str">
        <f>IFERROR(VLOOKUP(TableHandbook[[#This Row],[UDC]],TableGDINTSEC[],7,FALSE),"")</f>
        <v/>
      </c>
      <c r="AI5" s="211" t="str">
        <f>IFERROR(VLOOKUP(TableHandbook[[#This Row],[UDC]],TableGCINTSEC[],7,FALSE),"")</f>
        <v/>
      </c>
      <c r="AJ5" s="211" t="str">
        <f>IFERROR(VLOOKUP(TableHandbook[[#This Row],[UDC]],TableGCINTELL[],7,FALSE),"")</f>
        <v/>
      </c>
      <c r="AK5" s="211" t="str">
        <f>IFERROR(VLOOKUP(TableHandbook[[#This Row],[UDC]],TableGCIPCSEC[],7,FALSE),"")</f>
        <v/>
      </c>
    </row>
    <row r="6" spans="1:37" x14ac:dyDescent="0.3">
      <c r="A6" s="2" t="s">
        <v>186</v>
      </c>
      <c r="B6" s="3"/>
      <c r="C6" s="3"/>
      <c r="D6" s="209" t="s">
        <v>413</v>
      </c>
      <c r="E6" s="3"/>
      <c r="F6" s="149"/>
      <c r="G6" s="96" t="str">
        <f>IFERROR(IF(VLOOKUP(TableHandbook[[#This Row],[UDC]],TableAvailabilities[],2,FALSE)&gt;0,"Y",""),"")</f>
        <v/>
      </c>
      <c r="H6" s="96" t="str">
        <f>IFERROR(IF(VLOOKUP(TableHandbook[[#This Row],[UDC]],TableAvailabilities[],3,FALSE)&gt;0,"Y",""),"")</f>
        <v/>
      </c>
      <c r="I6" s="96" t="str">
        <f>IFERROR(IF(VLOOKUP(TableHandbook[[#This Row],[UDC]],TableAvailabilities[],4,FALSE)&gt;0,"Y",""),"")</f>
        <v/>
      </c>
      <c r="J6" s="96" t="str">
        <f>IFERROR(IF(VLOOKUP(TableHandbook[[#This Row],[UDC]],TableAvailabilities[],5,FALSE)&gt;0,"Y",""),"")</f>
        <v/>
      </c>
      <c r="K6" s="209"/>
      <c r="L6" s="213" t="str">
        <f>IFERROR(VLOOKUP(TableHandbook[[#This Row],[UDC]],TableMCARTS[],7,FALSE),"")</f>
        <v/>
      </c>
      <c r="M6" s="211" t="str">
        <f>IFERROR(VLOOKUP(TableHandbook[[#This Row],[UDC]],TableMJRPCWRIT[],7,FALSE),"")</f>
        <v/>
      </c>
      <c r="N6" s="211" t="str">
        <f>IFERROR(VLOOKUP(TableHandbook[[#This Row],[UDC]],TableMJRPDGCMS[],7,FALSE),"")</f>
        <v/>
      </c>
      <c r="O6" s="211" t="str">
        <f>IFERROR(VLOOKUP(TableHandbook[[#This Row],[UDC]],TableMJRPFINAR[],7,FALSE),"")</f>
        <v/>
      </c>
      <c r="P6" s="211" t="str">
        <f>IFERROR(VLOOKUP(TableHandbook[[#This Row],[UDC]],TableMJRPPWRIT[],7,FALSE),"")</f>
        <v/>
      </c>
      <c r="Q6" s="211" t="str">
        <f>IFERROR(VLOOKUP(TableHandbook[[#This Row],[UDC]],TableMJRPSCRAR[],7,FALSE),"")</f>
        <v/>
      </c>
      <c r="R6" s="213" t="str">
        <f>IFERROR(VLOOKUP(TableHandbook[[#This Row],[UDC]],TableMCMMJRG[],7,FALSE),"")</f>
        <v/>
      </c>
      <c r="S6" s="211" t="str">
        <f>IFERROR(VLOOKUP(TableHandbook[[#This Row],[UDC]],TableMCMMJRN[],7,FALSE),"")</f>
        <v/>
      </c>
      <c r="T6" s="211" t="str">
        <f>IFERROR(VLOOKUP(TableHandbook[[#This Row],[UDC]],TableGDMMJRN[],7,FALSE),"")</f>
        <v/>
      </c>
      <c r="U6" s="211" t="str">
        <f>IFERROR(VLOOKUP(TableHandbook[[#This Row],[UDC]],TableGCMMJRN[],7,FALSE),"")</f>
        <v/>
      </c>
      <c r="V6" s="213" t="str">
        <f>IFERROR(VLOOKUP(TableHandbook[[#This Row],[UDC]],TableMCHRIGLO[],7,FALSE),"")</f>
        <v/>
      </c>
      <c r="W6" s="211" t="str">
        <f>IFERROR(VLOOKUP(TableHandbook[[#This Row],[UDC]],TableMCHRIGHT[],7,FALSE),"")</f>
        <v/>
      </c>
      <c r="X6" s="211" t="str">
        <f>IFERROR(VLOOKUP(TableHandbook[[#This Row],[UDC]],TableGDHRIGHT[],7,FALSE),"")</f>
        <v/>
      </c>
      <c r="Y6" s="211" t="str">
        <f>IFERROR(VLOOKUP(TableHandbook[[#This Row],[UDC]],TableGCHRIGHT[],7,FALSE),"")</f>
        <v/>
      </c>
      <c r="Z6" s="213" t="str">
        <f>IFERROR(VLOOKUP(TableHandbook[[#This Row],[UDC]],TableMCGLOBL2[],7,FALSE),"")</f>
        <v/>
      </c>
      <c r="AA6" s="211" t="str">
        <f>IFERROR(VLOOKUP(TableHandbook[[#This Row],[UDC]],TableMCGLOBL[],7,FALSE),"")</f>
        <v/>
      </c>
      <c r="AB6" s="211" t="str">
        <f>IFERROR(VLOOKUP(TableHandbook[[#This Row],[UDC]],TableSTRPGLOBL[],7,FALSE),"")</f>
        <v/>
      </c>
      <c r="AC6" s="211" t="str">
        <f>IFERROR(VLOOKUP(TableHandbook[[#This Row],[UDC]],TableSTRPHRIGT[],7,FALSE),"")</f>
        <v/>
      </c>
      <c r="AD6" s="211" t="str">
        <f>IFERROR(VLOOKUP(TableHandbook[[#This Row],[UDC]],TableSTRPINTRN[],7,FALSE),"")</f>
        <v/>
      </c>
      <c r="AE6" s="211" t="str">
        <f>IFERROR(VLOOKUP(TableHandbook[[#This Row],[UDC]],TableGCGLOBL[],7,FALSE),"")</f>
        <v/>
      </c>
      <c r="AF6" s="213" t="str">
        <f>IFERROR(VLOOKUP(TableHandbook[[#This Row],[UDC]],TableMCINTREL[],7,FALSE),"")</f>
        <v/>
      </c>
      <c r="AG6" s="211" t="str">
        <f>IFERROR(VLOOKUP(TableHandbook[[#This Row],[UDC]],TableMCINTSEC[],7,FALSE),"")</f>
        <v/>
      </c>
      <c r="AH6" s="211" t="str">
        <f>IFERROR(VLOOKUP(TableHandbook[[#This Row],[UDC]],TableGDINTSEC[],7,FALSE),"")</f>
        <v/>
      </c>
      <c r="AI6" s="211" t="str">
        <f>IFERROR(VLOOKUP(TableHandbook[[#This Row],[UDC]],TableGCINTSEC[],7,FALSE),"")</f>
        <v/>
      </c>
      <c r="AJ6" s="211" t="str">
        <f>IFERROR(VLOOKUP(TableHandbook[[#This Row],[UDC]],TableGCINTELL[],7,FALSE),"")</f>
        <v/>
      </c>
      <c r="AK6" s="211" t="str">
        <f>IFERROR(VLOOKUP(TableHandbook[[#This Row],[UDC]],TableGCIPCSEC[],7,FALSE),"")</f>
        <v/>
      </c>
    </row>
    <row r="7" spans="1:37" x14ac:dyDescent="0.3">
      <c r="A7" s="2" t="s">
        <v>173</v>
      </c>
      <c r="B7" s="3"/>
      <c r="C7" s="3"/>
      <c r="D7" s="209" t="s">
        <v>414</v>
      </c>
      <c r="E7" s="3"/>
      <c r="F7" s="149"/>
      <c r="G7" s="96" t="str">
        <f>IFERROR(IF(VLOOKUP(TableHandbook[[#This Row],[UDC]],TableAvailabilities[],2,FALSE)&gt;0,"Y",""),"")</f>
        <v/>
      </c>
      <c r="H7" s="96" t="str">
        <f>IFERROR(IF(VLOOKUP(TableHandbook[[#This Row],[UDC]],TableAvailabilities[],3,FALSE)&gt;0,"Y",""),"")</f>
        <v/>
      </c>
      <c r="I7" s="96" t="str">
        <f>IFERROR(IF(VLOOKUP(TableHandbook[[#This Row],[UDC]],TableAvailabilities[],4,FALSE)&gt;0,"Y",""),"")</f>
        <v/>
      </c>
      <c r="J7" s="96" t="str">
        <f>IFERROR(IF(VLOOKUP(TableHandbook[[#This Row],[UDC]],TableAvailabilities[],5,FALSE)&gt;0,"Y",""),"")</f>
        <v/>
      </c>
      <c r="K7" s="209"/>
      <c r="L7" s="213" t="str">
        <f>IFERROR(VLOOKUP(TableHandbook[[#This Row],[UDC]],TableMCARTS[],7,FALSE),"")</f>
        <v/>
      </c>
      <c r="M7" s="211" t="str">
        <f>IFERROR(VLOOKUP(TableHandbook[[#This Row],[UDC]],TableMJRPCWRIT[],7,FALSE),"")</f>
        <v/>
      </c>
      <c r="N7" s="211" t="str">
        <f>IFERROR(VLOOKUP(TableHandbook[[#This Row],[UDC]],TableMJRPDGCMS[],7,FALSE),"")</f>
        <v/>
      </c>
      <c r="O7" s="211" t="str">
        <f>IFERROR(VLOOKUP(TableHandbook[[#This Row],[UDC]],TableMJRPFINAR[],7,FALSE),"")</f>
        <v/>
      </c>
      <c r="P7" s="211" t="str">
        <f>IFERROR(VLOOKUP(TableHandbook[[#This Row],[UDC]],TableMJRPPWRIT[],7,FALSE),"")</f>
        <v/>
      </c>
      <c r="Q7" s="211" t="str">
        <f>IFERROR(VLOOKUP(TableHandbook[[#This Row],[UDC]],TableMJRPSCRAR[],7,FALSE),"")</f>
        <v/>
      </c>
      <c r="R7" s="213" t="str">
        <f>IFERROR(VLOOKUP(TableHandbook[[#This Row],[UDC]],TableMCMMJRG[],7,FALSE),"")</f>
        <v/>
      </c>
      <c r="S7" s="211" t="str">
        <f>IFERROR(VLOOKUP(TableHandbook[[#This Row],[UDC]],TableMCMMJRN[],7,FALSE),"")</f>
        <v/>
      </c>
      <c r="T7" s="211" t="str">
        <f>IFERROR(VLOOKUP(TableHandbook[[#This Row],[UDC]],TableGDMMJRN[],7,FALSE),"")</f>
        <v/>
      </c>
      <c r="U7" s="211" t="str">
        <f>IFERROR(VLOOKUP(TableHandbook[[#This Row],[UDC]],TableGCMMJRN[],7,FALSE),"")</f>
        <v/>
      </c>
      <c r="V7" s="213" t="str">
        <f>IFERROR(VLOOKUP(TableHandbook[[#This Row],[UDC]],TableMCHRIGLO[],7,FALSE),"")</f>
        <v/>
      </c>
      <c r="W7" s="211" t="str">
        <f>IFERROR(VLOOKUP(TableHandbook[[#This Row],[UDC]],TableMCHRIGHT[],7,FALSE),"")</f>
        <v/>
      </c>
      <c r="X7" s="211" t="str">
        <f>IFERROR(VLOOKUP(TableHandbook[[#This Row],[UDC]],TableGDHRIGHT[],7,FALSE),"")</f>
        <v/>
      </c>
      <c r="Y7" s="211" t="str">
        <f>IFERROR(VLOOKUP(TableHandbook[[#This Row],[UDC]],TableGCHRIGHT[],7,FALSE),"")</f>
        <v/>
      </c>
      <c r="Z7" s="213" t="str">
        <f>IFERROR(VLOOKUP(TableHandbook[[#This Row],[UDC]],TableMCGLOBL2[],7,FALSE),"")</f>
        <v/>
      </c>
      <c r="AA7" s="211" t="str">
        <f>IFERROR(VLOOKUP(TableHandbook[[#This Row],[UDC]],TableMCGLOBL[],7,FALSE),"")</f>
        <v/>
      </c>
      <c r="AB7" s="211" t="str">
        <f>IFERROR(VLOOKUP(TableHandbook[[#This Row],[UDC]],TableSTRPGLOBL[],7,FALSE),"")</f>
        <v/>
      </c>
      <c r="AC7" s="211" t="str">
        <f>IFERROR(VLOOKUP(TableHandbook[[#This Row],[UDC]],TableSTRPHRIGT[],7,FALSE),"")</f>
        <v/>
      </c>
      <c r="AD7" s="211" t="str">
        <f>IFERROR(VLOOKUP(TableHandbook[[#This Row],[UDC]],TableSTRPINTRN[],7,FALSE),"")</f>
        <v/>
      </c>
      <c r="AE7" s="211" t="str">
        <f>IFERROR(VLOOKUP(TableHandbook[[#This Row],[UDC]],TableGCGLOBL[],7,FALSE),"")</f>
        <v/>
      </c>
      <c r="AF7" s="213" t="str">
        <f>IFERROR(VLOOKUP(TableHandbook[[#This Row],[UDC]],TableMCINTREL[],7,FALSE),"")</f>
        <v/>
      </c>
      <c r="AG7" s="211" t="str">
        <f>IFERROR(VLOOKUP(TableHandbook[[#This Row],[UDC]],TableMCINTSEC[],7,FALSE),"")</f>
        <v/>
      </c>
      <c r="AH7" s="211" t="str">
        <f>IFERROR(VLOOKUP(TableHandbook[[#This Row],[UDC]],TableGDINTSEC[],7,FALSE),"")</f>
        <v/>
      </c>
      <c r="AI7" s="211" t="str">
        <f>IFERROR(VLOOKUP(TableHandbook[[#This Row],[UDC]],TableGCINTSEC[],7,FALSE),"")</f>
        <v/>
      </c>
      <c r="AJ7" s="211" t="str">
        <f>IFERROR(VLOOKUP(TableHandbook[[#This Row],[UDC]],TableGCINTELL[],7,FALSE),"")</f>
        <v/>
      </c>
      <c r="AK7" s="211" t="str">
        <f>IFERROR(VLOOKUP(TableHandbook[[#This Row],[UDC]],TableGCIPCSEC[],7,FALSE),"")</f>
        <v/>
      </c>
    </row>
    <row r="8" spans="1:37" x14ac:dyDescent="0.3">
      <c r="A8" s="2" t="s">
        <v>118</v>
      </c>
      <c r="B8" s="3">
        <v>0</v>
      </c>
      <c r="C8" s="3"/>
      <c r="D8" s="209" t="s">
        <v>415</v>
      </c>
      <c r="E8" s="3">
        <v>50</v>
      </c>
      <c r="F8" s="149" t="s">
        <v>416</v>
      </c>
      <c r="G8" s="96" t="str">
        <f>IFERROR(IF(VLOOKUP(TableHandbook[[#This Row],[UDC]],TableAvailabilities[],2,FALSE)&gt;0,"Y",""),"")</f>
        <v>Y</v>
      </c>
      <c r="H8" s="96" t="str">
        <f>IFERROR(IF(VLOOKUP(TableHandbook[[#This Row],[UDC]],TableAvailabilities[],3,FALSE)&gt;0,"Y",""),"")</f>
        <v>Y</v>
      </c>
      <c r="I8" s="96" t="str">
        <f>IFERROR(IF(VLOOKUP(TableHandbook[[#This Row],[UDC]],TableAvailabilities[],4,FALSE)&gt;0,"Y",""),"")</f>
        <v>Y</v>
      </c>
      <c r="J8" s="96" t="str">
        <f>IFERROR(IF(VLOOKUP(TableHandbook[[#This Row],[UDC]],TableAvailabilities[],5,FALSE)&gt;0,"Y",""),"")</f>
        <v>Y</v>
      </c>
      <c r="K8" s="209"/>
      <c r="L8" s="213" t="str">
        <f>IFERROR(VLOOKUP(TableHandbook[[#This Row],[UDC]],TableMCARTS[],7,FALSE),"")</f>
        <v/>
      </c>
      <c r="M8" s="211" t="str">
        <f>IFERROR(VLOOKUP(TableHandbook[[#This Row],[UDC]],TableMJRPCWRIT[],7,FALSE),"")</f>
        <v>AltCore</v>
      </c>
      <c r="N8" s="211" t="str">
        <f>IFERROR(VLOOKUP(TableHandbook[[#This Row],[UDC]],TableMJRPDGCMS[],7,FALSE),"")</f>
        <v/>
      </c>
      <c r="O8" s="211" t="str">
        <f>IFERROR(VLOOKUP(TableHandbook[[#This Row],[UDC]],TableMJRPFINAR[],7,FALSE),"")</f>
        <v/>
      </c>
      <c r="P8" s="211" t="str">
        <f>IFERROR(VLOOKUP(TableHandbook[[#This Row],[UDC]],TableMJRPPWRIT[],7,FALSE),"")</f>
        <v/>
      </c>
      <c r="Q8" s="211" t="str">
        <f>IFERROR(VLOOKUP(TableHandbook[[#This Row],[UDC]],TableMJRPSCRAR[],7,FALSE),"")</f>
        <v/>
      </c>
      <c r="R8" s="213" t="str">
        <f>IFERROR(VLOOKUP(TableHandbook[[#This Row],[UDC]],TableMCMMJRG[],7,FALSE),"")</f>
        <v/>
      </c>
      <c r="S8" s="211" t="str">
        <f>IFERROR(VLOOKUP(TableHandbook[[#This Row],[UDC]],TableMCMMJRN[],7,FALSE),"")</f>
        <v/>
      </c>
      <c r="T8" s="211" t="str">
        <f>IFERROR(VLOOKUP(TableHandbook[[#This Row],[UDC]],TableGDMMJRN[],7,FALSE),"")</f>
        <v/>
      </c>
      <c r="U8" s="211" t="str">
        <f>IFERROR(VLOOKUP(TableHandbook[[#This Row],[UDC]],TableGCMMJRN[],7,FALSE),"")</f>
        <v/>
      </c>
      <c r="V8" s="213" t="str">
        <f>IFERROR(VLOOKUP(TableHandbook[[#This Row],[UDC]],TableMCHRIGLO[],7,FALSE),"")</f>
        <v/>
      </c>
      <c r="W8" s="211" t="str">
        <f>IFERROR(VLOOKUP(TableHandbook[[#This Row],[UDC]],TableMCHRIGHT[],7,FALSE),"")</f>
        <v/>
      </c>
      <c r="X8" s="211" t="str">
        <f>IFERROR(VLOOKUP(TableHandbook[[#This Row],[UDC]],TableGDHRIGHT[],7,FALSE),"")</f>
        <v/>
      </c>
      <c r="Y8" s="211" t="str">
        <f>IFERROR(VLOOKUP(TableHandbook[[#This Row],[UDC]],TableGCHRIGHT[],7,FALSE),"")</f>
        <v/>
      </c>
      <c r="Z8" s="213" t="str">
        <f>IFERROR(VLOOKUP(TableHandbook[[#This Row],[UDC]],TableMCGLOBL2[],7,FALSE),"")</f>
        <v/>
      </c>
      <c r="AA8" s="211" t="str">
        <f>IFERROR(VLOOKUP(TableHandbook[[#This Row],[UDC]],TableMCGLOBL[],7,FALSE),"")</f>
        <v/>
      </c>
      <c r="AB8" s="211" t="str">
        <f>IFERROR(VLOOKUP(TableHandbook[[#This Row],[UDC]],TableSTRPGLOBL[],7,FALSE),"")</f>
        <v/>
      </c>
      <c r="AC8" s="211" t="str">
        <f>IFERROR(VLOOKUP(TableHandbook[[#This Row],[UDC]],TableSTRPHRIGT[],7,FALSE),"")</f>
        <v/>
      </c>
      <c r="AD8" s="211" t="str">
        <f>IFERROR(VLOOKUP(TableHandbook[[#This Row],[UDC]],TableSTRPINTRN[],7,FALSE),"")</f>
        <v/>
      </c>
      <c r="AE8" s="211" t="str">
        <f>IFERROR(VLOOKUP(TableHandbook[[#This Row],[UDC]],TableGCGLOBL[],7,FALSE),"")</f>
        <v/>
      </c>
      <c r="AF8" s="213" t="str">
        <f>IFERROR(VLOOKUP(TableHandbook[[#This Row],[UDC]],TableMCINTREL[],7,FALSE),"")</f>
        <v/>
      </c>
      <c r="AG8" s="211" t="str">
        <f>IFERROR(VLOOKUP(TableHandbook[[#This Row],[UDC]],TableMCINTSEC[],7,FALSE),"")</f>
        <v/>
      </c>
      <c r="AH8" s="211" t="str">
        <f>IFERROR(VLOOKUP(TableHandbook[[#This Row],[UDC]],TableGDINTSEC[],7,FALSE),"")</f>
        <v/>
      </c>
      <c r="AI8" s="211" t="str">
        <f>IFERROR(VLOOKUP(TableHandbook[[#This Row],[UDC]],TableGCINTSEC[],7,FALSE),"")</f>
        <v/>
      </c>
      <c r="AJ8" s="211" t="str">
        <f>IFERROR(VLOOKUP(TableHandbook[[#This Row],[UDC]],TableGCINTELL[],7,FALSE),"")</f>
        <v/>
      </c>
      <c r="AK8" s="211" t="str">
        <f>IFERROR(VLOOKUP(TableHandbook[[#This Row],[UDC]],TableGCIPCSEC[],7,FALSE),"")</f>
        <v/>
      </c>
    </row>
    <row r="9" spans="1:37" x14ac:dyDescent="0.3">
      <c r="A9" s="231" t="s">
        <v>64</v>
      </c>
      <c r="B9" s="3">
        <v>0</v>
      </c>
      <c r="C9" s="3"/>
      <c r="D9" s="209" t="s">
        <v>417</v>
      </c>
      <c r="E9" s="3">
        <v>25</v>
      </c>
      <c r="F9" s="149" t="s">
        <v>416</v>
      </c>
      <c r="G9" s="96" t="str">
        <f>IFERROR(IF(VLOOKUP(TableHandbook[[#This Row],[UDC]],TableAvailabilities[],2,FALSE)&gt;0,"Y",""),"")</f>
        <v/>
      </c>
      <c r="H9" s="96" t="str">
        <f>IFERROR(IF(VLOOKUP(TableHandbook[[#This Row],[UDC]],TableAvailabilities[],3,FALSE)&gt;0,"Y",""),"")</f>
        <v/>
      </c>
      <c r="I9" s="96" t="str">
        <f>IFERROR(IF(VLOOKUP(TableHandbook[[#This Row],[UDC]],TableAvailabilities[],4,FALSE)&gt;0,"Y",""),"")</f>
        <v/>
      </c>
      <c r="J9" s="96" t="str">
        <f>IFERROR(IF(VLOOKUP(TableHandbook[[#This Row],[UDC]],TableAvailabilities[],5,FALSE)&gt;0,"Y",""),"")</f>
        <v/>
      </c>
      <c r="K9" s="209"/>
      <c r="L9" s="213" t="str">
        <f>IFERROR(VLOOKUP(TableHandbook[[#This Row],[UDC]],TableMCARTS[],7,FALSE),"")</f>
        <v/>
      </c>
      <c r="M9" s="211" t="str">
        <f>IFERROR(VLOOKUP(TableHandbook[[#This Row],[UDC]],TableMJRPCWRIT[],7,FALSE),"")</f>
        <v/>
      </c>
      <c r="N9" s="211" t="str">
        <f>IFERROR(VLOOKUP(TableHandbook[[#This Row],[UDC]],TableMJRPDGCMS[],7,FALSE),"")</f>
        <v>AltCore</v>
      </c>
      <c r="O9" s="211" t="str">
        <f>IFERROR(VLOOKUP(TableHandbook[[#This Row],[UDC]],TableMJRPFINAR[],7,FALSE),"")</f>
        <v/>
      </c>
      <c r="P9" s="211" t="str">
        <f>IFERROR(VLOOKUP(TableHandbook[[#This Row],[UDC]],TableMJRPPWRIT[],7,FALSE),"")</f>
        <v/>
      </c>
      <c r="Q9" s="211" t="str">
        <f>IFERROR(VLOOKUP(TableHandbook[[#This Row],[UDC]],TableMJRPSCRAR[],7,FALSE),"")</f>
        <v/>
      </c>
      <c r="R9" s="213" t="str">
        <f>IFERROR(VLOOKUP(TableHandbook[[#This Row],[UDC]],TableMCMMJRG[],7,FALSE),"")</f>
        <v/>
      </c>
      <c r="S9" s="211" t="str">
        <f>IFERROR(VLOOKUP(TableHandbook[[#This Row],[UDC]],TableMCMMJRN[],7,FALSE),"")</f>
        <v/>
      </c>
      <c r="T9" s="211" t="str">
        <f>IFERROR(VLOOKUP(TableHandbook[[#This Row],[UDC]],TableGDMMJRN[],7,FALSE),"")</f>
        <v/>
      </c>
      <c r="U9" s="211" t="str">
        <f>IFERROR(VLOOKUP(TableHandbook[[#This Row],[UDC]],TableGCMMJRN[],7,FALSE),"")</f>
        <v/>
      </c>
      <c r="V9" s="213" t="str">
        <f>IFERROR(VLOOKUP(TableHandbook[[#This Row],[UDC]],TableMCHRIGLO[],7,FALSE),"")</f>
        <v/>
      </c>
      <c r="W9" s="211" t="str">
        <f>IFERROR(VLOOKUP(TableHandbook[[#This Row],[UDC]],TableMCHRIGHT[],7,FALSE),"")</f>
        <v/>
      </c>
      <c r="X9" s="211" t="str">
        <f>IFERROR(VLOOKUP(TableHandbook[[#This Row],[UDC]],TableGDHRIGHT[],7,FALSE),"")</f>
        <v/>
      </c>
      <c r="Y9" s="211" t="str">
        <f>IFERROR(VLOOKUP(TableHandbook[[#This Row],[UDC]],TableGCHRIGHT[],7,FALSE),"")</f>
        <v/>
      </c>
      <c r="Z9" s="213" t="str">
        <f>IFERROR(VLOOKUP(TableHandbook[[#This Row],[UDC]],TableMCGLOBL2[],7,FALSE),"")</f>
        <v/>
      </c>
      <c r="AA9" s="211" t="str">
        <f>IFERROR(VLOOKUP(TableHandbook[[#This Row],[UDC]],TableMCGLOBL[],7,FALSE),"")</f>
        <v/>
      </c>
      <c r="AB9" s="211" t="str">
        <f>IFERROR(VLOOKUP(TableHandbook[[#This Row],[UDC]],TableSTRPGLOBL[],7,FALSE),"")</f>
        <v/>
      </c>
      <c r="AC9" s="211" t="str">
        <f>IFERROR(VLOOKUP(TableHandbook[[#This Row],[UDC]],TableSTRPHRIGT[],7,FALSE),"")</f>
        <v/>
      </c>
      <c r="AD9" s="211" t="str">
        <f>IFERROR(VLOOKUP(TableHandbook[[#This Row],[UDC]],TableSTRPINTRN[],7,FALSE),"")</f>
        <v/>
      </c>
      <c r="AE9" s="211" t="str">
        <f>IFERROR(VLOOKUP(TableHandbook[[#This Row],[UDC]],TableGCGLOBL[],7,FALSE),"")</f>
        <v/>
      </c>
      <c r="AF9" s="213" t="str">
        <f>IFERROR(VLOOKUP(TableHandbook[[#This Row],[UDC]],TableMCINTREL[],7,FALSE),"")</f>
        <v/>
      </c>
      <c r="AG9" s="211" t="str">
        <f>IFERROR(VLOOKUP(TableHandbook[[#This Row],[UDC]],TableMCINTSEC[],7,FALSE),"")</f>
        <v/>
      </c>
      <c r="AH9" s="211" t="str">
        <f>IFERROR(VLOOKUP(TableHandbook[[#This Row],[UDC]],TableGDINTSEC[],7,FALSE),"")</f>
        <v/>
      </c>
      <c r="AI9" s="211" t="str">
        <f>IFERROR(VLOOKUP(TableHandbook[[#This Row],[UDC]],TableGCINTSEC[],7,FALSE),"")</f>
        <v/>
      </c>
      <c r="AJ9" s="211" t="str">
        <f>IFERROR(VLOOKUP(TableHandbook[[#This Row],[UDC]],TableGCINTELL[],7,FALSE),"")</f>
        <v/>
      </c>
      <c r="AK9" s="211" t="str">
        <f>IFERROR(VLOOKUP(TableHandbook[[#This Row],[UDC]],TableGCIPCSEC[],7,FALSE),"")</f>
        <v/>
      </c>
    </row>
    <row r="10" spans="1:37" x14ac:dyDescent="0.3">
      <c r="A10" s="231" t="s">
        <v>119</v>
      </c>
      <c r="B10" s="3">
        <v>0</v>
      </c>
      <c r="C10" s="3"/>
      <c r="D10" s="209" t="s">
        <v>415</v>
      </c>
      <c r="E10" s="3">
        <v>50</v>
      </c>
      <c r="F10" s="149" t="s">
        <v>416</v>
      </c>
      <c r="G10" s="96" t="str">
        <f>IFERROR(IF(VLOOKUP(TableHandbook[[#This Row],[UDC]],TableAvailabilities[],2,FALSE)&gt;0,"Y",""),"")</f>
        <v>Y</v>
      </c>
      <c r="H10" s="96" t="str">
        <f>IFERROR(IF(VLOOKUP(TableHandbook[[#This Row],[UDC]],TableAvailabilities[],3,FALSE)&gt;0,"Y",""),"")</f>
        <v>Y</v>
      </c>
      <c r="I10" s="96" t="str">
        <f>IFERROR(IF(VLOOKUP(TableHandbook[[#This Row],[UDC]],TableAvailabilities[],4,FALSE)&gt;0,"Y",""),"")</f>
        <v>Y</v>
      </c>
      <c r="J10" s="96" t="str">
        <f>IFERROR(IF(VLOOKUP(TableHandbook[[#This Row],[UDC]],TableAvailabilities[],5,FALSE)&gt;0,"Y",""),"")</f>
        <v>Y</v>
      </c>
      <c r="K10" s="209"/>
      <c r="L10" s="213" t="str">
        <f>IFERROR(VLOOKUP(TableHandbook[[#This Row],[UDC]],TableMCARTS[],7,FALSE),"")</f>
        <v/>
      </c>
      <c r="M10" s="211" t="str">
        <f>IFERROR(VLOOKUP(TableHandbook[[#This Row],[UDC]],TableMJRPCWRIT[],7,FALSE),"")</f>
        <v/>
      </c>
      <c r="N10" s="211" t="str">
        <f>IFERROR(VLOOKUP(TableHandbook[[#This Row],[UDC]],TableMJRPDGCMS[],7,FALSE),"")</f>
        <v>AltCore</v>
      </c>
      <c r="O10" s="211" t="str">
        <f>IFERROR(VLOOKUP(TableHandbook[[#This Row],[UDC]],TableMJRPFINAR[],7,FALSE),"")</f>
        <v/>
      </c>
      <c r="P10" s="211" t="str">
        <f>IFERROR(VLOOKUP(TableHandbook[[#This Row],[UDC]],TableMJRPPWRIT[],7,FALSE),"")</f>
        <v/>
      </c>
      <c r="Q10" s="211" t="str">
        <f>IFERROR(VLOOKUP(TableHandbook[[#This Row],[UDC]],TableMJRPSCRAR[],7,FALSE),"")</f>
        <v/>
      </c>
      <c r="R10" s="213" t="str">
        <f>IFERROR(VLOOKUP(TableHandbook[[#This Row],[UDC]],TableMCMMJRG[],7,FALSE),"")</f>
        <v/>
      </c>
      <c r="S10" s="211" t="str">
        <f>IFERROR(VLOOKUP(TableHandbook[[#This Row],[UDC]],TableMCMMJRN[],7,FALSE),"")</f>
        <v/>
      </c>
      <c r="T10" s="211" t="str">
        <f>IFERROR(VLOOKUP(TableHandbook[[#This Row],[UDC]],TableGDMMJRN[],7,FALSE),"")</f>
        <v/>
      </c>
      <c r="U10" s="211" t="str">
        <f>IFERROR(VLOOKUP(TableHandbook[[#This Row],[UDC]],TableGCMMJRN[],7,FALSE),"")</f>
        <v/>
      </c>
      <c r="V10" s="213" t="str">
        <f>IFERROR(VLOOKUP(TableHandbook[[#This Row],[UDC]],TableMCHRIGLO[],7,FALSE),"")</f>
        <v/>
      </c>
      <c r="W10" s="211" t="str">
        <f>IFERROR(VLOOKUP(TableHandbook[[#This Row],[UDC]],TableMCHRIGHT[],7,FALSE),"")</f>
        <v/>
      </c>
      <c r="X10" s="211" t="str">
        <f>IFERROR(VLOOKUP(TableHandbook[[#This Row],[UDC]],TableGDHRIGHT[],7,FALSE),"")</f>
        <v/>
      </c>
      <c r="Y10" s="211" t="str">
        <f>IFERROR(VLOOKUP(TableHandbook[[#This Row],[UDC]],TableGCHRIGHT[],7,FALSE),"")</f>
        <v/>
      </c>
      <c r="Z10" s="213" t="str">
        <f>IFERROR(VLOOKUP(TableHandbook[[#This Row],[UDC]],TableMCGLOBL2[],7,FALSE),"")</f>
        <v/>
      </c>
      <c r="AA10" s="211" t="str">
        <f>IFERROR(VLOOKUP(TableHandbook[[#This Row],[UDC]],TableMCGLOBL[],7,FALSE),"")</f>
        <v/>
      </c>
      <c r="AB10" s="211" t="str">
        <f>IFERROR(VLOOKUP(TableHandbook[[#This Row],[UDC]],TableSTRPGLOBL[],7,FALSE),"")</f>
        <v/>
      </c>
      <c r="AC10" s="211" t="str">
        <f>IFERROR(VLOOKUP(TableHandbook[[#This Row],[UDC]],TableSTRPHRIGT[],7,FALSE),"")</f>
        <v/>
      </c>
      <c r="AD10" s="211" t="str">
        <f>IFERROR(VLOOKUP(TableHandbook[[#This Row],[UDC]],TableSTRPINTRN[],7,FALSE),"")</f>
        <v/>
      </c>
      <c r="AE10" s="211" t="str">
        <f>IFERROR(VLOOKUP(TableHandbook[[#This Row],[UDC]],TableGCGLOBL[],7,FALSE),"")</f>
        <v/>
      </c>
      <c r="AF10" s="213" t="str">
        <f>IFERROR(VLOOKUP(TableHandbook[[#This Row],[UDC]],TableMCINTREL[],7,FALSE),"")</f>
        <v/>
      </c>
      <c r="AG10" s="211" t="str">
        <f>IFERROR(VLOOKUP(TableHandbook[[#This Row],[UDC]],TableMCINTSEC[],7,FALSE),"")</f>
        <v/>
      </c>
      <c r="AH10" s="211" t="str">
        <f>IFERROR(VLOOKUP(TableHandbook[[#This Row],[UDC]],TableGDINTSEC[],7,FALSE),"")</f>
        <v/>
      </c>
      <c r="AI10" s="211" t="str">
        <f>IFERROR(VLOOKUP(TableHandbook[[#This Row],[UDC]],TableGCINTSEC[],7,FALSE),"")</f>
        <v/>
      </c>
      <c r="AJ10" s="211" t="str">
        <f>IFERROR(VLOOKUP(TableHandbook[[#This Row],[UDC]],TableGCINTELL[],7,FALSE),"")</f>
        <v/>
      </c>
      <c r="AK10" s="211" t="str">
        <f>IFERROR(VLOOKUP(TableHandbook[[#This Row],[UDC]],TableGCIPCSEC[],7,FALSE),"")</f>
        <v/>
      </c>
    </row>
    <row r="11" spans="1:37" x14ac:dyDescent="0.3">
      <c r="A11" s="2" t="s">
        <v>65</v>
      </c>
      <c r="B11" s="3">
        <v>0</v>
      </c>
      <c r="C11" s="3"/>
      <c r="D11" s="209" t="s">
        <v>418</v>
      </c>
      <c r="E11" s="3">
        <v>25</v>
      </c>
      <c r="F11" s="149" t="s">
        <v>416</v>
      </c>
      <c r="G11" s="96" t="str">
        <f>IFERROR(IF(VLOOKUP(TableHandbook[[#This Row],[UDC]],TableAvailabilities[],2,FALSE)&gt;0,"Y",""),"")</f>
        <v/>
      </c>
      <c r="H11" s="96" t="str">
        <f>IFERROR(IF(VLOOKUP(TableHandbook[[#This Row],[UDC]],TableAvailabilities[],3,FALSE)&gt;0,"Y",""),"")</f>
        <v/>
      </c>
      <c r="I11" s="96" t="str">
        <f>IFERROR(IF(VLOOKUP(TableHandbook[[#This Row],[UDC]],TableAvailabilities[],4,FALSE)&gt;0,"Y",""),"")</f>
        <v/>
      </c>
      <c r="J11" s="96" t="str">
        <f>IFERROR(IF(VLOOKUP(TableHandbook[[#This Row],[UDC]],TableAvailabilities[],5,FALSE)&gt;0,"Y",""),"")</f>
        <v/>
      </c>
      <c r="K11" s="209"/>
      <c r="L11" s="213" t="str">
        <f>IFERROR(VLOOKUP(TableHandbook[[#This Row],[UDC]],TableMCARTS[],7,FALSE),"")</f>
        <v/>
      </c>
      <c r="M11" s="211" t="str">
        <f>IFERROR(VLOOKUP(TableHandbook[[#This Row],[UDC]],TableMJRPCWRIT[],7,FALSE),"")</f>
        <v/>
      </c>
      <c r="N11" s="211" t="str">
        <f>IFERROR(VLOOKUP(TableHandbook[[#This Row],[UDC]],TableMJRPDGCMS[],7,FALSE),"")</f>
        <v/>
      </c>
      <c r="O11" s="211" t="str">
        <f>IFERROR(VLOOKUP(TableHandbook[[#This Row],[UDC]],TableMJRPFINAR[],7,FALSE),"")</f>
        <v>AltCore</v>
      </c>
      <c r="P11" s="211" t="str">
        <f>IFERROR(VLOOKUP(TableHandbook[[#This Row],[UDC]],TableMJRPPWRIT[],7,FALSE),"")</f>
        <v/>
      </c>
      <c r="Q11" s="211" t="str">
        <f>IFERROR(VLOOKUP(TableHandbook[[#This Row],[UDC]],TableMJRPSCRAR[],7,FALSE),"")</f>
        <v/>
      </c>
      <c r="R11" s="213" t="str">
        <f>IFERROR(VLOOKUP(TableHandbook[[#This Row],[UDC]],TableMCMMJRG[],7,FALSE),"")</f>
        <v/>
      </c>
      <c r="S11" s="211" t="str">
        <f>IFERROR(VLOOKUP(TableHandbook[[#This Row],[UDC]],TableMCMMJRN[],7,FALSE),"")</f>
        <v/>
      </c>
      <c r="T11" s="211" t="str">
        <f>IFERROR(VLOOKUP(TableHandbook[[#This Row],[UDC]],TableGDMMJRN[],7,FALSE),"")</f>
        <v/>
      </c>
      <c r="U11" s="211" t="str">
        <f>IFERROR(VLOOKUP(TableHandbook[[#This Row],[UDC]],TableGCMMJRN[],7,FALSE),"")</f>
        <v/>
      </c>
      <c r="V11" s="213" t="str">
        <f>IFERROR(VLOOKUP(TableHandbook[[#This Row],[UDC]],TableMCHRIGLO[],7,FALSE),"")</f>
        <v/>
      </c>
      <c r="W11" s="211" t="str">
        <f>IFERROR(VLOOKUP(TableHandbook[[#This Row],[UDC]],TableMCHRIGHT[],7,FALSE),"")</f>
        <v/>
      </c>
      <c r="X11" s="211" t="str">
        <f>IFERROR(VLOOKUP(TableHandbook[[#This Row],[UDC]],TableGDHRIGHT[],7,FALSE),"")</f>
        <v/>
      </c>
      <c r="Y11" s="211" t="str">
        <f>IFERROR(VLOOKUP(TableHandbook[[#This Row],[UDC]],TableGCHRIGHT[],7,FALSE),"")</f>
        <v/>
      </c>
      <c r="Z11" s="213" t="str">
        <f>IFERROR(VLOOKUP(TableHandbook[[#This Row],[UDC]],TableMCGLOBL2[],7,FALSE),"")</f>
        <v/>
      </c>
      <c r="AA11" s="211" t="str">
        <f>IFERROR(VLOOKUP(TableHandbook[[#This Row],[UDC]],TableMCGLOBL[],7,FALSE),"")</f>
        <v/>
      </c>
      <c r="AB11" s="211" t="str">
        <f>IFERROR(VLOOKUP(TableHandbook[[#This Row],[UDC]],TableSTRPGLOBL[],7,FALSE),"")</f>
        <v/>
      </c>
      <c r="AC11" s="211" t="str">
        <f>IFERROR(VLOOKUP(TableHandbook[[#This Row],[UDC]],TableSTRPHRIGT[],7,FALSE),"")</f>
        <v/>
      </c>
      <c r="AD11" s="211" t="str">
        <f>IFERROR(VLOOKUP(TableHandbook[[#This Row],[UDC]],TableSTRPINTRN[],7,FALSE),"")</f>
        <v/>
      </c>
      <c r="AE11" s="211" t="str">
        <f>IFERROR(VLOOKUP(TableHandbook[[#This Row],[UDC]],TableGCGLOBL[],7,FALSE),"")</f>
        <v/>
      </c>
      <c r="AF11" s="213" t="str">
        <f>IFERROR(VLOOKUP(TableHandbook[[#This Row],[UDC]],TableMCINTREL[],7,FALSE),"")</f>
        <v/>
      </c>
      <c r="AG11" s="211" t="str">
        <f>IFERROR(VLOOKUP(TableHandbook[[#This Row],[UDC]],TableMCINTSEC[],7,FALSE),"")</f>
        <v/>
      </c>
      <c r="AH11" s="211" t="str">
        <f>IFERROR(VLOOKUP(TableHandbook[[#This Row],[UDC]],TableGDINTSEC[],7,FALSE),"")</f>
        <v/>
      </c>
      <c r="AI11" s="211" t="str">
        <f>IFERROR(VLOOKUP(TableHandbook[[#This Row],[UDC]],TableGCINTSEC[],7,FALSE),"")</f>
        <v/>
      </c>
      <c r="AJ11" s="211" t="str">
        <f>IFERROR(VLOOKUP(TableHandbook[[#This Row],[UDC]],TableGCINTELL[],7,FALSE),"")</f>
        <v/>
      </c>
      <c r="AK11" s="211" t="str">
        <f>IFERROR(VLOOKUP(TableHandbook[[#This Row],[UDC]],TableGCIPCSEC[],7,FALSE),"")</f>
        <v/>
      </c>
    </row>
    <row r="12" spans="1:37" x14ac:dyDescent="0.3">
      <c r="A12" s="2" t="s">
        <v>120</v>
      </c>
      <c r="B12" s="3">
        <v>0</v>
      </c>
      <c r="C12" s="3"/>
      <c r="D12" s="209" t="s">
        <v>415</v>
      </c>
      <c r="E12" s="3">
        <v>50</v>
      </c>
      <c r="F12" s="149" t="s">
        <v>416</v>
      </c>
      <c r="G12" s="96" t="str">
        <f>IFERROR(IF(VLOOKUP(TableHandbook[[#This Row],[UDC]],TableAvailabilities[],2,FALSE)&gt;0,"Y",""),"")</f>
        <v>Y</v>
      </c>
      <c r="H12" s="96" t="str">
        <f>IFERROR(IF(VLOOKUP(TableHandbook[[#This Row],[UDC]],TableAvailabilities[],3,FALSE)&gt;0,"Y",""),"")</f>
        <v>Y</v>
      </c>
      <c r="I12" s="96" t="str">
        <f>IFERROR(IF(VLOOKUP(TableHandbook[[#This Row],[UDC]],TableAvailabilities[],4,FALSE)&gt;0,"Y",""),"")</f>
        <v>Y</v>
      </c>
      <c r="J12" s="96" t="str">
        <f>IFERROR(IF(VLOOKUP(TableHandbook[[#This Row],[UDC]],TableAvailabilities[],5,FALSE)&gt;0,"Y",""),"")</f>
        <v>Y</v>
      </c>
      <c r="K12" s="209"/>
      <c r="L12" s="213" t="str">
        <f>IFERROR(VLOOKUP(TableHandbook[[#This Row],[UDC]],TableMCARTS[],7,FALSE),"")</f>
        <v/>
      </c>
      <c r="M12" s="211" t="str">
        <f>IFERROR(VLOOKUP(TableHandbook[[#This Row],[UDC]],TableMJRPCWRIT[],7,FALSE),"")</f>
        <v/>
      </c>
      <c r="N12" s="211" t="str">
        <f>IFERROR(VLOOKUP(TableHandbook[[#This Row],[UDC]],TableMJRPDGCMS[],7,FALSE),"")</f>
        <v/>
      </c>
      <c r="O12" s="211" t="str">
        <f>IFERROR(VLOOKUP(TableHandbook[[#This Row],[UDC]],TableMJRPFINAR[],7,FALSE),"")</f>
        <v>AltCore</v>
      </c>
      <c r="P12" s="211" t="str">
        <f>IFERROR(VLOOKUP(TableHandbook[[#This Row],[UDC]],TableMJRPPWRIT[],7,FALSE),"")</f>
        <v/>
      </c>
      <c r="Q12" s="211" t="str">
        <f>IFERROR(VLOOKUP(TableHandbook[[#This Row],[UDC]],TableMJRPSCRAR[],7,FALSE),"")</f>
        <v/>
      </c>
      <c r="R12" s="213" t="str">
        <f>IFERROR(VLOOKUP(TableHandbook[[#This Row],[UDC]],TableMCMMJRG[],7,FALSE),"")</f>
        <v/>
      </c>
      <c r="S12" s="211" t="str">
        <f>IFERROR(VLOOKUP(TableHandbook[[#This Row],[UDC]],TableMCMMJRN[],7,FALSE),"")</f>
        <v/>
      </c>
      <c r="T12" s="211" t="str">
        <f>IFERROR(VLOOKUP(TableHandbook[[#This Row],[UDC]],TableGDMMJRN[],7,FALSE),"")</f>
        <v/>
      </c>
      <c r="U12" s="211" t="str">
        <f>IFERROR(VLOOKUP(TableHandbook[[#This Row],[UDC]],TableGCMMJRN[],7,FALSE),"")</f>
        <v/>
      </c>
      <c r="V12" s="213" t="str">
        <f>IFERROR(VLOOKUP(TableHandbook[[#This Row],[UDC]],TableMCHRIGLO[],7,FALSE),"")</f>
        <v/>
      </c>
      <c r="W12" s="211" t="str">
        <f>IFERROR(VLOOKUP(TableHandbook[[#This Row],[UDC]],TableMCHRIGHT[],7,FALSE),"")</f>
        <v/>
      </c>
      <c r="X12" s="211" t="str">
        <f>IFERROR(VLOOKUP(TableHandbook[[#This Row],[UDC]],TableGDHRIGHT[],7,FALSE),"")</f>
        <v/>
      </c>
      <c r="Y12" s="211" t="str">
        <f>IFERROR(VLOOKUP(TableHandbook[[#This Row],[UDC]],TableGCHRIGHT[],7,FALSE),"")</f>
        <v/>
      </c>
      <c r="Z12" s="213" t="str">
        <f>IFERROR(VLOOKUP(TableHandbook[[#This Row],[UDC]],TableMCGLOBL2[],7,FALSE),"")</f>
        <v/>
      </c>
      <c r="AA12" s="211" t="str">
        <f>IFERROR(VLOOKUP(TableHandbook[[#This Row],[UDC]],TableMCGLOBL[],7,FALSE),"")</f>
        <v/>
      </c>
      <c r="AB12" s="211" t="str">
        <f>IFERROR(VLOOKUP(TableHandbook[[#This Row],[UDC]],TableSTRPGLOBL[],7,FALSE),"")</f>
        <v/>
      </c>
      <c r="AC12" s="211" t="str">
        <f>IFERROR(VLOOKUP(TableHandbook[[#This Row],[UDC]],TableSTRPHRIGT[],7,FALSE),"")</f>
        <v/>
      </c>
      <c r="AD12" s="211" t="str">
        <f>IFERROR(VLOOKUP(TableHandbook[[#This Row],[UDC]],TableSTRPINTRN[],7,FALSE),"")</f>
        <v/>
      </c>
      <c r="AE12" s="211" t="str">
        <f>IFERROR(VLOOKUP(TableHandbook[[#This Row],[UDC]],TableGCGLOBL[],7,FALSE),"")</f>
        <v/>
      </c>
      <c r="AF12" s="213" t="str">
        <f>IFERROR(VLOOKUP(TableHandbook[[#This Row],[UDC]],TableMCINTREL[],7,FALSE),"")</f>
        <v/>
      </c>
      <c r="AG12" s="211" t="str">
        <f>IFERROR(VLOOKUP(TableHandbook[[#This Row],[UDC]],TableMCINTSEC[],7,FALSE),"")</f>
        <v/>
      </c>
      <c r="AH12" s="211" t="str">
        <f>IFERROR(VLOOKUP(TableHandbook[[#This Row],[UDC]],TableGDINTSEC[],7,FALSE),"")</f>
        <v/>
      </c>
      <c r="AI12" s="211" t="str">
        <f>IFERROR(VLOOKUP(TableHandbook[[#This Row],[UDC]],TableGCINTSEC[],7,FALSE),"")</f>
        <v/>
      </c>
      <c r="AJ12" s="211" t="str">
        <f>IFERROR(VLOOKUP(TableHandbook[[#This Row],[UDC]],TableGCINTELL[],7,FALSE),"")</f>
        <v/>
      </c>
      <c r="AK12" s="211" t="str">
        <f>IFERROR(VLOOKUP(TableHandbook[[#This Row],[UDC]],TableGCIPCSEC[],7,FALSE),"")</f>
        <v/>
      </c>
    </row>
    <row r="13" spans="1:37" x14ac:dyDescent="0.3">
      <c r="A13" s="2" t="s">
        <v>396</v>
      </c>
      <c r="B13" s="3">
        <v>0</v>
      </c>
      <c r="C13" s="3"/>
      <c r="D13" s="209" t="s">
        <v>419</v>
      </c>
      <c r="E13" s="3">
        <v>50</v>
      </c>
      <c r="F13" s="149" t="s">
        <v>416</v>
      </c>
      <c r="G13" s="96" t="str">
        <f>IFERROR(IF(VLOOKUP(TableHandbook[[#This Row],[UDC]],TableAvailabilities[],2,FALSE)&gt;0,"Y",""),"")</f>
        <v>Y</v>
      </c>
      <c r="H13" s="96" t="str">
        <f>IFERROR(IF(VLOOKUP(TableHandbook[[#This Row],[UDC]],TableAvailabilities[],3,FALSE)&gt;0,"Y",""),"")</f>
        <v>Y</v>
      </c>
      <c r="I13" s="96" t="str">
        <f>IFERROR(IF(VLOOKUP(TableHandbook[[#This Row],[UDC]],TableAvailabilities[],4,FALSE)&gt;0,"Y",""),"")</f>
        <v>Y</v>
      </c>
      <c r="J13" s="96" t="str">
        <f>IFERROR(IF(VLOOKUP(TableHandbook[[#This Row],[UDC]],TableAvailabilities[],5,FALSE)&gt;0,"Y",""),"")</f>
        <v>Y</v>
      </c>
      <c r="K13" s="209"/>
      <c r="L13" s="213" t="str">
        <f>IFERROR(VLOOKUP(TableHandbook[[#This Row],[UDC]],TableMCARTS[],7,FALSE),"")</f>
        <v/>
      </c>
      <c r="M13" s="211" t="str">
        <f>IFERROR(VLOOKUP(TableHandbook[[#This Row],[UDC]],TableMJRPCWRIT[],7,FALSE),"")</f>
        <v/>
      </c>
      <c r="N13" s="211" t="str">
        <f>IFERROR(VLOOKUP(TableHandbook[[#This Row],[UDC]],TableMJRPDGCMS[],7,FALSE),"")</f>
        <v/>
      </c>
      <c r="O13" s="211" t="str">
        <f>IFERROR(VLOOKUP(TableHandbook[[#This Row],[UDC]],TableMJRPFINAR[],7,FALSE),"")</f>
        <v/>
      </c>
      <c r="P13" s="211" t="str">
        <f>IFERROR(VLOOKUP(TableHandbook[[#This Row],[UDC]],TableMJRPPWRIT[],7,FALSE),"")</f>
        <v/>
      </c>
      <c r="Q13" s="211" t="str">
        <f>IFERROR(VLOOKUP(TableHandbook[[#This Row],[UDC]],TableMJRPSCRAR[],7,FALSE),"")</f>
        <v/>
      </c>
      <c r="R13" s="213" t="str">
        <f>IFERROR(VLOOKUP(TableHandbook[[#This Row],[UDC]],TableMCMMJRG[],7,FALSE),"")</f>
        <v/>
      </c>
      <c r="S13" s="211" t="str">
        <f>IFERROR(VLOOKUP(TableHandbook[[#This Row],[UDC]],TableMCMMJRN[],7,FALSE),"")</f>
        <v/>
      </c>
      <c r="T13" s="211" t="str">
        <f>IFERROR(VLOOKUP(TableHandbook[[#This Row],[UDC]],TableGDMMJRN[],7,FALSE),"")</f>
        <v/>
      </c>
      <c r="U13" s="211" t="str">
        <f>IFERROR(VLOOKUP(TableHandbook[[#This Row],[UDC]],TableGCMMJRN[],7,FALSE),"")</f>
        <v/>
      </c>
      <c r="V13" s="213" t="str">
        <f>IFERROR(VLOOKUP(TableHandbook[[#This Row],[UDC]],TableMCHRIGLO[],7,FALSE),"")</f>
        <v/>
      </c>
      <c r="W13" s="211" t="str">
        <f>IFERROR(VLOOKUP(TableHandbook[[#This Row],[UDC]],TableMCHRIGHT[],7,FALSE),"")</f>
        <v/>
      </c>
      <c r="X13" s="211" t="str">
        <f>IFERROR(VLOOKUP(TableHandbook[[#This Row],[UDC]],TableGDHRIGHT[],7,FALSE),"")</f>
        <v/>
      </c>
      <c r="Y13" s="211" t="str">
        <f>IFERROR(VLOOKUP(TableHandbook[[#This Row],[UDC]],TableGCHRIGHT[],7,FALSE),"")</f>
        <v/>
      </c>
      <c r="Z13" s="213" t="str">
        <f>IFERROR(VLOOKUP(TableHandbook[[#This Row],[UDC]],TableMCGLOBL2[],7,FALSE),"")</f>
        <v>AltCore</v>
      </c>
      <c r="AA13" s="211" t="str">
        <f>IFERROR(VLOOKUP(TableHandbook[[#This Row],[UDC]],TableMCGLOBL[],7,FALSE),"")</f>
        <v>AltCore</v>
      </c>
      <c r="AB13" s="211" t="str">
        <f>IFERROR(VLOOKUP(TableHandbook[[#This Row],[UDC]],TableSTRPGLOBL[],7,FALSE),"")</f>
        <v/>
      </c>
      <c r="AC13" s="211" t="str">
        <f>IFERROR(VLOOKUP(TableHandbook[[#This Row],[UDC]],TableSTRPHRIGT[],7,FALSE),"")</f>
        <v/>
      </c>
      <c r="AD13" s="211" t="str">
        <f>IFERROR(VLOOKUP(TableHandbook[[#This Row],[UDC]],TableSTRPINTRN[],7,FALSE),"")</f>
        <v/>
      </c>
      <c r="AE13" s="211" t="str">
        <f>IFERROR(VLOOKUP(TableHandbook[[#This Row],[UDC]],TableGCGLOBL[],7,FALSE),"")</f>
        <v/>
      </c>
      <c r="AF13" s="213" t="str">
        <f>IFERROR(VLOOKUP(TableHandbook[[#This Row],[UDC]],TableMCINTREL[],7,FALSE),"")</f>
        <v/>
      </c>
      <c r="AG13" s="211" t="str">
        <f>IFERROR(VLOOKUP(TableHandbook[[#This Row],[UDC]],TableMCINTSEC[],7,FALSE),"")</f>
        <v/>
      </c>
      <c r="AH13" s="211" t="str">
        <f>IFERROR(VLOOKUP(TableHandbook[[#This Row],[UDC]],TableGDINTSEC[],7,FALSE),"")</f>
        <v/>
      </c>
      <c r="AI13" s="211" t="str">
        <f>IFERROR(VLOOKUP(TableHandbook[[#This Row],[UDC]],TableGCINTSEC[],7,FALSE),"")</f>
        <v/>
      </c>
      <c r="AJ13" s="211" t="str">
        <f>IFERROR(VLOOKUP(TableHandbook[[#This Row],[UDC]],TableGCINTELL[],7,FALSE),"")</f>
        <v/>
      </c>
      <c r="AK13" s="211" t="str">
        <f>IFERROR(VLOOKUP(TableHandbook[[#This Row],[UDC]],TableGCIPCSEC[],7,FALSE),"")</f>
        <v/>
      </c>
    </row>
    <row r="14" spans="1:37" x14ac:dyDescent="0.3">
      <c r="A14" s="2" t="s">
        <v>398</v>
      </c>
      <c r="B14" s="3">
        <v>0</v>
      </c>
      <c r="C14" s="3"/>
      <c r="D14" s="209" t="s">
        <v>420</v>
      </c>
      <c r="E14" s="3">
        <v>50</v>
      </c>
      <c r="F14" s="149" t="s">
        <v>416</v>
      </c>
      <c r="G14" s="96" t="str">
        <f>IFERROR(IF(VLOOKUP(TableHandbook[[#This Row],[UDC]],TableAvailabilities[],2,FALSE)&gt;0,"Y",""),"")</f>
        <v>Y</v>
      </c>
      <c r="H14" s="96" t="str">
        <f>IFERROR(IF(VLOOKUP(TableHandbook[[#This Row],[UDC]],TableAvailabilities[],3,FALSE)&gt;0,"Y",""),"")</f>
        <v>Y</v>
      </c>
      <c r="I14" s="96" t="str">
        <f>IFERROR(IF(VLOOKUP(TableHandbook[[#This Row],[UDC]],TableAvailabilities[],4,FALSE)&gt;0,"Y",""),"")</f>
        <v>Y</v>
      </c>
      <c r="J14" s="96" t="str">
        <f>IFERROR(IF(VLOOKUP(TableHandbook[[#This Row],[UDC]],TableAvailabilities[],5,FALSE)&gt;0,"Y",""),"")</f>
        <v>Y</v>
      </c>
      <c r="K14" s="209"/>
      <c r="L14" s="213" t="str">
        <f>IFERROR(VLOOKUP(TableHandbook[[#This Row],[UDC]],TableMCARTS[],7,FALSE),"")</f>
        <v/>
      </c>
      <c r="M14" s="211" t="str">
        <f>IFERROR(VLOOKUP(TableHandbook[[#This Row],[UDC]],TableMJRPCWRIT[],7,FALSE),"")</f>
        <v/>
      </c>
      <c r="N14" s="211" t="str">
        <f>IFERROR(VLOOKUP(TableHandbook[[#This Row],[UDC]],TableMJRPDGCMS[],7,FALSE),"")</f>
        <v/>
      </c>
      <c r="O14" s="211" t="str">
        <f>IFERROR(VLOOKUP(TableHandbook[[#This Row],[UDC]],TableMJRPFINAR[],7,FALSE),"")</f>
        <v/>
      </c>
      <c r="P14" s="211" t="str">
        <f>IFERROR(VLOOKUP(TableHandbook[[#This Row],[UDC]],TableMJRPPWRIT[],7,FALSE),"")</f>
        <v/>
      </c>
      <c r="Q14" s="211" t="str">
        <f>IFERROR(VLOOKUP(TableHandbook[[#This Row],[UDC]],TableMJRPSCRAR[],7,FALSE),"")</f>
        <v/>
      </c>
      <c r="R14" s="213" t="str">
        <f>IFERROR(VLOOKUP(TableHandbook[[#This Row],[UDC]],TableMCMMJRG[],7,FALSE),"")</f>
        <v/>
      </c>
      <c r="S14" s="211" t="str">
        <f>IFERROR(VLOOKUP(TableHandbook[[#This Row],[UDC]],TableMCMMJRN[],7,FALSE),"")</f>
        <v/>
      </c>
      <c r="T14" s="211" t="str">
        <f>IFERROR(VLOOKUP(TableHandbook[[#This Row],[UDC]],TableGDMMJRN[],7,FALSE),"")</f>
        <v/>
      </c>
      <c r="U14" s="211" t="str">
        <f>IFERROR(VLOOKUP(TableHandbook[[#This Row],[UDC]],TableGCMMJRN[],7,FALSE),"")</f>
        <v/>
      </c>
      <c r="V14" s="213" t="str">
        <f>IFERROR(VLOOKUP(TableHandbook[[#This Row],[UDC]],TableMCHRIGLO[],7,FALSE),"")</f>
        <v/>
      </c>
      <c r="W14" s="211" t="str">
        <f>IFERROR(VLOOKUP(TableHandbook[[#This Row],[UDC]],TableMCHRIGHT[],7,FALSE),"")</f>
        <v/>
      </c>
      <c r="X14" s="211" t="str">
        <f>IFERROR(VLOOKUP(TableHandbook[[#This Row],[UDC]],TableGDHRIGHT[],7,FALSE),"")</f>
        <v/>
      </c>
      <c r="Y14" s="211" t="str">
        <f>IFERROR(VLOOKUP(TableHandbook[[#This Row],[UDC]],TableGCHRIGHT[],7,FALSE),"")</f>
        <v/>
      </c>
      <c r="Z14" s="213" t="str">
        <f>IFERROR(VLOOKUP(TableHandbook[[#This Row],[UDC]],TableMCGLOBL2[],7,FALSE),"")</f>
        <v>AltCore</v>
      </c>
      <c r="AA14" s="211" t="str">
        <f>IFERROR(VLOOKUP(TableHandbook[[#This Row],[UDC]],TableMCGLOBL[],7,FALSE),"")</f>
        <v>AltCore</v>
      </c>
      <c r="AB14" s="211" t="str">
        <f>IFERROR(VLOOKUP(TableHandbook[[#This Row],[UDC]],TableSTRPGLOBL[],7,FALSE),"")</f>
        <v/>
      </c>
      <c r="AC14" s="211" t="str">
        <f>IFERROR(VLOOKUP(TableHandbook[[#This Row],[UDC]],TableSTRPHRIGT[],7,FALSE),"")</f>
        <v/>
      </c>
      <c r="AD14" s="211" t="str">
        <f>IFERROR(VLOOKUP(TableHandbook[[#This Row],[UDC]],TableSTRPINTRN[],7,FALSE),"")</f>
        <v/>
      </c>
      <c r="AE14" s="211" t="str">
        <f>IFERROR(VLOOKUP(TableHandbook[[#This Row],[UDC]],TableGCGLOBL[],7,FALSE),"")</f>
        <v/>
      </c>
      <c r="AF14" s="213" t="str">
        <f>IFERROR(VLOOKUP(TableHandbook[[#This Row],[UDC]],TableMCINTREL[],7,FALSE),"")</f>
        <v/>
      </c>
      <c r="AG14" s="211" t="str">
        <f>IFERROR(VLOOKUP(TableHandbook[[#This Row],[UDC]],TableMCINTSEC[],7,FALSE),"")</f>
        <v/>
      </c>
      <c r="AH14" s="211" t="str">
        <f>IFERROR(VLOOKUP(TableHandbook[[#This Row],[UDC]],TableGDINTSEC[],7,FALSE),"")</f>
        <v/>
      </c>
      <c r="AI14" s="211" t="str">
        <f>IFERROR(VLOOKUP(TableHandbook[[#This Row],[UDC]],TableGCINTSEC[],7,FALSE),"")</f>
        <v/>
      </c>
      <c r="AJ14" s="211" t="str">
        <f>IFERROR(VLOOKUP(TableHandbook[[#This Row],[UDC]],TableGCINTELL[],7,FALSE),"")</f>
        <v/>
      </c>
      <c r="AK14" s="211" t="str">
        <f>IFERROR(VLOOKUP(TableHandbook[[#This Row],[UDC]],TableGCIPCSEC[],7,FALSE),"")</f>
        <v/>
      </c>
    </row>
    <row r="15" spans="1:37" x14ac:dyDescent="0.3">
      <c r="A15" s="2" t="s">
        <v>280</v>
      </c>
      <c r="B15" s="3">
        <v>0</v>
      </c>
      <c r="C15" s="3"/>
      <c r="D15" s="209" t="s">
        <v>419</v>
      </c>
      <c r="E15" s="3">
        <v>50</v>
      </c>
      <c r="F15" s="149" t="s">
        <v>416</v>
      </c>
      <c r="G15" s="96" t="str">
        <f>IFERROR(IF(VLOOKUP(TableHandbook[[#This Row],[UDC]],TableAvailabilities[],2,FALSE)&gt;0,"Y",""),"")</f>
        <v>Y</v>
      </c>
      <c r="H15" s="96" t="str">
        <f>IFERROR(IF(VLOOKUP(TableHandbook[[#This Row],[UDC]],TableAvailabilities[],3,FALSE)&gt;0,"Y",""),"")</f>
        <v>Y</v>
      </c>
      <c r="I15" s="96" t="str">
        <f>IFERROR(IF(VLOOKUP(TableHandbook[[#This Row],[UDC]],TableAvailabilities[],4,FALSE)&gt;0,"Y",""),"")</f>
        <v>Y</v>
      </c>
      <c r="J15" s="96" t="str">
        <f>IFERROR(IF(VLOOKUP(TableHandbook[[#This Row],[UDC]],TableAvailabilities[],5,FALSE)&gt;0,"Y",""),"")</f>
        <v>Y</v>
      </c>
      <c r="K15" s="209"/>
      <c r="L15" s="213" t="str">
        <f>IFERROR(VLOOKUP(TableHandbook[[#This Row],[UDC]],TableMCARTS[],7,FALSE),"")</f>
        <v/>
      </c>
      <c r="M15" s="211" t="str">
        <f>IFERROR(VLOOKUP(TableHandbook[[#This Row],[UDC]],TableMJRPCWRIT[],7,FALSE),"")</f>
        <v/>
      </c>
      <c r="N15" s="211" t="str">
        <f>IFERROR(VLOOKUP(TableHandbook[[#This Row],[UDC]],TableMJRPDGCMS[],7,FALSE),"")</f>
        <v/>
      </c>
      <c r="O15" s="211" t="str">
        <f>IFERROR(VLOOKUP(TableHandbook[[#This Row],[UDC]],TableMJRPFINAR[],7,FALSE),"")</f>
        <v/>
      </c>
      <c r="P15" s="211" t="str">
        <f>IFERROR(VLOOKUP(TableHandbook[[#This Row],[UDC]],TableMJRPPWRIT[],7,FALSE),"")</f>
        <v/>
      </c>
      <c r="Q15" s="211" t="str">
        <f>IFERROR(VLOOKUP(TableHandbook[[#This Row],[UDC]],TableMJRPSCRAR[],7,FALSE),"")</f>
        <v/>
      </c>
      <c r="R15" s="213" t="str">
        <f>IFERROR(VLOOKUP(TableHandbook[[#This Row],[UDC]],TableMCMMJRG[],7,FALSE),"")</f>
        <v/>
      </c>
      <c r="S15" s="211" t="str">
        <f>IFERROR(VLOOKUP(TableHandbook[[#This Row],[UDC]],TableMCMMJRN[],7,FALSE),"")</f>
        <v/>
      </c>
      <c r="T15" s="211" t="str">
        <f>IFERROR(VLOOKUP(TableHandbook[[#This Row],[UDC]],TableGDMMJRN[],7,FALSE),"")</f>
        <v/>
      </c>
      <c r="U15" s="211" t="str">
        <f>IFERROR(VLOOKUP(TableHandbook[[#This Row],[UDC]],TableGCMMJRN[],7,FALSE),"")</f>
        <v/>
      </c>
      <c r="V15" s="213" t="str">
        <f>IFERROR(VLOOKUP(TableHandbook[[#This Row],[UDC]],TableMCHRIGLO[],7,FALSE),"")</f>
        <v/>
      </c>
      <c r="W15" s="211" t="str">
        <f>IFERROR(VLOOKUP(TableHandbook[[#This Row],[UDC]],TableMCHRIGHT[],7,FALSE),"")</f>
        <v>AltCore</v>
      </c>
      <c r="X15" s="211" t="str">
        <f>IFERROR(VLOOKUP(TableHandbook[[#This Row],[UDC]],TableGDHRIGHT[],7,FALSE),"")</f>
        <v/>
      </c>
      <c r="Y15" s="211" t="str">
        <f>IFERROR(VLOOKUP(TableHandbook[[#This Row],[UDC]],TableGCHRIGHT[],7,FALSE),"")</f>
        <v/>
      </c>
      <c r="Z15" s="213" t="str">
        <f>IFERROR(VLOOKUP(TableHandbook[[#This Row],[UDC]],TableMCGLOBL2[],7,FALSE),"")</f>
        <v/>
      </c>
      <c r="AA15" s="211" t="str">
        <f>IFERROR(VLOOKUP(TableHandbook[[#This Row],[UDC]],TableMCGLOBL[],7,FALSE),"")</f>
        <v/>
      </c>
      <c r="AB15" s="211" t="str">
        <f>IFERROR(VLOOKUP(TableHandbook[[#This Row],[UDC]],TableSTRPGLOBL[],7,FALSE),"")</f>
        <v/>
      </c>
      <c r="AC15" s="211" t="str">
        <f>IFERROR(VLOOKUP(TableHandbook[[#This Row],[UDC]],TableSTRPHRIGT[],7,FALSE),"")</f>
        <v/>
      </c>
      <c r="AD15" s="211" t="str">
        <f>IFERROR(VLOOKUP(TableHandbook[[#This Row],[UDC]],TableSTRPINTRN[],7,FALSE),"")</f>
        <v/>
      </c>
      <c r="AE15" s="211" t="str">
        <f>IFERROR(VLOOKUP(TableHandbook[[#This Row],[UDC]],TableGCGLOBL[],7,FALSE),"")</f>
        <v/>
      </c>
      <c r="AF15" s="213" t="str">
        <f>IFERROR(VLOOKUP(TableHandbook[[#This Row],[UDC]],TableMCINTREL[],7,FALSE),"")</f>
        <v/>
      </c>
      <c r="AG15" s="211" t="str">
        <f>IFERROR(VLOOKUP(TableHandbook[[#This Row],[UDC]],TableMCINTSEC[],7,FALSE),"")</f>
        <v/>
      </c>
      <c r="AH15" s="211" t="str">
        <f>IFERROR(VLOOKUP(TableHandbook[[#This Row],[UDC]],TableGDINTSEC[],7,FALSE),"")</f>
        <v/>
      </c>
      <c r="AI15" s="211" t="str">
        <f>IFERROR(VLOOKUP(TableHandbook[[#This Row],[UDC]],TableGCINTSEC[],7,FALSE),"")</f>
        <v/>
      </c>
      <c r="AJ15" s="211" t="str">
        <f>IFERROR(VLOOKUP(TableHandbook[[#This Row],[UDC]],TableGCINTELL[],7,FALSE),"")</f>
        <v/>
      </c>
      <c r="AK15" s="211" t="str">
        <f>IFERROR(VLOOKUP(TableHandbook[[#This Row],[UDC]],TableGCIPCSEC[],7,FALSE),"")</f>
        <v/>
      </c>
    </row>
    <row r="16" spans="1:37" x14ac:dyDescent="0.3">
      <c r="A16" s="2" t="s">
        <v>284</v>
      </c>
      <c r="B16" s="3">
        <v>0</v>
      </c>
      <c r="C16" s="3"/>
      <c r="D16" s="209" t="s">
        <v>420</v>
      </c>
      <c r="E16" s="3">
        <v>50</v>
      </c>
      <c r="F16" s="149" t="s">
        <v>416</v>
      </c>
      <c r="G16" s="96" t="str">
        <f>IFERROR(IF(VLOOKUP(TableHandbook[[#This Row],[UDC]],TableAvailabilities[],2,FALSE)&gt;0,"Y",""),"")</f>
        <v>Y</v>
      </c>
      <c r="H16" s="96" t="str">
        <f>IFERROR(IF(VLOOKUP(TableHandbook[[#This Row],[UDC]],TableAvailabilities[],3,FALSE)&gt;0,"Y",""),"")</f>
        <v>Y</v>
      </c>
      <c r="I16" s="96" t="str">
        <f>IFERROR(IF(VLOOKUP(TableHandbook[[#This Row],[UDC]],TableAvailabilities[],4,FALSE)&gt;0,"Y",""),"")</f>
        <v>Y</v>
      </c>
      <c r="J16" s="96" t="str">
        <f>IFERROR(IF(VLOOKUP(TableHandbook[[#This Row],[UDC]],TableAvailabilities[],5,FALSE)&gt;0,"Y",""),"")</f>
        <v>Y</v>
      </c>
      <c r="K16" s="209"/>
      <c r="L16" s="213" t="str">
        <f>IFERROR(VLOOKUP(TableHandbook[[#This Row],[UDC]],TableMCARTS[],7,FALSE),"")</f>
        <v/>
      </c>
      <c r="M16" s="211" t="str">
        <f>IFERROR(VLOOKUP(TableHandbook[[#This Row],[UDC]],TableMJRPCWRIT[],7,FALSE),"")</f>
        <v/>
      </c>
      <c r="N16" s="211" t="str">
        <f>IFERROR(VLOOKUP(TableHandbook[[#This Row],[UDC]],TableMJRPDGCMS[],7,FALSE),"")</f>
        <v/>
      </c>
      <c r="O16" s="211" t="str">
        <f>IFERROR(VLOOKUP(TableHandbook[[#This Row],[UDC]],TableMJRPFINAR[],7,FALSE),"")</f>
        <v/>
      </c>
      <c r="P16" s="211" t="str">
        <f>IFERROR(VLOOKUP(TableHandbook[[#This Row],[UDC]],TableMJRPPWRIT[],7,FALSE),"")</f>
        <v/>
      </c>
      <c r="Q16" s="211" t="str">
        <f>IFERROR(VLOOKUP(TableHandbook[[#This Row],[UDC]],TableMJRPSCRAR[],7,FALSE),"")</f>
        <v/>
      </c>
      <c r="R16" s="213" t="str">
        <f>IFERROR(VLOOKUP(TableHandbook[[#This Row],[UDC]],TableMCMMJRG[],7,FALSE),"")</f>
        <v/>
      </c>
      <c r="S16" s="211" t="str">
        <f>IFERROR(VLOOKUP(TableHandbook[[#This Row],[UDC]],TableMCMMJRN[],7,FALSE),"")</f>
        <v/>
      </c>
      <c r="T16" s="211" t="str">
        <f>IFERROR(VLOOKUP(TableHandbook[[#This Row],[UDC]],TableGDMMJRN[],7,FALSE),"")</f>
        <v/>
      </c>
      <c r="U16" s="211" t="str">
        <f>IFERROR(VLOOKUP(TableHandbook[[#This Row],[UDC]],TableGCMMJRN[],7,FALSE),"")</f>
        <v/>
      </c>
      <c r="V16" s="213" t="str">
        <f>IFERROR(VLOOKUP(TableHandbook[[#This Row],[UDC]],TableMCHRIGLO[],7,FALSE),"")</f>
        <v/>
      </c>
      <c r="W16" s="211" t="str">
        <f>IFERROR(VLOOKUP(TableHandbook[[#This Row],[UDC]],TableMCHRIGHT[],7,FALSE),"")</f>
        <v>AltCore</v>
      </c>
      <c r="X16" s="211" t="str">
        <f>IFERROR(VLOOKUP(TableHandbook[[#This Row],[UDC]],TableGDHRIGHT[],7,FALSE),"")</f>
        <v/>
      </c>
      <c r="Y16" s="211" t="str">
        <f>IFERROR(VLOOKUP(TableHandbook[[#This Row],[UDC]],TableGCHRIGHT[],7,FALSE),"")</f>
        <v/>
      </c>
      <c r="Z16" s="213" t="str">
        <f>IFERROR(VLOOKUP(TableHandbook[[#This Row],[UDC]],TableMCGLOBL2[],7,FALSE),"")</f>
        <v/>
      </c>
      <c r="AA16" s="211" t="str">
        <f>IFERROR(VLOOKUP(TableHandbook[[#This Row],[UDC]],TableMCGLOBL[],7,FALSE),"")</f>
        <v/>
      </c>
      <c r="AB16" s="211" t="str">
        <f>IFERROR(VLOOKUP(TableHandbook[[#This Row],[UDC]],TableSTRPGLOBL[],7,FALSE),"")</f>
        <v/>
      </c>
      <c r="AC16" s="211" t="str">
        <f>IFERROR(VLOOKUP(TableHandbook[[#This Row],[UDC]],TableSTRPHRIGT[],7,FALSE),"")</f>
        <v/>
      </c>
      <c r="AD16" s="211" t="str">
        <f>IFERROR(VLOOKUP(TableHandbook[[#This Row],[UDC]],TableSTRPINTRN[],7,FALSE),"")</f>
        <v/>
      </c>
      <c r="AE16" s="211" t="str">
        <f>IFERROR(VLOOKUP(TableHandbook[[#This Row],[UDC]],TableGCGLOBL[],7,FALSE),"")</f>
        <v/>
      </c>
      <c r="AF16" s="213" t="str">
        <f>IFERROR(VLOOKUP(TableHandbook[[#This Row],[UDC]],TableMCINTREL[],7,FALSE),"")</f>
        <v/>
      </c>
      <c r="AG16" s="211" t="str">
        <f>IFERROR(VLOOKUP(TableHandbook[[#This Row],[UDC]],TableMCINTSEC[],7,FALSE),"")</f>
        <v/>
      </c>
      <c r="AH16" s="211" t="str">
        <f>IFERROR(VLOOKUP(TableHandbook[[#This Row],[UDC]],TableGDINTSEC[],7,FALSE),"")</f>
        <v/>
      </c>
      <c r="AI16" s="211" t="str">
        <f>IFERROR(VLOOKUP(TableHandbook[[#This Row],[UDC]],TableGCINTSEC[],7,FALSE),"")</f>
        <v/>
      </c>
      <c r="AJ16" s="211" t="str">
        <f>IFERROR(VLOOKUP(TableHandbook[[#This Row],[UDC]],TableGCINTELL[],7,FALSE),"")</f>
        <v/>
      </c>
      <c r="AK16" s="211" t="str">
        <f>IFERROR(VLOOKUP(TableHandbook[[#This Row],[UDC]],TableGCIPCSEC[],7,FALSE),"")</f>
        <v/>
      </c>
    </row>
    <row r="17" spans="1:37" x14ac:dyDescent="0.3">
      <c r="A17" s="2" t="s">
        <v>285</v>
      </c>
      <c r="B17" s="3">
        <v>0</v>
      </c>
      <c r="C17" s="3"/>
      <c r="D17" s="209" t="s">
        <v>419</v>
      </c>
      <c r="E17" s="3">
        <v>50</v>
      </c>
      <c r="F17" s="149" t="s">
        <v>416</v>
      </c>
      <c r="G17" s="96" t="str">
        <f>IFERROR(IF(VLOOKUP(TableHandbook[[#This Row],[UDC]],TableAvailabilities[],2,FALSE)&gt;0,"Y",""),"")</f>
        <v>Y</v>
      </c>
      <c r="H17" s="96" t="str">
        <f>IFERROR(IF(VLOOKUP(TableHandbook[[#This Row],[UDC]],TableAvailabilities[],3,FALSE)&gt;0,"Y",""),"")</f>
        <v>Y</v>
      </c>
      <c r="I17" s="96" t="str">
        <f>IFERROR(IF(VLOOKUP(TableHandbook[[#This Row],[UDC]],TableAvailabilities[],4,FALSE)&gt;0,"Y",""),"")</f>
        <v>Y</v>
      </c>
      <c r="J17" s="96" t="str">
        <f>IFERROR(IF(VLOOKUP(TableHandbook[[#This Row],[UDC]],TableAvailabilities[],5,FALSE)&gt;0,"Y",""),"")</f>
        <v>Y</v>
      </c>
      <c r="K17" s="209"/>
      <c r="L17" s="213" t="str">
        <f>IFERROR(VLOOKUP(TableHandbook[[#This Row],[UDC]],TableMCARTS[],7,FALSE),"")</f>
        <v/>
      </c>
      <c r="M17" s="211" t="str">
        <f>IFERROR(VLOOKUP(TableHandbook[[#This Row],[UDC]],TableMJRPCWRIT[],7,FALSE),"")</f>
        <v/>
      </c>
      <c r="N17" s="211" t="str">
        <f>IFERROR(VLOOKUP(TableHandbook[[#This Row],[UDC]],TableMJRPDGCMS[],7,FALSE),"")</f>
        <v/>
      </c>
      <c r="O17" s="211" t="str">
        <f>IFERROR(VLOOKUP(TableHandbook[[#This Row],[UDC]],TableMJRPFINAR[],7,FALSE),"")</f>
        <v/>
      </c>
      <c r="P17" s="211" t="str">
        <f>IFERROR(VLOOKUP(TableHandbook[[#This Row],[UDC]],TableMJRPPWRIT[],7,FALSE),"")</f>
        <v/>
      </c>
      <c r="Q17" s="211" t="str">
        <f>IFERROR(VLOOKUP(TableHandbook[[#This Row],[UDC]],TableMJRPSCRAR[],7,FALSE),"")</f>
        <v/>
      </c>
      <c r="R17" s="213" t="str">
        <f>IFERROR(VLOOKUP(TableHandbook[[#This Row],[UDC]],TableMCMMJRG[],7,FALSE),"")</f>
        <v/>
      </c>
      <c r="S17" s="211" t="str">
        <f>IFERROR(VLOOKUP(TableHandbook[[#This Row],[UDC]],TableMCMMJRN[],7,FALSE),"")</f>
        <v/>
      </c>
      <c r="T17" s="211" t="str">
        <f>IFERROR(VLOOKUP(TableHandbook[[#This Row],[UDC]],TableGDMMJRN[],7,FALSE),"")</f>
        <v/>
      </c>
      <c r="U17" s="211" t="str">
        <f>IFERROR(VLOOKUP(TableHandbook[[#This Row],[UDC]],TableGCMMJRN[],7,FALSE),"")</f>
        <v/>
      </c>
      <c r="V17" s="213" t="str">
        <f>IFERROR(VLOOKUP(TableHandbook[[#This Row],[UDC]],TableMCHRIGLO[],7,FALSE),"")</f>
        <v>AltCore</v>
      </c>
      <c r="W17" s="211" t="str">
        <f>IFERROR(VLOOKUP(TableHandbook[[#This Row],[UDC]],TableMCHRIGHT[],7,FALSE),"")</f>
        <v/>
      </c>
      <c r="X17" s="211" t="str">
        <f>IFERROR(VLOOKUP(TableHandbook[[#This Row],[UDC]],TableGDHRIGHT[],7,FALSE),"")</f>
        <v/>
      </c>
      <c r="Y17" s="211" t="str">
        <f>IFERROR(VLOOKUP(TableHandbook[[#This Row],[UDC]],TableGCHRIGHT[],7,FALSE),"")</f>
        <v/>
      </c>
      <c r="Z17" s="213" t="str">
        <f>IFERROR(VLOOKUP(TableHandbook[[#This Row],[UDC]],TableMCGLOBL2[],7,FALSE),"")</f>
        <v/>
      </c>
      <c r="AA17" s="211" t="str">
        <f>IFERROR(VLOOKUP(TableHandbook[[#This Row],[UDC]],TableMCGLOBL[],7,FALSE),"")</f>
        <v/>
      </c>
      <c r="AB17" s="211" t="str">
        <f>IFERROR(VLOOKUP(TableHandbook[[#This Row],[UDC]],TableSTRPGLOBL[],7,FALSE),"")</f>
        <v/>
      </c>
      <c r="AC17" s="211" t="str">
        <f>IFERROR(VLOOKUP(TableHandbook[[#This Row],[UDC]],TableSTRPHRIGT[],7,FALSE),"")</f>
        <v/>
      </c>
      <c r="AD17" s="211" t="str">
        <f>IFERROR(VLOOKUP(TableHandbook[[#This Row],[UDC]],TableSTRPINTRN[],7,FALSE),"")</f>
        <v/>
      </c>
      <c r="AE17" s="211" t="str">
        <f>IFERROR(VLOOKUP(TableHandbook[[#This Row],[UDC]],TableGCGLOBL[],7,FALSE),"")</f>
        <v/>
      </c>
      <c r="AF17" s="213" t="str">
        <f>IFERROR(VLOOKUP(TableHandbook[[#This Row],[UDC]],TableMCINTREL[],7,FALSE),"")</f>
        <v/>
      </c>
      <c r="AG17" s="211" t="str">
        <f>IFERROR(VLOOKUP(TableHandbook[[#This Row],[UDC]],TableMCINTSEC[],7,FALSE),"")</f>
        <v/>
      </c>
      <c r="AH17" s="211" t="str">
        <f>IFERROR(VLOOKUP(TableHandbook[[#This Row],[UDC]],TableGDINTSEC[],7,FALSE),"")</f>
        <v/>
      </c>
      <c r="AI17" s="211" t="str">
        <f>IFERROR(VLOOKUP(TableHandbook[[#This Row],[UDC]],TableGCINTSEC[],7,FALSE),"")</f>
        <v/>
      </c>
      <c r="AJ17" s="211" t="str">
        <f>IFERROR(VLOOKUP(TableHandbook[[#This Row],[UDC]],TableGCINTELL[],7,FALSE),"")</f>
        <v/>
      </c>
      <c r="AK17" s="211" t="str">
        <f>IFERROR(VLOOKUP(TableHandbook[[#This Row],[UDC]],TableGCIPCSEC[],7,FALSE),"")</f>
        <v/>
      </c>
    </row>
    <row r="18" spans="1:37" x14ac:dyDescent="0.3">
      <c r="A18" s="2" t="s">
        <v>286</v>
      </c>
      <c r="B18" s="3">
        <v>0</v>
      </c>
      <c r="C18" s="3"/>
      <c r="D18" s="209" t="s">
        <v>420</v>
      </c>
      <c r="E18" s="3">
        <v>50</v>
      </c>
      <c r="F18" s="149" t="s">
        <v>416</v>
      </c>
      <c r="G18" s="96" t="str">
        <f>IFERROR(IF(VLOOKUP(TableHandbook[[#This Row],[UDC]],TableAvailabilities[],2,FALSE)&gt;0,"Y",""),"")</f>
        <v>Y</v>
      </c>
      <c r="H18" s="96" t="str">
        <f>IFERROR(IF(VLOOKUP(TableHandbook[[#This Row],[UDC]],TableAvailabilities[],3,FALSE)&gt;0,"Y",""),"")</f>
        <v>Y</v>
      </c>
      <c r="I18" s="96" t="str">
        <f>IFERROR(IF(VLOOKUP(TableHandbook[[#This Row],[UDC]],TableAvailabilities[],4,FALSE)&gt;0,"Y",""),"")</f>
        <v>Y</v>
      </c>
      <c r="J18" s="96" t="str">
        <f>IFERROR(IF(VLOOKUP(TableHandbook[[#This Row],[UDC]],TableAvailabilities[],5,FALSE)&gt;0,"Y",""),"")</f>
        <v>Y</v>
      </c>
      <c r="K18" s="209"/>
      <c r="L18" s="213" t="str">
        <f>IFERROR(VLOOKUP(TableHandbook[[#This Row],[UDC]],TableMCARTS[],7,FALSE),"")</f>
        <v/>
      </c>
      <c r="M18" s="211" t="str">
        <f>IFERROR(VLOOKUP(TableHandbook[[#This Row],[UDC]],TableMJRPCWRIT[],7,FALSE),"")</f>
        <v/>
      </c>
      <c r="N18" s="211" t="str">
        <f>IFERROR(VLOOKUP(TableHandbook[[#This Row],[UDC]],TableMJRPDGCMS[],7,FALSE),"")</f>
        <v/>
      </c>
      <c r="O18" s="211" t="str">
        <f>IFERROR(VLOOKUP(TableHandbook[[#This Row],[UDC]],TableMJRPFINAR[],7,FALSE),"")</f>
        <v/>
      </c>
      <c r="P18" s="211" t="str">
        <f>IFERROR(VLOOKUP(TableHandbook[[#This Row],[UDC]],TableMJRPPWRIT[],7,FALSE),"")</f>
        <v/>
      </c>
      <c r="Q18" s="211" t="str">
        <f>IFERROR(VLOOKUP(TableHandbook[[#This Row],[UDC]],TableMJRPSCRAR[],7,FALSE),"")</f>
        <v/>
      </c>
      <c r="R18" s="213" t="str">
        <f>IFERROR(VLOOKUP(TableHandbook[[#This Row],[UDC]],TableMCMMJRG[],7,FALSE),"")</f>
        <v/>
      </c>
      <c r="S18" s="211" t="str">
        <f>IFERROR(VLOOKUP(TableHandbook[[#This Row],[UDC]],TableMCMMJRN[],7,FALSE),"")</f>
        <v/>
      </c>
      <c r="T18" s="211" t="str">
        <f>IFERROR(VLOOKUP(TableHandbook[[#This Row],[UDC]],TableGDMMJRN[],7,FALSE),"")</f>
        <v/>
      </c>
      <c r="U18" s="211" t="str">
        <f>IFERROR(VLOOKUP(TableHandbook[[#This Row],[UDC]],TableGCMMJRN[],7,FALSE),"")</f>
        <v/>
      </c>
      <c r="V18" s="213" t="str">
        <f>IFERROR(VLOOKUP(TableHandbook[[#This Row],[UDC]],TableMCHRIGLO[],7,FALSE),"")</f>
        <v>AltCore</v>
      </c>
      <c r="W18" s="211" t="str">
        <f>IFERROR(VLOOKUP(TableHandbook[[#This Row],[UDC]],TableMCHRIGHT[],7,FALSE),"")</f>
        <v/>
      </c>
      <c r="X18" s="211" t="str">
        <f>IFERROR(VLOOKUP(TableHandbook[[#This Row],[UDC]],TableGDHRIGHT[],7,FALSE),"")</f>
        <v/>
      </c>
      <c r="Y18" s="211" t="str">
        <f>IFERROR(VLOOKUP(TableHandbook[[#This Row],[UDC]],TableGCHRIGHT[],7,FALSE),"")</f>
        <v/>
      </c>
      <c r="Z18" s="213" t="str">
        <f>IFERROR(VLOOKUP(TableHandbook[[#This Row],[UDC]],TableMCGLOBL2[],7,FALSE),"")</f>
        <v/>
      </c>
      <c r="AA18" s="211" t="str">
        <f>IFERROR(VLOOKUP(TableHandbook[[#This Row],[UDC]],TableMCGLOBL[],7,FALSE),"")</f>
        <v/>
      </c>
      <c r="AB18" s="211" t="str">
        <f>IFERROR(VLOOKUP(TableHandbook[[#This Row],[UDC]],TableSTRPGLOBL[],7,FALSE),"")</f>
        <v/>
      </c>
      <c r="AC18" s="211" t="str">
        <f>IFERROR(VLOOKUP(TableHandbook[[#This Row],[UDC]],TableSTRPHRIGT[],7,FALSE),"")</f>
        <v/>
      </c>
      <c r="AD18" s="211" t="str">
        <f>IFERROR(VLOOKUP(TableHandbook[[#This Row],[UDC]],TableSTRPINTRN[],7,FALSE),"")</f>
        <v/>
      </c>
      <c r="AE18" s="211" t="str">
        <f>IFERROR(VLOOKUP(TableHandbook[[#This Row],[UDC]],TableGCGLOBL[],7,FALSE),"")</f>
        <v/>
      </c>
      <c r="AF18" s="213" t="str">
        <f>IFERROR(VLOOKUP(TableHandbook[[#This Row],[UDC]],TableMCINTREL[],7,FALSE),"")</f>
        <v/>
      </c>
      <c r="AG18" s="211" t="str">
        <f>IFERROR(VLOOKUP(TableHandbook[[#This Row],[UDC]],TableMCINTSEC[],7,FALSE),"")</f>
        <v/>
      </c>
      <c r="AH18" s="211" t="str">
        <f>IFERROR(VLOOKUP(TableHandbook[[#This Row],[UDC]],TableGDINTSEC[],7,FALSE),"")</f>
        <v/>
      </c>
      <c r="AI18" s="211" t="str">
        <f>IFERROR(VLOOKUP(TableHandbook[[#This Row],[UDC]],TableGCINTSEC[],7,FALSE),"")</f>
        <v/>
      </c>
      <c r="AJ18" s="211" t="str">
        <f>IFERROR(VLOOKUP(TableHandbook[[#This Row],[UDC]],TableGCINTELL[],7,FALSE),"")</f>
        <v/>
      </c>
      <c r="AK18" s="211" t="str">
        <f>IFERROR(VLOOKUP(TableHandbook[[#This Row],[UDC]],TableGCIPCSEC[],7,FALSE),"")</f>
        <v/>
      </c>
    </row>
    <row r="19" spans="1:37" x14ac:dyDescent="0.3">
      <c r="A19" s="2" t="s">
        <v>358</v>
      </c>
      <c r="B19" s="3">
        <v>0</v>
      </c>
      <c r="C19" s="3"/>
      <c r="D19" s="209" t="s">
        <v>419</v>
      </c>
      <c r="E19" s="3">
        <v>50</v>
      </c>
      <c r="F19" s="149" t="s">
        <v>416</v>
      </c>
      <c r="G19" s="96" t="str">
        <f>IFERROR(IF(VLOOKUP(TableHandbook[[#This Row],[UDC]],TableAvailabilities[],2,FALSE)&gt;0,"Y",""),"")</f>
        <v>Y</v>
      </c>
      <c r="H19" s="96" t="str">
        <f>IFERROR(IF(VLOOKUP(TableHandbook[[#This Row],[UDC]],TableAvailabilities[],3,FALSE)&gt;0,"Y",""),"")</f>
        <v>Y</v>
      </c>
      <c r="I19" s="96" t="str">
        <f>IFERROR(IF(VLOOKUP(TableHandbook[[#This Row],[UDC]],TableAvailabilities[],4,FALSE)&gt;0,"Y",""),"")</f>
        <v>Y</v>
      </c>
      <c r="J19" s="96" t="str">
        <f>IFERROR(IF(VLOOKUP(TableHandbook[[#This Row],[UDC]],TableAvailabilities[],5,FALSE)&gt;0,"Y",""),"")</f>
        <v>Y</v>
      </c>
      <c r="K19" s="209"/>
      <c r="L19" s="213" t="str">
        <f>IFERROR(VLOOKUP(TableHandbook[[#This Row],[UDC]],TableMCARTS[],7,FALSE),"")</f>
        <v/>
      </c>
      <c r="M19" s="211" t="str">
        <f>IFERROR(VLOOKUP(TableHandbook[[#This Row],[UDC]],TableMJRPCWRIT[],7,FALSE),"")</f>
        <v/>
      </c>
      <c r="N19" s="211" t="str">
        <f>IFERROR(VLOOKUP(TableHandbook[[#This Row],[UDC]],TableMJRPDGCMS[],7,FALSE),"")</f>
        <v/>
      </c>
      <c r="O19" s="211" t="str">
        <f>IFERROR(VLOOKUP(TableHandbook[[#This Row],[UDC]],TableMJRPFINAR[],7,FALSE),"")</f>
        <v/>
      </c>
      <c r="P19" s="211" t="str">
        <f>IFERROR(VLOOKUP(TableHandbook[[#This Row],[UDC]],TableMJRPPWRIT[],7,FALSE),"")</f>
        <v/>
      </c>
      <c r="Q19" s="211" t="str">
        <f>IFERROR(VLOOKUP(TableHandbook[[#This Row],[UDC]],TableMJRPSCRAR[],7,FALSE),"")</f>
        <v/>
      </c>
      <c r="R19" s="213" t="str">
        <f>IFERROR(VLOOKUP(TableHandbook[[#This Row],[UDC]],TableMCMMJRG[],7,FALSE),"")</f>
        <v/>
      </c>
      <c r="S19" s="211" t="str">
        <f>IFERROR(VLOOKUP(TableHandbook[[#This Row],[UDC]],TableMCMMJRN[],7,FALSE),"")</f>
        <v/>
      </c>
      <c r="T19" s="211" t="str">
        <f>IFERROR(VLOOKUP(TableHandbook[[#This Row],[UDC]],TableGDMMJRN[],7,FALSE),"")</f>
        <v/>
      </c>
      <c r="U19" s="211" t="str">
        <f>IFERROR(VLOOKUP(TableHandbook[[#This Row],[UDC]],TableGCMMJRN[],7,FALSE),"")</f>
        <v/>
      </c>
      <c r="V19" s="213" t="str">
        <f>IFERROR(VLOOKUP(TableHandbook[[#This Row],[UDC]],TableMCHRIGLO[],7,FALSE),"")</f>
        <v/>
      </c>
      <c r="W19" s="211" t="str">
        <f>IFERROR(VLOOKUP(TableHandbook[[#This Row],[UDC]],TableMCHRIGHT[],7,FALSE),"")</f>
        <v/>
      </c>
      <c r="X19" s="211" t="str">
        <f>IFERROR(VLOOKUP(TableHandbook[[#This Row],[UDC]],TableGDHRIGHT[],7,FALSE),"")</f>
        <v/>
      </c>
      <c r="Y19" s="211" t="str">
        <f>IFERROR(VLOOKUP(TableHandbook[[#This Row],[UDC]],TableGCHRIGHT[],7,FALSE),"")</f>
        <v/>
      </c>
      <c r="Z19" s="213" t="str">
        <f>IFERROR(VLOOKUP(TableHandbook[[#This Row],[UDC]],TableMCGLOBL2[],7,FALSE),"")</f>
        <v/>
      </c>
      <c r="AA19" s="211" t="str">
        <f>IFERROR(VLOOKUP(TableHandbook[[#This Row],[UDC]],TableMCGLOBL[],7,FALSE),"")</f>
        <v/>
      </c>
      <c r="AB19" s="211" t="str">
        <f>IFERROR(VLOOKUP(TableHandbook[[#This Row],[UDC]],TableSTRPGLOBL[],7,FALSE),"")</f>
        <v/>
      </c>
      <c r="AC19" s="211" t="str">
        <f>IFERROR(VLOOKUP(TableHandbook[[#This Row],[UDC]],TableSTRPHRIGT[],7,FALSE),"")</f>
        <v/>
      </c>
      <c r="AD19" s="211" t="str">
        <f>IFERROR(VLOOKUP(TableHandbook[[#This Row],[UDC]],TableSTRPINTRN[],7,FALSE),"")</f>
        <v/>
      </c>
      <c r="AE19" s="211" t="str">
        <f>IFERROR(VLOOKUP(TableHandbook[[#This Row],[UDC]],TableGCGLOBL[],7,FALSE),"")</f>
        <v/>
      </c>
      <c r="AF19" s="213" t="str">
        <f>IFERROR(VLOOKUP(TableHandbook[[#This Row],[UDC]],TableMCINTREL[],7,FALSE),"")</f>
        <v>AltCore</v>
      </c>
      <c r="AG19" s="211" t="str">
        <f>IFERROR(VLOOKUP(TableHandbook[[#This Row],[UDC]],TableMCINTSEC[],7,FALSE),"")</f>
        <v/>
      </c>
      <c r="AH19" s="211" t="str">
        <f>IFERROR(VLOOKUP(TableHandbook[[#This Row],[UDC]],TableGDINTSEC[],7,FALSE),"")</f>
        <v/>
      </c>
      <c r="AI19" s="211" t="str">
        <f>IFERROR(VLOOKUP(TableHandbook[[#This Row],[UDC]],TableGCINTSEC[],7,FALSE),"")</f>
        <v/>
      </c>
      <c r="AJ19" s="211" t="str">
        <f>IFERROR(VLOOKUP(TableHandbook[[#This Row],[UDC]],TableGCINTELL[],7,FALSE),"")</f>
        <v/>
      </c>
      <c r="AK19" s="211" t="str">
        <f>IFERROR(VLOOKUP(TableHandbook[[#This Row],[UDC]],TableGCIPCSEC[],7,FALSE),"")</f>
        <v/>
      </c>
    </row>
    <row r="20" spans="1:37" x14ac:dyDescent="0.3">
      <c r="A20" s="2" t="s">
        <v>359</v>
      </c>
      <c r="B20" s="3">
        <v>0</v>
      </c>
      <c r="C20" s="3"/>
      <c r="D20" s="209" t="s">
        <v>420</v>
      </c>
      <c r="E20" s="3">
        <v>50</v>
      </c>
      <c r="F20" s="149" t="s">
        <v>416</v>
      </c>
      <c r="G20" s="96" t="str">
        <f>IFERROR(IF(VLOOKUP(TableHandbook[[#This Row],[UDC]],TableAvailabilities[],2,FALSE)&gt;0,"Y",""),"")</f>
        <v>Y</v>
      </c>
      <c r="H20" s="96" t="str">
        <f>IFERROR(IF(VLOOKUP(TableHandbook[[#This Row],[UDC]],TableAvailabilities[],3,FALSE)&gt;0,"Y",""),"")</f>
        <v>Y</v>
      </c>
      <c r="I20" s="96" t="str">
        <f>IFERROR(IF(VLOOKUP(TableHandbook[[#This Row],[UDC]],TableAvailabilities[],4,FALSE)&gt;0,"Y",""),"")</f>
        <v>Y</v>
      </c>
      <c r="J20" s="96" t="str">
        <f>IFERROR(IF(VLOOKUP(TableHandbook[[#This Row],[UDC]],TableAvailabilities[],5,FALSE)&gt;0,"Y",""),"")</f>
        <v>Y</v>
      </c>
      <c r="K20" s="209"/>
      <c r="L20" s="213" t="str">
        <f>IFERROR(VLOOKUP(TableHandbook[[#This Row],[UDC]],TableMCARTS[],7,FALSE),"")</f>
        <v/>
      </c>
      <c r="M20" s="211" t="str">
        <f>IFERROR(VLOOKUP(TableHandbook[[#This Row],[UDC]],TableMJRPCWRIT[],7,FALSE),"")</f>
        <v/>
      </c>
      <c r="N20" s="211" t="str">
        <f>IFERROR(VLOOKUP(TableHandbook[[#This Row],[UDC]],TableMJRPDGCMS[],7,FALSE),"")</f>
        <v/>
      </c>
      <c r="O20" s="211" t="str">
        <f>IFERROR(VLOOKUP(TableHandbook[[#This Row],[UDC]],TableMJRPFINAR[],7,FALSE),"")</f>
        <v/>
      </c>
      <c r="P20" s="211" t="str">
        <f>IFERROR(VLOOKUP(TableHandbook[[#This Row],[UDC]],TableMJRPPWRIT[],7,FALSE),"")</f>
        <v/>
      </c>
      <c r="Q20" s="211" t="str">
        <f>IFERROR(VLOOKUP(TableHandbook[[#This Row],[UDC]],TableMJRPSCRAR[],7,FALSE),"")</f>
        <v/>
      </c>
      <c r="R20" s="213" t="str">
        <f>IFERROR(VLOOKUP(TableHandbook[[#This Row],[UDC]],TableMCMMJRG[],7,FALSE),"")</f>
        <v/>
      </c>
      <c r="S20" s="211" t="str">
        <f>IFERROR(VLOOKUP(TableHandbook[[#This Row],[UDC]],TableMCMMJRN[],7,FALSE),"")</f>
        <v/>
      </c>
      <c r="T20" s="211" t="str">
        <f>IFERROR(VLOOKUP(TableHandbook[[#This Row],[UDC]],TableGDMMJRN[],7,FALSE),"")</f>
        <v/>
      </c>
      <c r="U20" s="211" t="str">
        <f>IFERROR(VLOOKUP(TableHandbook[[#This Row],[UDC]],TableGCMMJRN[],7,FALSE),"")</f>
        <v/>
      </c>
      <c r="V20" s="213" t="str">
        <f>IFERROR(VLOOKUP(TableHandbook[[#This Row],[UDC]],TableMCHRIGLO[],7,FALSE),"")</f>
        <v/>
      </c>
      <c r="W20" s="211" t="str">
        <f>IFERROR(VLOOKUP(TableHandbook[[#This Row],[UDC]],TableMCHRIGHT[],7,FALSE),"")</f>
        <v/>
      </c>
      <c r="X20" s="211" t="str">
        <f>IFERROR(VLOOKUP(TableHandbook[[#This Row],[UDC]],TableGDHRIGHT[],7,FALSE),"")</f>
        <v/>
      </c>
      <c r="Y20" s="211" t="str">
        <f>IFERROR(VLOOKUP(TableHandbook[[#This Row],[UDC]],TableGCHRIGHT[],7,FALSE),"")</f>
        <v/>
      </c>
      <c r="Z20" s="213" t="str">
        <f>IFERROR(VLOOKUP(TableHandbook[[#This Row],[UDC]],TableMCGLOBL2[],7,FALSE),"")</f>
        <v/>
      </c>
      <c r="AA20" s="211" t="str">
        <f>IFERROR(VLOOKUP(TableHandbook[[#This Row],[UDC]],TableMCGLOBL[],7,FALSE),"")</f>
        <v/>
      </c>
      <c r="AB20" s="211" t="str">
        <f>IFERROR(VLOOKUP(TableHandbook[[#This Row],[UDC]],TableSTRPGLOBL[],7,FALSE),"")</f>
        <v/>
      </c>
      <c r="AC20" s="211" t="str">
        <f>IFERROR(VLOOKUP(TableHandbook[[#This Row],[UDC]],TableSTRPHRIGT[],7,FALSE),"")</f>
        <v/>
      </c>
      <c r="AD20" s="211" t="str">
        <f>IFERROR(VLOOKUP(TableHandbook[[#This Row],[UDC]],TableSTRPINTRN[],7,FALSE),"")</f>
        <v/>
      </c>
      <c r="AE20" s="211" t="str">
        <f>IFERROR(VLOOKUP(TableHandbook[[#This Row],[UDC]],TableGCGLOBL[],7,FALSE),"")</f>
        <v/>
      </c>
      <c r="AF20" s="213" t="str">
        <f>IFERROR(VLOOKUP(TableHandbook[[#This Row],[UDC]],TableMCINTREL[],7,FALSE),"")</f>
        <v>AltCore</v>
      </c>
      <c r="AG20" s="211" t="str">
        <f>IFERROR(VLOOKUP(TableHandbook[[#This Row],[UDC]],TableMCINTSEC[],7,FALSE),"")</f>
        <v/>
      </c>
      <c r="AH20" s="211" t="str">
        <f>IFERROR(VLOOKUP(TableHandbook[[#This Row],[UDC]],TableGDINTSEC[],7,FALSE),"")</f>
        <v/>
      </c>
      <c r="AI20" s="211" t="str">
        <f>IFERROR(VLOOKUP(TableHandbook[[#This Row],[UDC]],TableGCINTSEC[],7,FALSE),"")</f>
        <v/>
      </c>
      <c r="AJ20" s="211" t="str">
        <f>IFERROR(VLOOKUP(TableHandbook[[#This Row],[UDC]],TableGCINTELL[],7,FALSE),"")</f>
        <v/>
      </c>
      <c r="AK20" s="211" t="str">
        <f>IFERROR(VLOOKUP(TableHandbook[[#This Row],[UDC]],TableGCIPCSEC[],7,FALSE),"")</f>
        <v/>
      </c>
    </row>
    <row r="21" spans="1:37" x14ac:dyDescent="0.3">
      <c r="A21" s="2" t="s">
        <v>421</v>
      </c>
      <c r="B21" s="3">
        <v>0</v>
      </c>
      <c r="C21" s="3"/>
      <c r="D21" s="209" t="s">
        <v>422</v>
      </c>
      <c r="E21" s="3">
        <v>25</v>
      </c>
      <c r="F21" s="149" t="s">
        <v>416</v>
      </c>
      <c r="G21" s="96" t="str">
        <f>IFERROR(IF(VLOOKUP(TableHandbook[[#This Row],[UDC]],TableAvailabilities[],2,FALSE)&gt;0,"Y",""),"")</f>
        <v/>
      </c>
      <c r="H21" s="96" t="str">
        <f>IFERROR(IF(VLOOKUP(TableHandbook[[#This Row],[UDC]],TableAvailabilities[],3,FALSE)&gt;0,"Y",""),"")</f>
        <v/>
      </c>
      <c r="I21" s="96" t="str">
        <f>IFERROR(IF(VLOOKUP(TableHandbook[[#This Row],[UDC]],TableAvailabilities[],4,FALSE)&gt;0,"Y",""),"")</f>
        <v/>
      </c>
      <c r="J21" s="96" t="str">
        <f>IFERROR(IF(VLOOKUP(TableHandbook[[#This Row],[UDC]],TableAvailabilities[],5,FALSE)&gt;0,"Y",""),"")</f>
        <v/>
      </c>
      <c r="K21" s="209"/>
      <c r="L21" s="213" t="str">
        <f>IFERROR(VLOOKUP(TableHandbook[[#This Row],[UDC]],TableMCARTS[],7,FALSE),"")</f>
        <v/>
      </c>
      <c r="M21" s="211" t="str">
        <f>IFERROR(VLOOKUP(TableHandbook[[#This Row],[UDC]],TableMJRPCWRIT[],7,FALSE),"")</f>
        <v/>
      </c>
      <c r="N21" s="211" t="str">
        <f>IFERROR(VLOOKUP(TableHandbook[[#This Row],[UDC]],TableMJRPDGCMS[],7,FALSE),"")</f>
        <v/>
      </c>
      <c r="O21" s="211" t="str">
        <f>IFERROR(VLOOKUP(TableHandbook[[#This Row],[UDC]],TableMJRPFINAR[],7,FALSE),"")</f>
        <v/>
      </c>
      <c r="P21" s="211" t="str">
        <f>IFERROR(VLOOKUP(TableHandbook[[#This Row],[UDC]],TableMJRPPWRIT[],7,FALSE),"")</f>
        <v/>
      </c>
      <c r="Q21" s="211" t="str">
        <f>IFERROR(VLOOKUP(TableHandbook[[#This Row],[UDC]],TableMJRPSCRAR[],7,FALSE),"")</f>
        <v/>
      </c>
      <c r="R21" s="213" t="str">
        <f>IFERROR(VLOOKUP(TableHandbook[[#This Row],[UDC]],TableMCMMJRG[],7,FALSE),"")</f>
        <v/>
      </c>
      <c r="S21" s="211" t="str">
        <f>IFERROR(VLOOKUP(TableHandbook[[#This Row],[UDC]],TableMCMMJRN[],7,FALSE),"")</f>
        <v/>
      </c>
      <c r="T21" s="211" t="str">
        <f>IFERROR(VLOOKUP(TableHandbook[[#This Row],[UDC]],TableGDMMJRN[],7,FALSE),"")</f>
        <v/>
      </c>
      <c r="U21" s="211" t="str">
        <f>IFERROR(VLOOKUP(TableHandbook[[#This Row],[UDC]],TableGCMMJRN[],7,FALSE),"")</f>
        <v/>
      </c>
      <c r="V21" s="213" t="str">
        <f>IFERROR(VLOOKUP(TableHandbook[[#This Row],[UDC]],TableMCHRIGLO[],7,FALSE),"")</f>
        <v/>
      </c>
      <c r="W21" s="211" t="str">
        <f>IFERROR(VLOOKUP(TableHandbook[[#This Row],[UDC]],TableMCHRIGHT[],7,FALSE),"")</f>
        <v/>
      </c>
      <c r="X21" s="211" t="str">
        <f>IFERROR(VLOOKUP(TableHandbook[[#This Row],[UDC]],TableGDHRIGHT[],7,FALSE),"")</f>
        <v/>
      </c>
      <c r="Y21" s="211" t="str">
        <f>IFERROR(VLOOKUP(TableHandbook[[#This Row],[UDC]],TableGCHRIGHT[],7,FALSE),"")</f>
        <v/>
      </c>
      <c r="Z21" s="213" t="str">
        <f>IFERROR(VLOOKUP(TableHandbook[[#This Row],[UDC]],TableMCGLOBL2[],7,FALSE),"")</f>
        <v/>
      </c>
      <c r="AA21" s="211" t="str">
        <f>IFERROR(VLOOKUP(TableHandbook[[#This Row],[UDC]],TableMCGLOBL[],7,FALSE),"")</f>
        <v/>
      </c>
      <c r="AB21" s="211" t="str">
        <f>IFERROR(VLOOKUP(TableHandbook[[#This Row],[UDC]],TableSTRPGLOBL[],7,FALSE),"")</f>
        <v/>
      </c>
      <c r="AC21" s="211" t="str">
        <f>IFERROR(VLOOKUP(TableHandbook[[#This Row],[UDC]],TableSTRPHRIGT[],7,FALSE),"")</f>
        <v/>
      </c>
      <c r="AD21" s="211" t="str">
        <f>IFERROR(VLOOKUP(TableHandbook[[#This Row],[UDC]],TableSTRPINTRN[],7,FALSE),"")</f>
        <v/>
      </c>
      <c r="AE21" s="211" t="str">
        <f>IFERROR(VLOOKUP(TableHandbook[[#This Row],[UDC]],TableGCGLOBL[],7,FALSE),"")</f>
        <v/>
      </c>
      <c r="AF21" s="213" t="str">
        <f>IFERROR(VLOOKUP(TableHandbook[[#This Row],[UDC]],TableMCINTREL[],7,FALSE),"")</f>
        <v/>
      </c>
      <c r="AG21" s="211" t="str">
        <f>IFERROR(VLOOKUP(TableHandbook[[#This Row],[UDC]],TableMCINTSEC[],7,FALSE),"")</f>
        <v/>
      </c>
      <c r="AH21" s="211" t="str">
        <f>IFERROR(VLOOKUP(TableHandbook[[#This Row],[UDC]],TableGDINTSEC[],7,FALSE),"")</f>
        <v/>
      </c>
      <c r="AI21" s="211" t="str">
        <f>IFERROR(VLOOKUP(TableHandbook[[#This Row],[UDC]],TableGCINTSEC[],7,FALSE),"")</f>
        <v/>
      </c>
      <c r="AJ21" s="211" t="str">
        <f>IFERROR(VLOOKUP(TableHandbook[[#This Row],[UDC]],TableGCINTELL[],7,FALSE),"")</f>
        <v/>
      </c>
      <c r="AK21" s="211" t="str">
        <f>IFERROR(VLOOKUP(TableHandbook[[#This Row],[UDC]],TableGCIPCSEC[],7,FALSE),"")</f>
        <v/>
      </c>
    </row>
    <row r="22" spans="1:37" x14ac:dyDescent="0.3">
      <c r="A22" s="2" t="s">
        <v>423</v>
      </c>
      <c r="B22" s="3">
        <v>1</v>
      </c>
      <c r="C22" s="3"/>
      <c r="D22" s="209" t="s">
        <v>424</v>
      </c>
      <c r="E22" s="3">
        <v>25</v>
      </c>
      <c r="F22" s="149" t="s">
        <v>416</v>
      </c>
      <c r="G22" s="96" t="str">
        <f>IFERROR(IF(VLOOKUP(TableHandbook[[#This Row],[UDC]],TableAvailabilities[],2,FALSE)&gt;0,"Y",""),"")</f>
        <v/>
      </c>
      <c r="H22" s="96" t="str">
        <f>IFERROR(IF(VLOOKUP(TableHandbook[[#This Row],[UDC]],TableAvailabilities[],3,FALSE)&gt;0,"Y",""),"")</f>
        <v/>
      </c>
      <c r="I22" s="96" t="str">
        <f>IFERROR(IF(VLOOKUP(TableHandbook[[#This Row],[UDC]],TableAvailabilities[],4,FALSE)&gt;0,"Y",""),"")</f>
        <v/>
      </c>
      <c r="J22" s="96" t="str">
        <f>IFERROR(IF(VLOOKUP(TableHandbook[[#This Row],[UDC]],TableAvailabilities[],5,FALSE)&gt;0,"Y",""),"")</f>
        <v/>
      </c>
      <c r="K22" s="209"/>
      <c r="L22" s="213" t="str">
        <f>IFERROR(VLOOKUP(TableHandbook[[#This Row],[UDC]],TableMCARTS[],7,FALSE),"")</f>
        <v/>
      </c>
      <c r="M22" s="211" t="str">
        <f>IFERROR(VLOOKUP(TableHandbook[[#This Row],[UDC]],TableMJRPCWRIT[],7,FALSE),"")</f>
        <v/>
      </c>
      <c r="N22" s="211" t="str">
        <f>IFERROR(VLOOKUP(TableHandbook[[#This Row],[UDC]],TableMJRPDGCMS[],7,FALSE),"")</f>
        <v/>
      </c>
      <c r="O22" s="211" t="str">
        <f>IFERROR(VLOOKUP(TableHandbook[[#This Row],[UDC]],TableMJRPFINAR[],7,FALSE),"")</f>
        <v/>
      </c>
      <c r="P22" s="211" t="str">
        <f>IFERROR(VLOOKUP(TableHandbook[[#This Row],[UDC]],TableMJRPPWRIT[],7,FALSE),"")</f>
        <v/>
      </c>
      <c r="Q22" s="211" t="str">
        <f>IFERROR(VLOOKUP(TableHandbook[[#This Row],[UDC]],TableMJRPSCRAR[],7,FALSE),"")</f>
        <v/>
      </c>
      <c r="R22" s="213" t="str">
        <f>IFERROR(VLOOKUP(TableHandbook[[#This Row],[UDC]],TableMCMMJRG[],7,FALSE),"")</f>
        <v/>
      </c>
      <c r="S22" s="211" t="str">
        <f>IFERROR(VLOOKUP(TableHandbook[[#This Row],[UDC]],TableMCMMJRN[],7,FALSE),"")</f>
        <v/>
      </c>
      <c r="T22" s="211" t="str">
        <f>IFERROR(VLOOKUP(TableHandbook[[#This Row],[UDC]],TableGDMMJRN[],7,FALSE),"")</f>
        <v/>
      </c>
      <c r="U22" s="211" t="str">
        <f>IFERROR(VLOOKUP(TableHandbook[[#This Row],[UDC]],TableGCMMJRN[],7,FALSE),"")</f>
        <v/>
      </c>
      <c r="V22" s="213" t="str">
        <f>IFERROR(VLOOKUP(TableHandbook[[#This Row],[UDC]],TableMCHRIGLO[],7,FALSE),"")</f>
        <v/>
      </c>
      <c r="W22" s="211" t="str">
        <f>IFERROR(VLOOKUP(TableHandbook[[#This Row],[UDC]],TableMCHRIGHT[],7,FALSE),"")</f>
        <v/>
      </c>
      <c r="X22" s="211" t="str">
        <f>IFERROR(VLOOKUP(TableHandbook[[#This Row],[UDC]],TableGDHRIGHT[],7,FALSE),"")</f>
        <v/>
      </c>
      <c r="Y22" s="211" t="str">
        <f>IFERROR(VLOOKUP(TableHandbook[[#This Row],[UDC]],TableGCHRIGHT[],7,FALSE),"")</f>
        <v/>
      </c>
      <c r="Z22" s="213" t="str">
        <f>IFERROR(VLOOKUP(TableHandbook[[#This Row],[UDC]],TableMCGLOBL2[],7,FALSE),"")</f>
        <v/>
      </c>
      <c r="AA22" s="211" t="str">
        <f>IFERROR(VLOOKUP(TableHandbook[[#This Row],[UDC]],TableMCGLOBL[],7,FALSE),"")</f>
        <v/>
      </c>
      <c r="AB22" s="211" t="str">
        <f>IFERROR(VLOOKUP(TableHandbook[[#This Row],[UDC]],TableSTRPGLOBL[],7,FALSE),"")</f>
        <v/>
      </c>
      <c r="AC22" s="211" t="str">
        <f>IFERROR(VLOOKUP(TableHandbook[[#This Row],[UDC]],TableSTRPHRIGT[],7,FALSE),"")</f>
        <v/>
      </c>
      <c r="AD22" s="211" t="str">
        <f>IFERROR(VLOOKUP(TableHandbook[[#This Row],[UDC]],TableSTRPINTRN[],7,FALSE),"")</f>
        <v/>
      </c>
      <c r="AE22" s="211" t="str">
        <f>IFERROR(VLOOKUP(TableHandbook[[#This Row],[UDC]],TableGCGLOBL[],7,FALSE),"")</f>
        <v/>
      </c>
      <c r="AF22" s="213" t="str">
        <f>IFERROR(VLOOKUP(TableHandbook[[#This Row],[UDC]],TableMCINTREL[],7,FALSE),"")</f>
        <v/>
      </c>
      <c r="AG22" s="211" t="str">
        <f>IFERROR(VLOOKUP(TableHandbook[[#This Row],[UDC]],TableMCINTSEC[],7,FALSE),"")</f>
        <v/>
      </c>
      <c r="AH22" s="211" t="str">
        <f>IFERROR(VLOOKUP(TableHandbook[[#This Row],[UDC]],TableGDINTSEC[],7,FALSE),"")</f>
        <v/>
      </c>
      <c r="AI22" s="211" t="str">
        <f>IFERROR(VLOOKUP(TableHandbook[[#This Row],[UDC]],TableGCINTSEC[],7,FALSE),"")</f>
        <v/>
      </c>
      <c r="AJ22" s="211" t="str">
        <f>IFERROR(VLOOKUP(TableHandbook[[#This Row],[UDC]],TableGCINTELL[],7,FALSE),"")</f>
        <v/>
      </c>
      <c r="AK22" s="211" t="str">
        <f>IFERROR(VLOOKUP(TableHandbook[[#This Row],[UDC]],TableGCIPCSEC[],7,FALSE),"")</f>
        <v/>
      </c>
    </row>
    <row r="23" spans="1:37" x14ac:dyDescent="0.3">
      <c r="A23" s="2" t="s">
        <v>391</v>
      </c>
      <c r="B23" s="3">
        <v>0</v>
      </c>
      <c r="C23" s="3"/>
      <c r="D23" s="209" t="s">
        <v>424</v>
      </c>
      <c r="E23" s="3">
        <v>25</v>
      </c>
      <c r="F23" s="149" t="s">
        <v>416</v>
      </c>
      <c r="G23" s="96" t="str">
        <f>IFERROR(IF(VLOOKUP(TableHandbook[[#This Row],[UDC]],TableAvailabilities[],2,FALSE)&gt;0,"Y",""),"")</f>
        <v/>
      </c>
      <c r="H23" s="96" t="str">
        <f>IFERROR(IF(VLOOKUP(TableHandbook[[#This Row],[UDC]],TableAvailabilities[],3,FALSE)&gt;0,"Y",""),"")</f>
        <v/>
      </c>
      <c r="I23" s="96" t="str">
        <f>IFERROR(IF(VLOOKUP(TableHandbook[[#This Row],[UDC]],TableAvailabilities[],4,FALSE)&gt;0,"Y",""),"")</f>
        <v/>
      </c>
      <c r="J23" s="96" t="str">
        <f>IFERROR(IF(VLOOKUP(TableHandbook[[#This Row],[UDC]],TableAvailabilities[],5,FALSE)&gt;0,"Y",""),"")</f>
        <v/>
      </c>
      <c r="K23" s="209"/>
      <c r="L23" s="213" t="str">
        <f>IFERROR(VLOOKUP(TableHandbook[[#This Row],[UDC]],TableMCARTS[],7,FALSE),"")</f>
        <v/>
      </c>
      <c r="M23" s="211" t="str">
        <f>IFERROR(VLOOKUP(TableHandbook[[#This Row],[UDC]],TableMJRPCWRIT[],7,FALSE),"")</f>
        <v/>
      </c>
      <c r="N23" s="211" t="str">
        <f>IFERROR(VLOOKUP(TableHandbook[[#This Row],[UDC]],TableMJRPDGCMS[],7,FALSE),"")</f>
        <v/>
      </c>
      <c r="O23" s="211" t="str">
        <f>IFERROR(VLOOKUP(TableHandbook[[#This Row],[UDC]],TableMJRPFINAR[],7,FALSE),"")</f>
        <v/>
      </c>
      <c r="P23" s="211" t="str">
        <f>IFERROR(VLOOKUP(TableHandbook[[#This Row],[UDC]],TableMJRPPWRIT[],7,FALSE),"")</f>
        <v/>
      </c>
      <c r="Q23" s="211" t="str">
        <f>IFERROR(VLOOKUP(TableHandbook[[#This Row],[UDC]],TableMJRPSCRAR[],7,FALSE),"")</f>
        <v/>
      </c>
      <c r="R23" s="213" t="str">
        <f>IFERROR(VLOOKUP(TableHandbook[[#This Row],[UDC]],TableMCMMJRG[],7,FALSE),"")</f>
        <v/>
      </c>
      <c r="S23" s="211" t="str">
        <f>IFERROR(VLOOKUP(TableHandbook[[#This Row],[UDC]],TableMCMMJRN[],7,FALSE),"")</f>
        <v/>
      </c>
      <c r="T23" s="211" t="str">
        <f>IFERROR(VLOOKUP(TableHandbook[[#This Row],[UDC]],TableGDMMJRN[],7,FALSE),"")</f>
        <v/>
      </c>
      <c r="U23" s="211" t="str">
        <f>IFERROR(VLOOKUP(TableHandbook[[#This Row],[UDC]],TableGCMMJRN[],7,FALSE),"")</f>
        <v/>
      </c>
      <c r="V23" s="213" t="str">
        <f>IFERROR(VLOOKUP(TableHandbook[[#This Row],[UDC]],TableMCHRIGLO[],7,FALSE),"")</f>
        <v/>
      </c>
      <c r="W23" s="211" t="str">
        <f>IFERROR(VLOOKUP(TableHandbook[[#This Row],[UDC]],TableMCHRIGHT[],7,FALSE),"")</f>
        <v/>
      </c>
      <c r="X23" s="211" t="str">
        <f>IFERROR(VLOOKUP(TableHandbook[[#This Row],[UDC]],TableGDHRIGHT[],7,FALSE),"")</f>
        <v/>
      </c>
      <c r="Y23" s="211" t="str">
        <f>IFERROR(VLOOKUP(TableHandbook[[#This Row],[UDC]],TableGCHRIGHT[],7,FALSE),"")</f>
        <v/>
      </c>
      <c r="Z23" s="213" t="str">
        <f>IFERROR(VLOOKUP(TableHandbook[[#This Row],[UDC]],TableMCGLOBL2[],7,FALSE),"")</f>
        <v/>
      </c>
      <c r="AA23" s="211" t="str">
        <f>IFERROR(VLOOKUP(TableHandbook[[#This Row],[UDC]],TableMCGLOBL[],7,FALSE),"")</f>
        <v/>
      </c>
      <c r="AB23" s="211" t="str">
        <f>IFERROR(VLOOKUP(TableHandbook[[#This Row],[UDC]],TableSTRPGLOBL[],7,FALSE),"")</f>
        <v/>
      </c>
      <c r="AC23" s="211" t="str">
        <f>IFERROR(VLOOKUP(TableHandbook[[#This Row],[UDC]],TableSTRPHRIGT[],7,FALSE),"")</f>
        <v/>
      </c>
      <c r="AD23" s="211" t="str">
        <f>IFERROR(VLOOKUP(TableHandbook[[#This Row],[UDC]],TableSTRPINTRN[],7,FALSE),"")</f>
        <v>AltCore</v>
      </c>
      <c r="AE23" s="211" t="str">
        <f>IFERROR(VLOOKUP(TableHandbook[[#This Row],[UDC]],TableGCGLOBL[],7,FALSE),"")</f>
        <v/>
      </c>
      <c r="AF23" s="213" t="str">
        <f>IFERROR(VLOOKUP(TableHandbook[[#This Row],[UDC]],TableMCINTREL[],7,FALSE),"")</f>
        <v/>
      </c>
      <c r="AG23" s="211" t="str">
        <f>IFERROR(VLOOKUP(TableHandbook[[#This Row],[UDC]],TableMCINTSEC[],7,FALSE),"")</f>
        <v/>
      </c>
      <c r="AH23" s="211" t="str">
        <f>IFERROR(VLOOKUP(TableHandbook[[#This Row],[UDC]],TableGDINTSEC[],7,FALSE),"")</f>
        <v/>
      </c>
      <c r="AI23" s="211" t="str">
        <f>IFERROR(VLOOKUP(TableHandbook[[#This Row],[UDC]],TableGCINTSEC[],7,FALSE),"")</f>
        <v/>
      </c>
      <c r="AJ23" s="211" t="str">
        <f>IFERROR(VLOOKUP(TableHandbook[[#This Row],[UDC]],TableGCINTELL[],7,FALSE),"")</f>
        <v/>
      </c>
      <c r="AK23" s="211" t="str">
        <f>IFERROR(VLOOKUP(TableHandbook[[#This Row],[UDC]],TableGCIPCSEC[],7,FALSE),"")</f>
        <v/>
      </c>
    </row>
    <row r="24" spans="1:37" x14ac:dyDescent="0.3">
      <c r="A24" s="231" t="s">
        <v>356</v>
      </c>
      <c r="B24" s="3">
        <v>0</v>
      </c>
      <c r="C24" s="3"/>
      <c r="D24" s="209" t="s">
        <v>419</v>
      </c>
      <c r="E24" s="3">
        <v>50</v>
      </c>
      <c r="F24" s="149" t="s">
        <v>416</v>
      </c>
      <c r="G24" s="96" t="str">
        <f>IFERROR(IF(VLOOKUP(TableHandbook[[#This Row],[UDC]],TableAvailabilities[],2,FALSE)&gt;0,"Y",""),"")</f>
        <v>Y</v>
      </c>
      <c r="H24" s="96" t="str">
        <f>IFERROR(IF(VLOOKUP(TableHandbook[[#This Row],[UDC]],TableAvailabilities[],3,FALSE)&gt;0,"Y",""),"")</f>
        <v>Y</v>
      </c>
      <c r="I24" s="96" t="str">
        <f>IFERROR(IF(VLOOKUP(TableHandbook[[#This Row],[UDC]],TableAvailabilities[],4,FALSE)&gt;0,"Y",""),"")</f>
        <v>Y</v>
      </c>
      <c r="J24" s="96" t="str">
        <f>IFERROR(IF(VLOOKUP(TableHandbook[[#This Row],[UDC]],TableAvailabilities[],5,FALSE)&gt;0,"Y",""),"")</f>
        <v>Y</v>
      </c>
      <c r="K24" s="209"/>
      <c r="L24" s="213" t="str">
        <f>IFERROR(VLOOKUP(TableHandbook[[#This Row],[UDC]],TableMCARTS[],7,FALSE),"")</f>
        <v/>
      </c>
      <c r="M24" s="211" t="str">
        <f>IFERROR(VLOOKUP(TableHandbook[[#This Row],[UDC]],TableMJRPCWRIT[],7,FALSE),"")</f>
        <v/>
      </c>
      <c r="N24" s="211" t="str">
        <f>IFERROR(VLOOKUP(TableHandbook[[#This Row],[UDC]],TableMJRPDGCMS[],7,FALSE),"")</f>
        <v/>
      </c>
      <c r="O24" s="211" t="str">
        <f>IFERROR(VLOOKUP(TableHandbook[[#This Row],[UDC]],TableMJRPFINAR[],7,FALSE),"")</f>
        <v/>
      </c>
      <c r="P24" s="211" t="str">
        <f>IFERROR(VLOOKUP(TableHandbook[[#This Row],[UDC]],TableMJRPPWRIT[],7,FALSE),"")</f>
        <v/>
      </c>
      <c r="Q24" s="211" t="str">
        <f>IFERROR(VLOOKUP(TableHandbook[[#This Row],[UDC]],TableMJRPSCRAR[],7,FALSE),"")</f>
        <v/>
      </c>
      <c r="R24" s="213" t="str">
        <f>IFERROR(VLOOKUP(TableHandbook[[#This Row],[UDC]],TableMCMMJRG[],7,FALSE),"")</f>
        <v/>
      </c>
      <c r="S24" s="211" t="str">
        <f>IFERROR(VLOOKUP(TableHandbook[[#This Row],[UDC]],TableMCMMJRN[],7,FALSE),"")</f>
        <v/>
      </c>
      <c r="T24" s="211" t="str">
        <f>IFERROR(VLOOKUP(TableHandbook[[#This Row],[UDC]],TableGDMMJRN[],7,FALSE),"")</f>
        <v/>
      </c>
      <c r="U24" s="211" t="str">
        <f>IFERROR(VLOOKUP(TableHandbook[[#This Row],[UDC]],TableGCMMJRN[],7,FALSE),"")</f>
        <v/>
      </c>
      <c r="V24" s="213" t="str">
        <f>IFERROR(VLOOKUP(TableHandbook[[#This Row],[UDC]],TableMCHRIGLO[],7,FALSE),"")</f>
        <v/>
      </c>
      <c r="W24" s="211" t="str">
        <f>IFERROR(VLOOKUP(TableHandbook[[#This Row],[UDC]],TableMCHRIGHT[],7,FALSE),"")</f>
        <v/>
      </c>
      <c r="X24" s="211" t="str">
        <f>IFERROR(VLOOKUP(TableHandbook[[#This Row],[UDC]],TableGDHRIGHT[],7,FALSE),"")</f>
        <v/>
      </c>
      <c r="Y24" s="211" t="str">
        <f>IFERROR(VLOOKUP(TableHandbook[[#This Row],[UDC]],TableGCHRIGHT[],7,FALSE),"")</f>
        <v/>
      </c>
      <c r="Z24" s="213" t="str">
        <f>IFERROR(VLOOKUP(TableHandbook[[#This Row],[UDC]],TableMCGLOBL2[],7,FALSE),"")</f>
        <v/>
      </c>
      <c r="AA24" s="211" t="str">
        <f>IFERROR(VLOOKUP(TableHandbook[[#This Row],[UDC]],TableMCGLOBL[],7,FALSE),"")</f>
        <v/>
      </c>
      <c r="AB24" s="211" t="str">
        <f>IFERROR(VLOOKUP(TableHandbook[[#This Row],[UDC]],TableSTRPGLOBL[],7,FALSE),"")</f>
        <v/>
      </c>
      <c r="AC24" s="211" t="str">
        <f>IFERROR(VLOOKUP(TableHandbook[[#This Row],[UDC]],TableSTRPHRIGT[],7,FALSE),"")</f>
        <v/>
      </c>
      <c r="AD24" s="211" t="str">
        <f>IFERROR(VLOOKUP(TableHandbook[[#This Row],[UDC]],TableSTRPINTRN[],7,FALSE),"")</f>
        <v/>
      </c>
      <c r="AE24" s="211" t="str">
        <f>IFERROR(VLOOKUP(TableHandbook[[#This Row],[UDC]],TableGCGLOBL[],7,FALSE),"")</f>
        <v/>
      </c>
      <c r="AF24" s="213" t="str">
        <f>IFERROR(VLOOKUP(TableHandbook[[#This Row],[UDC]],TableMCINTREL[],7,FALSE),"")</f>
        <v/>
      </c>
      <c r="AG24" s="211" t="str">
        <f>IFERROR(VLOOKUP(TableHandbook[[#This Row],[UDC]],TableMCINTSEC[],7,FALSE),"")</f>
        <v>AltCore</v>
      </c>
      <c r="AH24" s="211" t="str">
        <f>IFERROR(VLOOKUP(TableHandbook[[#This Row],[UDC]],TableGDINTSEC[],7,FALSE),"")</f>
        <v/>
      </c>
      <c r="AI24" s="211" t="str">
        <f>IFERROR(VLOOKUP(TableHandbook[[#This Row],[UDC]],TableGCINTSEC[],7,FALSE),"")</f>
        <v/>
      </c>
      <c r="AJ24" s="211" t="str">
        <f>IFERROR(VLOOKUP(TableHandbook[[#This Row],[UDC]],TableGCINTELL[],7,FALSE),"")</f>
        <v/>
      </c>
      <c r="AK24" s="211" t="str">
        <f>IFERROR(VLOOKUP(TableHandbook[[#This Row],[UDC]],TableGCIPCSEC[],7,FALSE),"")</f>
        <v/>
      </c>
    </row>
    <row r="25" spans="1:37" x14ac:dyDescent="0.3">
      <c r="A25" s="231" t="s">
        <v>357</v>
      </c>
      <c r="B25" s="3">
        <v>0</v>
      </c>
      <c r="C25" s="3"/>
      <c r="D25" s="209" t="s">
        <v>420</v>
      </c>
      <c r="E25" s="3">
        <v>50</v>
      </c>
      <c r="F25" s="149" t="s">
        <v>416</v>
      </c>
      <c r="G25" s="96" t="str">
        <f>IFERROR(IF(VLOOKUP(TableHandbook[[#This Row],[UDC]],TableAvailabilities[],2,FALSE)&gt;0,"Y",""),"")</f>
        <v>Y</v>
      </c>
      <c r="H25" s="96" t="str">
        <f>IFERROR(IF(VLOOKUP(TableHandbook[[#This Row],[UDC]],TableAvailabilities[],3,FALSE)&gt;0,"Y",""),"")</f>
        <v>Y</v>
      </c>
      <c r="I25" s="96" t="str">
        <f>IFERROR(IF(VLOOKUP(TableHandbook[[#This Row],[UDC]],TableAvailabilities[],4,FALSE)&gt;0,"Y",""),"")</f>
        <v>Y</v>
      </c>
      <c r="J25" s="96" t="str">
        <f>IFERROR(IF(VLOOKUP(TableHandbook[[#This Row],[UDC]],TableAvailabilities[],5,FALSE)&gt;0,"Y",""),"")</f>
        <v>Y</v>
      </c>
      <c r="K25" s="209"/>
      <c r="L25" s="213" t="str">
        <f>IFERROR(VLOOKUP(TableHandbook[[#This Row],[UDC]],TableMCARTS[],7,FALSE),"")</f>
        <v/>
      </c>
      <c r="M25" s="211" t="str">
        <f>IFERROR(VLOOKUP(TableHandbook[[#This Row],[UDC]],TableMJRPCWRIT[],7,FALSE),"")</f>
        <v/>
      </c>
      <c r="N25" s="211" t="str">
        <f>IFERROR(VLOOKUP(TableHandbook[[#This Row],[UDC]],TableMJRPDGCMS[],7,FALSE),"")</f>
        <v/>
      </c>
      <c r="O25" s="211" t="str">
        <f>IFERROR(VLOOKUP(TableHandbook[[#This Row],[UDC]],TableMJRPFINAR[],7,FALSE),"")</f>
        <v/>
      </c>
      <c r="P25" s="211" t="str">
        <f>IFERROR(VLOOKUP(TableHandbook[[#This Row],[UDC]],TableMJRPPWRIT[],7,FALSE),"")</f>
        <v/>
      </c>
      <c r="Q25" s="211" t="str">
        <f>IFERROR(VLOOKUP(TableHandbook[[#This Row],[UDC]],TableMJRPSCRAR[],7,FALSE),"")</f>
        <v/>
      </c>
      <c r="R25" s="213" t="str">
        <f>IFERROR(VLOOKUP(TableHandbook[[#This Row],[UDC]],TableMCMMJRG[],7,FALSE),"")</f>
        <v/>
      </c>
      <c r="S25" s="211" t="str">
        <f>IFERROR(VLOOKUP(TableHandbook[[#This Row],[UDC]],TableMCMMJRN[],7,FALSE),"")</f>
        <v/>
      </c>
      <c r="T25" s="211" t="str">
        <f>IFERROR(VLOOKUP(TableHandbook[[#This Row],[UDC]],TableGDMMJRN[],7,FALSE),"")</f>
        <v/>
      </c>
      <c r="U25" s="211" t="str">
        <f>IFERROR(VLOOKUP(TableHandbook[[#This Row],[UDC]],TableGCMMJRN[],7,FALSE),"")</f>
        <v/>
      </c>
      <c r="V25" s="213" t="str">
        <f>IFERROR(VLOOKUP(TableHandbook[[#This Row],[UDC]],TableMCHRIGLO[],7,FALSE),"")</f>
        <v/>
      </c>
      <c r="W25" s="211" t="str">
        <f>IFERROR(VLOOKUP(TableHandbook[[#This Row],[UDC]],TableMCHRIGHT[],7,FALSE),"")</f>
        <v/>
      </c>
      <c r="X25" s="211" t="str">
        <f>IFERROR(VLOOKUP(TableHandbook[[#This Row],[UDC]],TableGDHRIGHT[],7,FALSE),"")</f>
        <v/>
      </c>
      <c r="Y25" s="211" t="str">
        <f>IFERROR(VLOOKUP(TableHandbook[[#This Row],[UDC]],TableGCHRIGHT[],7,FALSE),"")</f>
        <v/>
      </c>
      <c r="Z25" s="213" t="str">
        <f>IFERROR(VLOOKUP(TableHandbook[[#This Row],[UDC]],TableMCGLOBL2[],7,FALSE),"")</f>
        <v/>
      </c>
      <c r="AA25" s="211" t="str">
        <f>IFERROR(VLOOKUP(TableHandbook[[#This Row],[UDC]],TableMCGLOBL[],7,FALSE),"")</f>
        <v/>
      </c>
      <c r="AB25" s="211" t="str">
        <f>IFERROR(VLOOKUP(TableHandbook[[#This Row],[UDC]],TableSTRPGLOBL[],7,FALSE),"")</f>
        <v/>
      </c>
      <c r="AC25" s="211" t="str">
        <f>IFERROR(VLOOKUP(TableHandbook[[#This Row],[UDC]],TableSTRPHRIGT[],7,FALSE),"")</f>
        <v/>
      </c>
      <c r="AD25" s="211" t="str">
        <f>IFERROR(VLOOKUP(TableHandbook[[#This Row],[UDC]],TableSTRPINTRN[],7,FALSE),"")</f>
        <v/>
      </c>
      <c r="AE25" s="211" t="str">
        <f>IFERROR(VLOOKUP(TableHandbook[[#This Row],[UDC]],TableGCGLOBL[],7,FALSE),"")</f>
        <v/>
      </c>
      <c r="AF25" s="213" t="str">
        <f>IFERROR(VLOOKUP(TableHandbook[[#This Row],[UDC]],TableMCINTREL[],7,FALSE),"")</f>
        <v/>
      </c>
      <c r="AG25" s="211" t="str">
        <f>IFERROR(VLOOKUP(TableHandbook[[#This Row],[UDC]],TableMCINTSEC[],7,FALSE),"")</f>
        <v>AltCore</v>
      </c>
      <c r="AH25" s="211" t="str">
        <f>IFERROR(VLOOKUP(TableHandbook[[#This Row],[UDC]],TableGDINTSEC[],7,FALSE),"")</f>
        <v/>
      </c>
      <c r="AI25" s="211" t="str">
        <f>IFERROR(VLOOKUP(TableHandbook[[#This Row],[UDC]],TableGCINTSEC[],7,FALSE),"")</f>
        <v/>
      </c>
      <c r="AJ25" s="211" t="str">
        <f>IFERROR(VLOOKUP(TableHandbook[[#This Row],[UDC]],TableGCINTELL[],7,FALSE),"")</f>
        <v/>
      </c>
      <c r="AK25" s="211" t="str">
        <f>IFERROR(VLOOKUP(TableHandbook[[#This Row],[UDC]],TableGCIPCSEC[],7,FALSE),"")</f>
        <v/>
      </c>
    </row>
    <row r="26" spans="1:37" x14ac:dyDescent="0.3">
      <c r="A26" s="231" t="s">
        <v>363</v>
      </c>
      <c r="B26" s="3">
        <v>0</v>
      </c>
      <c r="C26" s="3"/>
      <c r="D26" s="209" t="s">
        <v>425</v>
      </c>
      <c r="E26" s="3">
        <v>25</v>
      </c>
      <c r="F26" s="149" t="s">
        <v>416</v>
      </c>
      <c r="G26" s="96" t="str">
        <f>IFERROR(IF(VLOOKUP(TableHandbook[[#This Row],[UDC]],TableAvailabilities[],2,FALSE)&gt;0,"Y",""),"")</f>
        <v/>
      </c>
      <c r="H26" s="96" t="str">
        <f>IFERROR(IF(VLOOKUP(TableHandbook[[#This Row],[UDC]],TableAvailabilities[],3,FALSE)&gt;0,"Y",""),"")</f>
        <v/>
      </c>
      <c r="I26" s="96" t="str">
        <f>IFERROR(IF(VLOOKUP(TableHandbook[[#This Row],[UDC]],TableAvailabilities[],4,FALSE)&gt;0,"Y",""),"")</f>
        <v/>
      </c>
      <c r="J26" s="96" t="str">
        <f>IFERROR(IF(VLOOKUP(TableHandbook[[#This Row],[UDC]],TableAvailabilities[],5,FALSE)&gt;0,"Y",""),"")</f>
        <v/>
      </c>
      <c r="K26" s="209"/>
      <c r="L26" s="213" t="str">
        <f>IFERROR(VLOOKUP(TableHandbook[[#This Row],[UDC]],TableMCARTS[],7,FALSE),"")</f>
        <v/>
      </c>
      <c r="M26" s="211" t="str">
        <f>IFERROR(VLOOKUP(TableHandbook[[#This Row],[UDC]],TableMJRPCWRIT[],7,FALSE),"")</f>
        <v/>
      </c>
      <c r="N26" s="211" t="str">
        <f>IFERROR(VLOOKUP(TableHandbook[[#This Row],[UDC]],TableMJRPDGCMS[],7,FALSE),"")</f>
        <v/>
      </c>
      <c r="O26" s="211" t="str">
        <f>IFERROR(VLOOKUP(TableHandbook[[#This Row],[UDC]],TableMJRPFINAR[],7,FALSE),"")</f>
        <v/>
      </c>
      <c r="P26" s="211" t="str">
        <f>IFERROR(VLOOKUP(TableHandbook[[#This Row],[UDC]],TableMJRPPWRIT[],7,FALSE),"")</f>
        <v/>
      </c>
      <c r="Q26" s="211" t="str">
        <f>IFERROR(VLOOKUP(TableHandbook[[#This Row],[UDC]],TableMJRPSCRAR[],7,FALSE),"")</f>
        <v/>
      </c>
      <c r="R26" s="213" t="str">
        <f>IFERROR(VLOOKUP(TableHandbook[[#This Row],[UDC]],TableMCMMJRG[],7,FALSE),"")</f>
        <v/>
      </c>
      <c r="S26" s="211" t="str">
        <f>IFERROR(VLOOKUP(TableHandbook[[#This Row],[UDC]],TableMCMMJRN[],7,FALSE),"")</f>
        <v/>
      </c>
      <c r="T26" s="211" t="str">
        <f>IFERROR(VLOOKUP(TableHandbook[[#This Row],[UDC]],TableGDMMJRN[],7,FALSE),"")</f>
        <v/>
      </c>
      <c r="U26" s="211" t="str">
        <f>IFERROR(VLOOKUP(TableHandbook[[#This Row],[UDC]],TableGCMMJRN[],7,FALSE),"")</f>
        <v/>
      </c>
      <c r="V26" s="213" t="str">
        <f>IFERROR(VLOOKUP(TableHandbook[[#This Row],[UDC]],TableMCHRIGLO[],7,FALSE),"")</f>
        <v/>
      </c>
      <c r="W26" s="211" t="str">
        <f>IFERROR(VLOOKUP(TableHandbook[[#This Row],[UDC]],TableMCHRIGHT[],7,FALSE),"")</f>
        <v/>
      </c>
      <c r="X26" s="211" t="str">
        <f>IFERROR(VLOOKUP(TableHandbook[[#This Row],[UDC]],TableGDHRIGHT[],7,FALSE),"")</f>
        <v/>
      </c>
      <c r="Y26" s="211" t="str">
        <f>IFERROR(VLOOKUP(TableHandbook[[#This Row],[UDC]],TableGCHRIGHT[],7,FALSE),"")</f>
        <v/>
      </c>
      <c r="Z26" s="213" t="str">
        <f>IFERROR(VLOOKUP(TableHandbook[[#This Row],[UDC]],TableMCGLOBL2[],7,FALSE),"")</f>
        <v/>
      </c>
      <c r="AA26" s="211" t="str">
        <f>IFERROR(VLOOKUP(TableHandbook[[#This Row],[UDC]],TableMCGLOBL[],7,FALSE),"")</f>
        <v/>
      </c>
      <c r="AB26" s="211" t="str">
        <f>IFERROR(VLOOKUP(TableHandbook[[#This Row],[UDC]],TableSTRPGLOBL[],7,FALSE),"")</f>
        <v/>
      </c>
      <c r="AC26" s="211" t="str">
        <f>IFERROR(VLOOKUP(TableHandbook[[#This Row],[UDC]],TableSTRPHRIGT[],7,FALSE),"")</f>
        <v/>
      </c>
      <c r="AD26" s="211" t="str">
        <f>IFERROR(VLOOKUP(TableHandbook[[#This Row],[UDC]],TableSTRPINTRN[],7,FALSE),"")</f>
        <v/>
      </c>
      <c r="AE26" s="211" t="str">
        <f>IFERROR(VLOOKUP(TableHandbook[[#This Row],[UDC]],TableGCGLOBL[],7,FALSE),"")</f>
        <v/>
      </c>
      <c r="AF26" s="213" t="str">
        <f>IFERROR(VLOOKUP(TableHandbook[[#This Row],[UDC]],TableMCINTREL[],7,FALSE),"")</f>
        <v/>
      </c>
      <c r="AG26" s="211" t="str">
        <f>IFERROR(VLOOKUP(TableHandbook[[#This Row],[UDC]],TableMCINTSEC[],7,FALSE),"")</f>
        <v/>
      </c>
      <c r="AH26" s="211" t="str">
        <f>IFERROR(VLOOKUP(TableHandbook[[#This Row],[UDC]],TableGDINTSEC[],7,FALSE),"")</f>
        <v>AltCore</v>
      </c>
      <c r="AI26" s="211" t="str">
        <f>IFERROR(VLOOKUP(TableHandbook[[#This Row],[UDC]],TableGCINTSEC[],7,FALSE),"")</f>
        <v>AltCore</v>
      </c>
      <c r="AJ26" s="211" t="str">
        <f>IFERROR(VLOOKUP(TableHandbook[[#This Row],[UDC]],TableGCINTELL[],7,FALSE),"")</f>
        <v/>
      </c>
      <c r="AK26" s="211" t="str">
        <f>IFERROR(VLOOKUP(TableHandbook[[#This Row],[UDC]],TableGCIPCSEC[],7,FALSE),"")</f>
        <v/>
      </c>
    </row>
    <row r="27" spans="1:37" x14ac:dyDescent="0.3">
      <c r="A27" s="2" t="s">
        <v>314</v>
      </c>
      <c r="B27" s="3">
        <v>0</v>
      </c>
      <c r="C27" s="3"/>
      <c r="D27" s="209" t="s">
        <v>426</v>
      </c>
      <c r="E27" s="3">
        <v>25</v>
      </c>
      <c r="F27" s="149" t="s">
        <v>416</v>
      </c>
      <c r="G27" s="96" t="str">
        <f>IFERROR(IF(VLOOKUP(TableHandbook[[#This Row],[UDC]],TableAvailabilities[],2,FALSE)&gt;0,"Y",""),"")</f>
        <v/>
      </c>
      <c r="H27" s="96" t="str">
        <f>IFERROR(IF(VLOOKUP(TableHandbook[[#This Row],[UDC]],TableAvailabilities[],3,FALSE)&gt;0,"Y",""),"")</f>
        <v/>
      </c>
      <c r="I27" s="96" t="str">
        <f>IFERROR(IF(VLOOKUP(TableHandbook[[#This Row],[UDC]],TableAvailabilities[],4,FALSE)&gt;0,"Y",""),"")</f>
        <v/>
      </c>
      <c r="J27" s="96" t="str">
        <f>IFERROR(IF(VLOOKUP(TableHandbook[[#This Row],[UDC]],TableAvailabilities[],5,FALSE)&gt;0,"Y",""),"")</f>
        <v/>
      </c>
      <c r="K27" s="209"/>
      <c r="L27" s="213" t="str">
        <f>IFERROR(VLOOKUP(TableHandbook[[#This Row],[UDC]],TableMCARTS[],7,FALSE),"")</f>
        <v/>
      </c>
      <c r="M27" s="211" t="str">
        <f>IFERROR(VLOOKUP(TableHandbook[[#This Row],[UDC]],TableMJRPCWRIT[],7,FALSE),"")</f>
        <v/>
      </c>
      <c r="N27" s="211" t="str">
        <f>IFERROR(VLOOKUP(TableHandbook[[#This Row],[UDC]],TableMJRPDGCMS[],7,FALSE),"")</f>
        <v/>
      </c>
      <c r="O27" s="211" t="str">
        <f>IFERROR(VLOOKUP(TableHandbook[[#This Row],[UDC]],TableMJRPFINAR[],7,FALSE),"")</f>
        <v/>
      </c>
      <c r="P27" s="211" t="str">
        <f>IFERROR(VLOOKUP(TableHandbook[[#This Row],[UDC]],TableMJRPPWRIT[],7,FALSE),"")</f>
        <v/>
      </c>
      <c r="Q27" s="211" t="str">
        <f>IFERROR(VLOOKUP(TableHandbook[[#This Row],[UDC]],TableMJRPSCRAR[],7,FALSE),"")</f>
        <v/>
      </c>
      <c r="R27" s="213" t="str">
        <f>IFERROR(VLOOKUP(TableHandbook[[#This Row],[UDC]],TableMCMMJRG[],7,FALSE),"")</f>
        <v>AltCore</v>
      </c>
      <c r="S27" s="211" t="str">
        <f>IFERROR(VLOOKUP(TableHandbook[[#This Row],[UDC]],TableMCMMJRN[],7,FALSE),"")</f>
        <v/>
      </c>
      <c r="T27" s="211" t="str">
        <f>IFERROR(VLOOKUP(TableHandbook[[#This Row],[UDC]],TableGDMMJRN[],7,FALSE),"")</f>
        <v/>
      </c>
      <c r="U27" s="211" t="str">
        <f>IFERROR(VLOOKUP(TableHandbook[[#This Row],[UDC]],TableGCMMJRN[],7,FALSE),"")</f>
        <v/>
      </c>
      <c r="V27" s="213" t="str">
        <f>IFERROR(VLOOKUP(TableHandbook[[#This Row],[UDC]],TableMCHRIGLO[],7,FALSE),"")</f>
        <v/>
      </c>
      <c r="W27" s="211" t="str">
        <f>IFERROR(VLOOKUP(TableHandbook[[#This Row],[UDC]],TableMCHRIGHT[],7,FALSE),"")</f>
        <v/>
      </c>
      <c r="X27" s="211" t="str">
        <f>IFERROR(VLOOKUP(TableHandbook[[#This Row],[UDC]],TableGDHRIGHT[],7,FALSE),"")</f>
        <v/>
      </c>
      <c r="Y27" s="211" t="str">
        <f>IFERROR(VLOOKUP(TableHandbook[[#This Row],[UDC]],TableGCHRIGHT[],7,FALSE),"")</f>
        <v/>
      </c>
      <c r="Z27" s="213" t="str">
        <f>IFERROR(VLOOKUP(TableHandbook[[#This Row],[UDC]],TableMCGLOBL2[],7,FALSE),"")</f>
        <v/>
      </c>
      <c r="AA27" s="211" t="str">
        <f>IFERROR(VLOOKUP(TableHandbook[[#This Row],[UDC]],TableMCGLOBL[],7,FALSE),"")</f>
        <v/>
      </c>
      <c r="AB27" s="211" t="str">
        <f>IFERROR(VLOOKUP(TableHandbook[[#This Row],[UDC]],TableSTRPGLOBL[],7,FALSE),"")</f>
        <v/>
      </c>
      <c r="AC27" s="211" t="str">
        <f>IFERROR(VLOOKUP(TableHandbook[[#This Row],[UDC]],TableSTRPHRIGT[],7,FALSE),"")</f>
        <v/>
      </c>
      <c r="AD27" s="211" t="str">
        <f>IFERROR(VLOOKUP(TableHandbook[[#This Row],[UDC]],TableSTRPINTRN[],7,FALSE),"")</f>
        <v/>
      </c>
      <c r="AE27" s="211" t="str">
        <f>IFERROR(VLOOKUP(TableHandbook[[#This Row],[UDC]],TableGCGLOBL[],7,FALSE),"")</f>
        <v/>
      </c>
      <c r="AF27" s="213" t="str">
        <f>IFERROR(VLOOKUP(TableHandbook[[#This Row],[UDC]],TableMCINTREL[],7,FALSE),"")</f>
        <v/>
      </c>
      <c r="AG27" s="211" t="str">
        <f>IFERROR(VLOOKUP(TableHandbook[[#This Row],[UDC]],TableMCINTSEC[],7,FALSE),"")</f>
        <v/>
      </c>
      <c r="AH27" s="211" t="str">
        <f>IFERROR(VLOOKUP(TableHandbook[[#This Row],[UDC]],TableGDINTSEC[],7,FALSE),"")</f>
        <v/>
      </c>
      <c r="AI27" s="211" t="str">
        <f>IFERROR(VLOOKUP(TableHandbook[[#This Row],[UDC]],TableGCINTSEC[],7,FALSE),"")</f>
        <v/>
      </c>
      <c r="AJ27" s="211" t="str">
        <f>IFERROR(VLOOKUP(TableHandbook[[#This Row],[UDC]],TableGCINTELL[],7,FALSE),"")</f>
        <v/>
      </c>
      <c r="AK27" s="211" t="str">
        <f>IFERROR(VLOOKUP(TableHandbook[[#This Row],[UDC]],TableGCIPCSEC[],7,FALSE),"")</f>
        <v/>
      </c>
    </row>
    <row r="28" spans="1:37" x14ac:dyDescent="0.3">
      <c r="A28" s="2" t="s">
        <v>313</v>
      </c>
      <c r="B28" s="3">
        <v>0</v>
      </c>
      <c r="C28" s="3"/>
      <c r="D28" s="209" t="s">
        <v>426</v>
      </c>
      <c r="E28" s="3">
        <v>25</v>
      </c>
      <c r="F28" s="149" t="s">
        <v>416</v>
      </c>
      <c r="G28" s="96" t="str">
        <f>IFERROR(IF(VLOOKUP(TableHandbook[[#This Row],[UDC]],TableAvailabilities[],2,FALSE)&gt;0,"Y",""),"")</f>
        <v/>
      </c>
      <c r="H28" s="96" t="str">
        <f>IFERROR(IF(VLOOKUP(TableHandbook[[#This Row],[UDC]],TableAvailabilities[],3,FALSE)&gt;0,"Y",""),"")</f>
        <v/>
      </c>
      <c r="I28" s="96" t="str">
        <f>IFERROR(IF(VLOOKUP(TableHandbook[[#This Row],[UDC]],TableAvailabilities[],4,FALSE)&gt;0,"Y",""),"")</f>
        <v/>
      </c>
      <c r="J28" s="96" t="str">
        <f>IFERROR(IF(VLOOKUP(TableHandbook[[#This Row],[UDC]],TableAvailabilities[],5,FALSE)&gt;0,"Y",""),"")</f>
        <v/>
      </c>
      <c r="K28" s="209"/>
      <c r="L28" s="213" t="str">
        <f>IFERROR(VLOOKUP(TableHandbook[[#This Row],[UDC]],TableMCARTS[],7,FALSE),"")</f>
        <v/>
      </c>
      <c r="M28" s="211" t="str">
        <f>IFERROR(VLOOKUP(TableHandbook[[#This Row],[UDC]],TableMJRPCWRIT[],7,FALSE),"")</f>
        <v/>
      </c>
      <c r="N28" s="211" t="str">
        <f>IFERROR(VLOOKUP(TableHandbook[[#This Row],[UDC]],TableMJRPDGCMS[],7,FALSE),"")</f>
        <v/>
      </c>
      <c r="O28" s="211" t="str">
        <f>IFERROR(VLOOKUP(TableHandbook[[#This Row],[UDC]],TableMJRPFINAR[],7,FALSE),"")</f>
        <v/>
      </c>
      <c r="P28" s="211" t="str">
        <f>IFERROR(VLOOKUP(TableHandbook[[#This Row],[UDC]],TableMJRPPWRIT[],7,FALSE),"")</f>
        <v/>
      </c>
      <c r="Q28" s="211" t="str">
        <f>IFERROR(VLOOKUP(TableHandbook[[#This Row],[UDC]],TableMJRPSCRAR[],7,FALSE),"")</f>
        <v/>
      </c>
      <c r="R28" s="213" t="str">
        <f>IFERROR(VLOOKUP(TableHandbook[[#This Row],[UDC]],TableMCMMJRG[],7,FALSE),"")</f>
        <v/>
      </c>
      <c r="S28" s="211" t="str">
        <f>IFERROR(VLOOKUP(TableHandbook[[#This Row],[UDC]],TableMCMMJRN[],7,FALSE),"")</f>
        <v>Option</v>
      </c>
      <c r="T28" s="211" t="str">
        <f>IFERROR(VLOOKUP(TableHandbook[[#This Row],[UDC]],TableGDMMJRN[],7,FALSE),"")</f>
        <v/>
      </c>
      <c r="U28" s="211" t="str">
        <f>IFERROR(VLOOKUP(TableHandbook[[#This Row],[UDC]],TableGCMMJRN[],7,FALSE),"")</f>
        <v/>
      </c>
      <c r="V28" s="213" t="str">
        <f>IFERROR(VLOOKUP(TableHandbook[[#This Row],[UDC]],TableMCHRIGLO[],7,FALSE),"")</f>
        <v/>
      </c>
      <c r="W28" s="211" t="str">
        <f>IFERROR(VLOOKUP(TableHandbook[[#This Row],[UDC]],TableMCHRIGHT[],7,FALSE),"")</f>
        <v/>
      </c>
      <c r="X28" s="211" t="str">
        <f>IFERROR(VLOOKUP(TableHandbook[[#This Row],[UDC]],TableGDHRIGHT[],7,FALSE),"")</f>
        <v/>
      </c>
      <c r="Y28" s="211" t="str">
        <f>IFERROR(VLOOKUP(TableHandbook[[#This Row],[UDC]],TableGCHRIGHT[],7,FALSE),"")</f>
        <v/>
      </c>
      <c r="Z28" s="213" t="str">
        <f>IFERROR(VLOOKUP(TableHandbook[[#This Row],[UDC]],TableMCGLOBL2[],7,FALSE),"")</f>
        <v/>
      </c>
      <c r="AA28" s="211" t="str">
        <f>IFERROR(VLOOKUP(TableHandbook[[#This Row],[UDC]],TableMCGLOBL[],7,FALSE),"")</f>
        <v/>
      </c>
      <c r="AB28" s="211" t="str">
        <f>IFERROR(VLOOKUP(TableHandbook[[#This Row],[UDC]],TableSTRPGLOBL[],7,FALSE),"")</f>
        <v/>
      </c>
      <c r="AC28" s="211" t="str">
        <f>IFERROR(VLOOKUP(TableHandbook[[#This Row],[UDC]],TableSTRPHRIGT[],7,FALSE),"")</f>
        <v/>
      </c>
      <c r="AD28" s="211" t="str">
        <f>IFERROR(VLOOKUP(TableHandbook[[#This Row],[UDC]],TableSTRPINTRN[],7,FALSE),"")</f>
        <v/>
      </c>
      <c r="AE28" s="211" t="str">
        <f>IFERROR(VLOOKUP(TableHandbook[[#This Row],[UDC]],TableGCGLOBL[],7,FALSE),"")</f>
        <v/>
      </c>
      <c r="AF28" s="213" t="str">
        <f>IFERROR(VLOOKUP(TableHandbook[[#This Row],[UDC]],TableMCINTREL[],7,FALSE),"")</f>
        <v/>
      </c>
      <c r="AG28" s="211" t="str">
        <f>IFERROR(VLOOKUP(TableHandbook[[#This Row],[UDC]],TableMCINTSEC[],7,FALSE),"")</f>
        <v/>
      </c>
      <c r="AH28" s="211" t="str">
        <f>IFERROR(VLOOKUP(TableHandbook[[#This Row],[UDC]],TableGDINTSEC[],7,FALSE),"")</f>
        <v/>
      </c>
      <c r="AI28" s="211" t="str">
        <f>IFERROR(VLOOKUP(TableHandbook[[#This Row],[UDC]],TableGCINTSEC[],7,FALSE),"")</f>
        <v/>
      </c>
      <c r="AJ28" s="211" t="str">
        <f>IFERROR(VLOOKUP(TableHandbook[[#This Row],[UDC]],TableGCINTELL[],7,FALSE),"")</f>
        <v/>
      </c>
      <c r="AK28" s="211" t="str">
        <f>IFERROR(VLOOKUP(TableHandbook[[#This Row],[UDC]],TableGCIPCSEC[],7,FALSE),"")</f>
        <v/>
      </c>
    </row>
    <row r="29" spans="1:37" x14ac:dyDescent="0.3">
      <c r="A29" s="2" t="s">
        <v>332</v>
      </c>
      <c r="B29" s="3">
        <v>0</v>
      </c>
      <c r="C29" s="3"/>
      <c r="D29" s="209" t="s">
        <v>417</v>
      </c>
      <c r="E29" s="3">
        <v>25</v>
      </c>
      <c r="F29" s="149" t="s">
        <v>416</v>
      </c>
      <c r="G29" s="96" t="str">
        <f>IFERROR(IF(VLOOKUP(TableHandbook[[#This Row],[UDC]],TableAvailabilities[],2,FALSE)&gt;0,"Y",""),"")</f>
        <v/>
      </c>
      <c r="H29" s="96" t="str">
        <f>IFERROR(IF(VLOOKUP(TableHandbook[[#This Row],[UDC]],TableAvailabilities[],3,FALSE)&gt;0,"Y",""),"")</f>
        <v/>
      </c>
      <c r="I29" s="96" t="str">
        <f>IFERROR(IF(VLOOKUP(TableHandbook[[#This Row],[UDC]],TableAvailabilities[],4,FALSE)&gt;0,"Y",""),"")</f>
        <v/>
      </c>
      <c r="J29" s="96" t="str">
        <f>IFERROR(IF(VLOOKUP(TableHandbook[[#This Row],[UDC]],TableAvailabilities[],5,FALSE)&gt;0,"Y",""),"")</f>
        <v/>
      </c>
      <c r="K29" s="209"/>
      <c r="L29" s="213" t="str">
        <f>IFERROR(VLOOKUP(TableHandbook[[#This Row],[UDC]],TableMCARTS[],7,FALSE),"")</f>
        <v/>
      </c>
      <c r="M29" s="211" t="str">
        <f>IFERROR(VLOOKUP(TableHandbook[[#This Row],[UDC]],TableMJRPCWRIT[],7,FALSE),"")</f>
        <v/>
      </c>
      <c r="N29" s="211" t="str">
        <f>IFERROR(VLOOKUP(TableHandbook[[#This Row],[UDC]],TableMJRPDGCMS[],7,FALSE),"")</f>
        <v/>
      </c>
      <c r="O29" s="211" t="str">
        <f>IFERROR(VLOOKUP(TableHandbook[[#This Row],[UDC]],TableMJRPFINAR[],7,FALSE),"")</f>
        <v/>
      </c>
      <c r="P29" s="211" t="str">
        <f>IFERROR(VLOOKUP(TableHandbook[[#This Row],[UDC]],TableMJRPPWRIT[],7,FALSE),"")</f>
        <v/>
      </c>
      <c r="Q29" s="211" t="str">
        <f>IFERROR(VLOOKUP(TableHandbook[[#This Row],[UDC]],TableMJRPSCRAR[],7,FALSE),"")</f>
        <v/>
      </c>
      <c r="R29" s="213" t="str">
        <f>IFERROR(VLOOKUP(TableHandbook[[#This Row],[UDC]],TableMCMMJRG[],7,FALSE),"")</f>
        <v/>
      </c>
      <c r="S29" s="211" t="str">
        <f>IFERROR(VLOOKUP(TableHandbook[[#This Row],[UDC]],TableMCMMJRN[],7,FALSE),"")</f>
        <v/>
      </c>
      <c r="T29" s="211" t="str">
        <f>IFERROR(VLOOKUP(TableHandbook[[#This Row],[UDC]],TableGDMMJRN[],7,FALSE),"")</f>
        <v/>
      </c>
      <c r="U29" s="211" t="str">
        <f>IFERROR(VLOOKUP(TableHandbook[[#This Row],[UDC]],TableGCMMJRN[],7,FALSE),"")</f>
        <v/>
      </c>
      <c r="V29" s="213" t="str">
        <f>IFERROR(VLOOKUP(TableHandbook[[#This Row],[UDC]],TableMCHRIGLO[],7,FALSE),"")</f>
        <v/>
      </c>
      <c r="W29" s="211" t="str">
        <f>IFERROR(VLOOKUP(TableHandbook[[#This Row],[UDC]],TableMCHRIGHT[],7,FALSE),"")</f>
        <v/>
      </c>
      <c r="X29" s="211" t="str">
        <f>IFERROR(VLOOKUP(TableHandbook[[#This Row],[UDC]],TableGDHRIGHT[],7,FALSE),"")</f>
        <v/>
      </c>
      <c r="Y29" s="211" t="str">
        <f>IFERROR(VLOOKUP(TableHandbook[[#This Row],[UDC]],TableGCHRIGHT[],7,FALSE),"")</f>
        <v/>
      </c>
      <c r="Z29" s="213" t="str">
        <f>IFERROR(VLOOKUP(TableHandbook[[#This Row],[UDC]],TableMCGLOBL2[],7,FALSE),"")</f>
        <v/>
      </c>
      <c r="AA29" s="211" t="str">
        <f>IFERROR(VLOOKUP(TableHandbook[[#This Row],[UDC]],TableMCGLOBL[],7,FALSE),"")</f>
        <v/>
      </c>
      <c r="AB29" s="211" t="str">
        <f>IFERROR(VLOOKUP(TableHandbook[[#This Row],[UDC]],TableSTRPGLOBL[],7,FALSE),"")</f>
        <v/>
      </c>
      <c r="AC29" s="211" t="str">
        <f>IFERROR(VLOOKUP(TableHandbook[[#This Row],[UDC]],TableSTRPHRIGT[],7,FALSE),"")</f>
        <v/>
      </c>
      <c r="AD29" s="211" t="str">
        <f>IFERROR(VLOOKUP(TableHandbook[[#This Row],[UDC]],TableSTRPINTRN[],7,FALSE),"")</f>
        <v/>
      </c>
      <c r="AE29" s="211" t="str">
        <f>IFERROR(VLOOKUP(TableHandbook[[#This Row],[UDC]],TableGCGLOBL[],7,FALSE),"")</f>
        <v/>
      </c>
      <c r="AF29" s="213" t="str">
        <f>IFERROR(VLOOKUP(TableHandbook[[#This Row],[UDC]],TableMCINTREL[],7,FALSE),"")</f>
        <v/>
      </c>
      <c r="AG29" s="211" t="str">
        <f>IFERROR(VLOOKUP(TableHandbook[[#This Row],[UDC]],TableMCINTSEC[],7,FALSE),"")</f>
        <v/>
      </c>
      <c r="AH29" s="211" t="str">
        <f>IFERROR(VLOOKUP(TableHandbook[[#This Row],[UDC]],TableGDINTSEC[],7,FALSE),"")</f>
        <v/>
      </c>
      <c r="AI29" s="211" t="str">
        <f>IFERROR(VLOOKUP(TableHandbook[[#This Row],[UDC]],TableGCINTSEC[],7,FALSE),"")</f>
        <v/>
      </c>
      <c r="AJ29" s="211" t="str">
        <f>IFERROR(VLOOKUP(TableHandbook[[#This Row],[UDC]],TableGCINTELL[],7,FALSE),"")</f>
        <v/>
      </c>
      <c r="AK29" s="211" t="str">
        <f>IFERROR(VLOOKUP(TableHandbook[[#This Row],[UDC]],TableGCIPCSEC[],7,FALSE),"")</f>
        <v/>
      </c>
    </row>
    <row r="30" spans="1:37" x14ac:dyDescent="0.3">
      <c r="A30" s="2" t="s">
        <v>121</v>
      </c>
      <c r="B30" s="3">
        <v>0</v>
      </c>
      <c r="C30" s="3"/>
      <c r="D30" s="209" t="s">
        <v>427</v>
      </c>
      <c r="E30" s="3">
        <v>50</v>
      </c>
      <c r="F30" s="149" t="s">
        <v>416</v>
      </c>
      <c r="G30" s="96" t="str">
        <f>IFERROR(IF(VLOOKUP(TableHandbook[[#This Row],[UDC]],TableAvailabilities[],2,FALSE)&gt;0,"Y",""),"")</f>
        <v>Y</v>
      </c>
      <c r="H30" s="96" t="str">
        <f>IFERROR(IF(VLOOKUP(TableHandbook[[#This Row],[UDC]],TableAvailabilities[],3,FALSE)&gt;0,"Y",""),"")</f>
        <v>Y</v>
      </c>
      <c r="I30" s="96" t="str">
        <f>IFERROR(IF(VLOOKUP(TableHandbook[[#This Row],[UDC]],TableAvailabilities[],4,FALSE)&gt;0,"Y",""),"")</f>
        <v>Y</v>
      </c>
      <c r="J30" s="96" t="str">
        <f>IFERROR(IF(VLOOKUP(TableHandbook[[#This Row],[UDC]],TableAvailabilities[],5,FALSE)&gt;0,"Y",""),"")</f>
        <v>Y</v>
      </c>
      <c r="K30" s="209"/>
      <c r="L30" s="213" t="str">
        <f>IFERROR(VLOOKUP(TableHandbook[[#This Row],[UDC]],TableMCARTS[],7,FALSE),"")</f>
        <v/>
      </c>
      <c r="M30" s="211" t="str">
        <f>IFERROR(VLOOKUP(TableHandbook[[#This Row],[UDC]],TableMJRPCWRIT[],7,FALSE),"")</f>
        <v/>
      </c>
      <c r="N30" s="211" t="str">
        <f>IFERROR(VLOOKUP(TableHandbook[[#This Row],[UDC]],TableMJRPDGCMS[],7,FALSE),"")</f>
        <v/>
      </c>
      <c r="O30" s="211" t="str">
        <f>IFERROR(VLOOKUP(TableHandbook[[#This Row],[UDC]],TableMJRPFINAR[],7,FALSE),"")</f>
        <v/>
      </c>
      <c r="P30" s="211" t="str">
        <f>IFERROR(VLOOKUP(TableHandbook[[#This Row],[UDC]],TableMJRPPWRIT[],7,FALSE),"")</f>
        <v>AltCore</v>
      </c>
      <c r="Q30" s="211" t="str">
        <f>IFERROR(VLOOKUP(TableHandbook[[#This Row],[UDC]],TableMJRPSCRAR[],7,FALSE),"")</f>
        <v/>
      </c>
      <c r="R30" s="213" t="str">
        <f>IFERROR(VLOOKUP(TableHandbook[[#This Row],[UDC]],TableMCMMJRG[],7,FALSE),"")</f>
        <v/>
      </c>
      <c r="S30" s="211" t="str">
        <f>IFERROR(VLOOKUP(TableHandbook[[#This Row],[UDC]],TableMCMMJRN[],7,FALSE),"")</f>
        <v/>
      </c>
      <c r="T30" s="211" t="str">
        <f>IFERROR(VLOOKUP(TableHandbook[[#This Row],[UDC]],TableGDMMJRN[],7,FALSE),"")</f>
        <v/>
      </c>
      <c r="U30" s="211" t="str">
        <f>IFERROR(VLOOKUP(TableHandbook[[#This Row],[UDC]],TableGCMMJRN[],7,FALSE),"")</f>
        <v/>
      </c>
      <c r="V30" s="213" t="str">
        <f>IFERROR(VLOOKUP(TableHandbook[[#This Row],[UDC]],TableMCHRIGLO[],7,FALSE),"")</f>
        <v/>
      </c>
      <c r="W30" s="211" t="str">
        <f>IFERROR(VLOOKUP(TableHandbook[[#This Row],[UDC]],TableMCHRIGHT[],7,FALSE),"")</f>
        <v/>
      </c>
      <c r="X30" s="211" t="str">
        <f>IFERROR(VLOOKUP(TableHandbook[[#This Row],[UDC]],TableGDHRIGHT[],7,FALSE),"")</f>
        <v/>
      </c>
      <c r="Y30" s="211" t="str">
        <f>IFERROR(VLOOKUP(TableHandbook[[#This Row],[UDC]],TableGCHRIGHT[],7,FALSE),"")</f>
        <v/>
      </c>
      <c r="Z30" s="213" t="str">
        <f>IFERROR(VLOOKUP(TableHandbook[[#This Row],[UDC]],TableMCGLOBL2[],7,FALSE),"")</f>
        <v/>
      </c>
      <c r="AA30" s="211" t="str">
        <f>IFERROR(VLOOKUP(TableHandbook[[#This Row],[UDC]],TableMCGLOBL[],7,FALSE),"")</f>
        <v/>
      </c>
      <c r="AB30" s="211" t="str">
        <f>IFERROR(VLOOKUP(TableHandbook[[#This Row],[UDC]],TableSTRPGLOBL[],7,FALSE),"")</f>
        <v/>
      </c>
      <c r="AC30" s="211" t="str">
        <f>IFERROR(VLOOKUP(TableHandbook[[#This Row],[UDC]],TableSTRPHRIGT[],7,FALSE),"")</f>
        <v/>
      </c>
      <c r="AD30" s="211" t="str">
        <f>IFERROR(VLOOKUP(TableHandbook[[#This Row],[UDC]],TableSTRPINTRN[],7,FALSE),"")</f>
        <v/>
      </c>
      <c r="AE30" s="211" t="str">
        <f>IFERROR(VLOOKUP(TableHandbook[[#This Row],[UDC]],TableGCGLOBL[],7,FALSE),"")</f>
        <v/>
      </c>
      <c r="AF30" s="213" t="str">
        <f>IFERROR(VLOOKUP(TableHandbook[[#This Row],[UDC]],TableMCINTREL[],7,FALSE),"")</f>
        <v/>
      </c>
      <c r="AG30" s="211" t="str">
        <f>IFERROR(VLOOKUP(TableHandbook[[#This Row],[UDC]],TableMCINTSEC[],7,FALSE),"")</f>
        <v/>
      </c>
      <c r="AH30" s="211" t="str">
        <f>IFERROR(VLOOKUP(TableHandbook[[#This Row],[UDC]],TableGDINTSEC[],7,FALSE),"")</f>
        <v/>
      </c>
      <c r="AI30" s="211" t="str">
        <f>IFERROR(VLOOKUP(TableHandbook[[#This Row],[UDC]],TableGCINTSEC[],7,FALSE),"")</f>
        <v/>
      </c>
      <c r="AJ30" s="211" t="str">
        <f>IFERROR(VLOOKUP(TableHandbook[[#This Row],[UDC]],TableGCINTELL[],7,FALSE),"")</f>
        <v/>
      </c>
      <c r="AK30" s="211" t="str">
        <f>IFERROR(VLOOKUP(TableHandbook[[#This Row],[UDC]],TableGCIPCSEC[],7,FALSE),"")</f>
        <v/>
      </c>
    </row>
    <row r="31" spans="1:37" x14ac:dyDescent="0.3">
      <c r="A31" s="2" t="s">
        <v>94</v>
      </c>
      <c r="B31" s="3">
        <v>0</v>
      </c>
      <c r="C31" s="3"/>
      <c r="D31" s="209" t="s">
        <v>428</v>
      </c>
      <c r="E31" s="3">
        <v>25</v>
      </c>
      <c r="F31" s="149" t="s">
        <v>416</v>
      </c>
      <c r="G31" s="96" t="str">
        <f>IFERROR(IF(VLOOKUP(TableHandbook[[#This Row],[UDC]],TableAvailabilities[],2,FALSE)&gt;0,"Y",""),"")</f>
        <v/>
      </c>
      <c r="H31" s="96" t="str">
        <f>IFERROR(IF(VLOOKUP(TableHandbook[[#This Row],[UDC]],TableAvailabilities[],3,FALSE)&gt;0,"Y",""),"")</f>
        <v/>
      </c>
      <c r="I31" s="96" t="str">
        <f>IFERROR(IF(VLOOKUP(TableHandbook[[#This Row],[UDC]],TableAvailabilities[],4,FALSE)&gt;0,"Y",""),"")</f>
        <v/>
      </c>
      <c r="J31" s="96" t="str">
        <f>IFERROR(IF(VLOOKUP(TableHandbook[[#This Row],[UDC]],TableAvailabilities[],5,FALSE)&gt;0,"Y",""),"")</f>
        <v/>
      </c>
      <c r="K31" s="209"/>
      <c r="L31" s="213" t="str">
        <f>IFERROR(VLOOKUP(TableHandbook[[#This Row],[UDC]],TableMCARTS[],7,FALSE),"")</f>
        <v/>
      </c>
      <c r="M31" s="211" t="str">
        <f>IFERROR(VLOOKUP(TableHandbook[[#This Row],[UDC]],TableMJRPCWRIT[],7,FALSE),"")</f>
        <v/>
      </c>
      <c r="N31" s="211" t="str">
        <f>IFERROR(VLOOKUP(TableHandbook[[#This Row],[UDC]],TableMJRPDGCMS[],7,FALSE),"")</f>
        <v/>
      </c>
      <c r="O31" s="211" t="str">
        <f>IFERROR(VLOOKUP(TableHandbook[[#This Row],[UDC]],TableMJRPFINAR[],7,FALSE),"")</f>
        <v/>
      </c>
      <c r="P31" s="211" t="str">
        <f>IFERROR(VLOOKUP(TableHandbook[[#This Row],[UDC]],TableMJRPPWRIT[],7,FALSE),"")</f>
        <v/>
      </c>
      <c r="Q31" s="211" t="str">
        <f>IFERROR(VLOOKUP(TableHandbook[[#This Row],[UDC]],TableMJRPSCRAR[],7,FALSE),"")</f>
        <v>AltCore</v>
      </c>
      <c r="R31" s="213" t="str">
        <f>IFERROR(VLOOKUP(TableHandbook[[#This Row],[UDC]],TableMCMMJRG[],7,FALSE),"")</f>
        <v/>
      </c>
      <c r="S31" s="211" t="str">
        <f>IFERROR(VLOOKUP(TableHandbook[[#This Row],[UDC]],TableMCMMJRN[],7,FALSE),"")</f>
        <v/>
      </c>
      <c r="T31" s="211" t="str">
        <f>IFERROR(VLOOKUP(TableHandbook[[#This Row],[UDC]],TableGDMMJRN[],7,FALSE),"")</f>
        <v/>
      </c>
      <c r="U31" s="211" t="str">
        <f>IFERROR(VLOOKUP(TableHandbook[[#This Row],[UDC]],TableGCMMJRN[],7,FALSE),"")</f>
        <v/>
      </c>
      <c r="V31" s="213" t="str">
        <f>IFERROR(VLOOKUP(TableHandbook[[#This Row],[UDC]],TableMCHRIGLO[],7,FALSE),"")</f>
        <v/>
      </c>
      <c r="W31" s="211" t="str">
        <f>IFERROR(VLOOKUP(TableHandbook[[#This Row],[UDC]],TableMCHRIGHT[],7,FALSE),"")</f>
        <v/>
      </c>
      <c r="X31" s="211" t="str">
        <f>IFERROR(VLOOKUP(TableHandbook[[#This Row],[UDC]],TableGDHRIGHT[],7,FALSE),"")</f>
        <v/>
      </c>
      <c r="Y31" s="211" t="str">
        <f>IFERROR(VLOOKUP(TableHandbook[[#This Row],[UDC]],TableGCHRIGHT[],7,FALSE),"")</f>
        <v/>
      </c>
      <c r="Z31" s="213" t="str">
        <f>IFERROR(VLOOKUP(TableHandbook[[#This Row],[UDC]],TableMCGLOBL2[],7,FALSE),"")</f>
        <v/>
      </c>
      <c r="AA31" s="211" t="str">
        <f>IFERROR(VLOOKUP(TableHandbook[[#This Row],[UDC]],TableMCGLOBL[],7,FALSE),"")</f>
        <v/>
      </c>
      <c r="AB31" s="211" t="str">
        <f>IFERROR(VLOOKUP(TableHandbook[[#This Row],[UDC]],TableSTRPGLOBL[],7,FALSE),"")</f>
        <v/>
      </c>
      <c r="AC31" s="211" t="str">
        <f>IFERROR(VLOOKUP(TableHandbook[[#This Row],[UDC]],TableSTRPHRIGT[],7,FALSE),"")</f>
        <v/>
      </c>
      <c r="AD31" s="211" t="str">
        <f>IFERROR(VLOOKUP(TableHandbook[[#This Row],[UDC]],TableSTRPINTRN[],7,FALSE),"")</f>
        <v/>
      </c>
      <c r="AE31" s="211" t="str">
        <f>IFERROR(VLOOKUP(TableHandbook[[#This Row],[UDC]],TableGCGLOBL[],7,FALSE),"")</f>
        <v/>
      </c>
      <c r="AF31" s="213" t="str">
        <f>IFERROR(VLOOKUP(TableHandbook[[#This Row],[UDC]],TableMCINTREL[],7,FALSE),"")</f>
        <v/>
      </c>
      <c r="AG31" s="211" t="str">
        <f>IFERROR(VLOOKUP(TableHandbook[[#This Row],[UDC]],TableMCINTSEC[],7,FALSE),"")</f>
        <v/>
      </c>
      <c r="AH31" s="211" t="str">
        <f>IFERROR(VLOOKUP(TableHandbook[[#This Row],[UDC]],TableGDINTSEC[],7,FALSE),"")</f>
        <v/>
      </c>
      <c r="AI31" s="211" t="str">
        <f>IFERROR(VLOOKUP(TableHandbook[[#This Row],[UDC]],TableGCINTSEC[],7,FALSE),"")</f>
        <v/>
      </c>
      <c r="AJ31" s="211" t="str">
        <f>IFERROR(VLOOKUP(TableHandbook[[#This Row],[UDC]],TableGCINTELL[],7,FALSE),"")</f>
        <v/>
      </c>
      <c r="AK31" s="211" t="str">
        <f>IFERROR(VLOOKUP(TableHandbook[[#This Row],[UDC]],TableGCIPCSEC[],7,FALSE),"")</f>
        <v/>
      </c>
    </row>
    <row r="32" spans="1:37" x14ac:dyDescent="0.3">
      <c r="A32" s="2" t="s">
        <v>122</v>
      </c>
      <c r="B32" s="3">
        <v>0</v>
      </c>
      <c r="C32" s="3"/>
      <c r="D32" s="209" t="s">
        <v>427</v>
      </c>
      <c r="E32" s="3">
        <v>50</v>
      </c>
      <c r="F32" s="149" t="s">
        <v>416</v>
      </c>
      <c r="G32" s="96" t="str">
        <f>IFERROR(IF(VLOOKUP(TableHandbook[[#This Row],[UDC]],TableAvailabilities[],2,FALSE)&gt;0,"Y",""),"")</f>
        <v>Y</v>
      </c>
      <c r="H32" s="96" t="str">
        <f>IFERROR(IF(VLOOKUP(TableHandbook[[#This Row],[UDC]],TableAvailabilities[],3,FALSE)&gt;0,"Y",""),"")</f>
        <v>Y</v>
      </c>
      <c r="I32" s="96" t="str">
        <f>IFERROR(IF(VLOOKUP(TableHandbook[[#This Row],[UDC]],TableAvailabilities[],4,FALSE)&gt;0,"Y",""),"")</f>
        <v>Y</v>
      </c>
      <c r="J32" s="96" t="str">
        <f>IFERROR(IF(VLOOKUP(TableHandbook[[#This Row],[UDC]],TableAvailabilities[],5,FALSE)&gt;0,"Y",""),"")</f>
        <v>Y</v>
      </c>
      <c r="K32" s="209"/>
      <c r="L32" s="213" t="str">
        <f>IFERROR(VLOOKUP(TableHandbook[[#This Row],[UDC]],TableMCARTS[],7,FALSE),"")</f>
        <v/>
      </c>
      <c r="M32" s="211" t="str">
        <f>IFERROR(VLOOKUP(TableHandbook[[#This Row],[UDC]],TableMJRPCWRIT[],7,FALSE),"")</f>
        <v/>
      </c>
      <c r="N32" s="211" t="str">
        <f>IFERROR(VLOOKUP(TableHandbook[[#This Row],[UDC]],TableMJRPDGCMS[],7,FALSE),"")</f>
        <v/>
      </c>
      <c r="O32" s="211" t="str">
        <f>IFERROR(VLOOKUP(TableHandbook[[#This Row],[UDC]],TableMJRPFINAR[],7,FALSE),"")</f>
        <v/>
      </c>
      <c r="P32" s="211" t="str">
        <f>IFERROR(VLOOKUP(TableHandbook[[#This Row],[UDC]],TableMJRPPWRIT[],7,FALSE),"")</f>
        <v/>
      </c>
      <c r="Q32" s="211" t="str">
        <f>IFERROR(VLOOKUP(TableHandbook[[#This Row],[UDC]],TableMJRPSCRAR[],7,FALSE),"")</f>
        <v>AltCore</v>
      </c>
      <c r="R32" s="213" t="str">
        <f>IFERROR(VLOOKUP(TableHandbook[[#This Row],[UDC]],TableMCMMJRG[],7,FALSE),"")</f>
        <v/>
      </c>
      <c r="S32" s="211" t="str">
        <f>IFERROR(VLOOKUP(TableHandbook[[#This Row],[UDC]],TableMCMMJRN[],7,FALSE),"")</f>
        <v/>
      </c>
      <c r="T32" s="211" t="str">
        <f>IFERROR(VLOOKUP(TableHandbook[[#This Row],[UDC]],TableGDMMJRN[],7,FALSE),"")</f>
        <v/>
      </c>
      <c r="U32" s="211" t="str">
        <f>IFERROR(VLOOKUP(TableHandbook[[#This Row],[UDC]],TableGCMMJRN[],7,FALSE),"")</f>
        <v/>
      </c>
      <c r="V32" s="213" t="str">
        <f>IFERROR(VLOOKUP(TableHandbook[[#This Row],[UDC]],TableMCHRIGLO[],7,FALSE),"")</f>
        <v/>
      </c>
      <c r="W32" s="211" t="str">
        <f>IFERROR(VLOOKUP(TableHandbook[[#This Row],[UDC]],TableMCHRIGHT[],7,FALSE),"")</f>
        <v/>
      </c>
      <c r="X32" s="211" t="str">
        <f>IFERROR(VLOOKUP(TableHandbook[[#This Row],[UDC]],TableGDHRIGHT[],7,FALSE),"")</f>
        <v/>
      </c>
      <c r="Y32" s="211" t="str">
        <f>IFERROR(VLOOKUP(TableHandbook[[#This Row],[UDC]],TableGCHRIGHT[],7,FALSE),"")</f>
        <v/>
      </c>
      <c r="Z32" s="213" t="str">
        <f>IFERROR(VLOOKUP(TableHandbook[[#This Row],[UDC]],TableMCGLOBL2[],7,FALSE),"")</f>
        <v/>
      </c>
      <c r="AA32" s="211" t="str">
        <f>IFERROR(VLOOKUP(TableHandbook[[#This Row],[UDC]],TableMCGLOBL[],7,FALSE),"")</f>
        <v/>
      </c>
      <c r="AB32" s="211" t="str">
        <f>IFERROR(VLOOKUP(TableHandbook[[#This Row],[UDC]],TableSTRPGLOBL[],7,FALSE),"")</f>
        <v/>
      </c>
      <c r="AC32" s="211" t="str">
        <f>IFERROR(VLOOKUP(TableHandbook[[#This Row],[UDC]],TableSTRPHRIGT[],7,FALSE),"")</f>
        <v/>
      </c>
      <c r="AD32" s="211" t="str">
        <f>IFERROR(VLOOKUP(TableHandbook[[#This Row],[UDC]],TableSTRPINTRN[],7,FALSE),"")</f>
        <v/>
      </c>
      <c r="AE32" s="211" t="str">
        <f>IFERROR(VLOOKUP(TableHandbook[[#This Row],[UDC]],TableGCGLOBL[],7,FALSE),"")</f>
        <v/>
      </c>
      <c r="AF32" s="213" t="str">
        <f>IFERROR(VLOOKUP(TableHandbook[[#This Row],[UDC]],TableMCINTREL[],7,FALSE),"")</f>
        <v/>
      </c>
      <c r="AG32" s="211" t="str">
        <f>IFERROR(VLOOKUP(TableHandbook[[#This Row],[UDC]],TableMCINTSEC[],7,FALSE),"")</f>
        <v/>
      </c>
      <c r="AH32" s="211" t="str">
        <f>IFERROR(VLOOKUP(TableHandbook[[#This Row],[UDC]],TableGDINTSEC[],7,FALSE),"")</f>
        <v/>
      </c>
      <c r="AI32" s="211" t="str">
        <f>IFERROR(VLOOKUP(TableHandbook[[#This Row],[UDC]],TableGCINTSEC[],7,FALSE),"")</f>
        <v/>
      </c>
      <c r="AJ32" s="211" t="str">
        <f>IFERROR(VLOOKUP(TableHandbook[[#This Row],[UDC]],TableGCINTELL[],7,FALSE),"")</f>
        <v/>
      </c>
      <c r="AK32" s="211" t="str">
        <f>IFERROR(VLOOKUP(TableHandbook[[#This Row],[UDC]],TableGCIPCSEC[],7,FALSE),"")</f>
        <v/>
      </c>
    </row>
    <row r="33" spans="1:37" x14ac:dyDescent="0.3">
      <c r="A33" s="2" t="s">
        <v>429</v>
      </c>
      <c r="B33" s="3">
        <v>1</v>
      </c>
      <c r="C33" s="3"/>
      <c r="D33" s="209" t="s">
        <v>430</v>
      </c>
      <c r="E33" s="3">
        <v>25</v>
      </c>
      <c r="F33" s="149" t="s">
        <v>431</v>
      </c>
      <c r="G33" s="96" t="str">
        <f>IFERROR(IF(VLOOKUP(TableHandbook[[#This Row],[UDC]],TableAvailabilities[],2,FALSE)&gt;0,"Y",""),"")</f>
        <v/>
      </c>
      <c r="H33" s="96" t="str">
        <f>IFERROR(IF(VLOOKUP(TableHandbook[[#This Row],[UDC]],TableAvailabilities[],3,FALSE)&gt;0,"Y",""),"")</f>
        <v/>
      </c>
      <c r="I33" s="96" t="str">
        <f>IFERROR(IF(VLOOKUP(TableHandbook[[#This Row],[UDC]],TableAvailabilities[],4,FALSE)&gt;0,"Y",""),"")</f>
        <v/>
      </c>
      <c r="J33" s="96" t="str">
        <f>IFERROR(IF(VLOOKUP(TableHandbook[[#This Row],[UDC]],TableAvailabilities[],5,FALSE)&gt;0,"Y",""),"")</f>
        <v/>
      </c>
      <c r="K33" s="209"/>
      <c r="L33" s="213" t="str">
        <f>IFERROR(VLOOKUP(TableHandbook[[#This Row],[UDC]],TableMCARTS[],7,FALSE),"")</f>
        <v/>
      </c>
      <c r="M33" s="211" t="str">
        <f>IFERROR(VLOOKUP(TableHandbook[[#This Row],[UDC]],TableMJRPCWRIT[],7,FALSE),"")</f>
        <v/>
      </c>
      <c r="N33" s="211" t="str">
        <f>IFERROR(VLOOKUP(TableHandbook[[#This Row],[UDC]],TableMJRPDGCMS[],7,FALSE),"")</f>
        <v/>
      </c>
      <c r="O33" s="211" t="str">
        <f>IFERROR(VLOOKUP(TableHandbook[[#This Row],[UDC]],TableMJRPFINAR[],7,FALSE),"")</f>
        <v/>
      </c>
      <c r="P33" s="211" t="str">
        <f>IFERROR(VLOOKUP(TableHandbook[[#This Row],[UDC]],TableMJRPPWRIT[],7,FALSE),"")</f>
        <v/>
      </c>
      <c r="Q33" s="211" t="str">
        <f>IFERROR(VLOOKUP(TableHandbook[[#This Row],[UDC]],TableMJRPSCRAR[],7,FALSE),"")</f>
        <v/>
      </c>
      <c r="R33" s="213" t="str">
        <f>IFERROR(VLOOKUP(TableHandbook[[#This Row],[UDC]],TableMCMMJRG[],7,FALSE),"")</f>
        <v/>
      </c>
      <c r="S33" s="211" t="str">
        <f>IFERROR(VLOOKUP(TableHandbook[[#This Row],[UDC]],TableMCMMJRN[],7,FALSE),"")</f>
        <v/>
      </c>
      <c r="T33" s="211" t="str">
        <f>IFERROR(VLOOKUP(TableHandbook[[#This Row],[UDC]],TableGDMMJRN[],7,FALSE),"")</f>
        <v/>
      </c>
      <c r="U33" s="211" t="str">
        <f>IFERROR(VLOOKUP(TableHandbook[[#This Row],[UDC]],TableGCMMJRN[],7,FALSE),"")</f>
        <v/>
      </c>
      <c r="V33" s="213" t="str">
        <f>IFERROR(VLOOKUP(TableHandbook[[#This Row],[UDC]],TableMCHRIGLO[],7,FALSE),"")</f>
        <v/>
      </c>
      <c r="W33" s="211" t="str">
        <f>IFERROR(VLOOKUP(TableHandbook[[#This Row],[UDC]],TableMCHRIGHT[],7,FALSE),"")</f>
        <v/>
      </c>
      <c r="X33" s="211" t="str">
        <f>IFERROR(VLOOKUP(TableHandbook[[#This Row],[UDC]],TableGDHRIGHT[],7,FALSE),"")</f>
        <v/>
      </c>
      <c r="Y33" s="211" t="str">
        <f>IFERROR(VLOOKUP(TableHandbook[[#This Row],[UDC]],TableGCHRIGHT[],7,FALSE),"")</f>
        <v/>
      </c>
      <c r="Z33" s="213" t="str">
        <f>IFERROR(VLOOKUP(TableHandbook[[#This Row],[UDC]],TableMCGLOBL2[],7,FALSE),"")</f>
        <v/>
      </c>
      <c r="AA33" s="211" t="str">
        <f>IFERROR(VLOOKUP(TableHandbook[[#This Row],[UDC]],TableMCGLOBL[],7,FALSE),"")</f>
        <v/>
      </c>
      <c r="AB33" s="211" t="str">
        <f>IFERROR(VLOOKUP(TableHandbook[[#This Row],[UDC]],TableSTRPGLOBL[],7,FALSE),"")</f>
        <v/>
      </c>
      <c r="AC33" s="211" t="str">
        <f>IFERROR(VLOOKUP(TableHandbook[[#This Row],[UDC]],TableSTRPHRIGT[],7,FALSE),"")</f>
        <v/>
      </c>
      <c r="AD33" s="211" t="str">
        <f>IFERROR(VLOOKUP(TableHandbook[[#This Row],[UDC]],TableSTRPINTRN[],7,FALSE),"")</f>
        <v/>
      </c>
      <c r="AE33" s="211" t="str">
        <f>IFERROR(VLOOKUP(TableHandbook[[#This Row],[UDC]],TableGCGLOBL[],7,FALSE),"")</f>
        <v/>
      </c>
      <c r="AF33" s="213" t="str">
        <f>IFERROR(VLOOKUP(TableHandbook[[#This Row],[UDC]],TableMCINTREL[],7,FALSE),"")</f>
        <v/>
      </c>
      <c r="AG33" s="211" t="str">
        <f>IFERROR(VLOOKUP(TableHandbook[[#This Row],[UDC]],TableMCINTSEC[],7,FALSE),"")</f>
        <v/>
      </c>
      <c r="AH33" s="211" t="str">
        <f>IFERROR(VLOOKUP(TableHandbook[[#This Row],[UDC]],TableGDINTSEC[],7,FALSE),"")</f>
        <v/>
      </c>
      <c r="AI33" s="211" t="str">
        <f>IFERROR(VLOOKUP(TableHandbook[[#This Row],[UDC]],TableGCINTSEC[],7,FALSE),"")</f>
        <v/>
      </c>
      <c r="AJ33" s="211" t="str">
        <f>IFERROR(VLOOKUP(TableHandbook[[#This Row],[UDC]],TableGCINTELL[],7,FALSE),"")</f>
        <v/>
      </c>
      <c r="AK33" s="211" t="str">
        <f>IFERROR(VLOOKUP(TableHandbook[[#This Row],[UDC]],TableGCIPCSEC[],7,FALSE),"")</f>
        <v/>
      </c>
    </row>
    <row r="34" spans="1:37" x14ac:dyDescent="0.3">
      <c r="A34" s="231" t="s">
        <v>56</v>
      </c>
      <c r="B34" s="3">
        <v>2</v>
      </c>
      <c r="C34" s="3"/>
      <c r="D34" s="209" t="s">
        <v>432</v>
      </c>
      <c r="E34" s="3">
        <v>25</v>
      </c>
      <c r="F34" s="245" t="s">
        <v>108</v>
      </c>
      <c r="G34" s="96" t="str">
        <f>IFERROR(IF(VLOOKUP(TableHandbook[[#This Row],[UDC]],TableAvailabilities[],2,FALSE)&gt;0,"Y",""),"")</f>
        <v>Y</v>
      </c>
      <c r="H34" s="96" t="str">
        <f>IFERROR(IF(VLOOKUP(TableHandbook[[#This Row],[UDC]],TableAvailabilities[],3,FALSE)&gt;0,"Y",""),"")</f>
        <v/>
      </c>
      <c r="I34" s="96" t="str">
        <f>IFERROR(IF(VLOOKUP(TableHandbook[[#This Row],[UDC]],TableAvailabilities[],4,FALSE)&gt;0,"Y",""),"")</f>
        <v>Y</v>
      </c>
      <c r="J34" s="96" t="str">
        <f>IFERROR(IF(VLOOKUP(TableHandbook[[#This Row],[UDC]],TableAvailabilities[],5,FALSE)&gt;0,"Y",""),"")</f>
        <v/>
      </c>
      <c r="K34" s="209" t="s">
        <v>433</v>
      </c>
      <c r="L34" s="213" t="str">
        <f>IFERROR(VLOOKUP(TableHandbook[[#This Row],[UDC]],TableMCARTS[],7,FALSE),"")</f>
        <v/>
      </c>
      <c r="M34" s="211" t="str">
        <f>IFERROR(VLOOKUP(TableHandbook[[#This Row],[UDC]],TableMJRPCWRIT[],7,FALSE),"")</f>
        <v>Core</v>
      </c>
      <c r="N34" s="211" t="str">
        <f>IFERROR(VLOOKUP(TableHandbook[[#This Row],[UDC]],TableMJRPDGCMS[],7,FALSE),"")</f>
        <v>Core</v>
      </c>
      <c r="O34" s="211" t="str">
        <f>IFERROR(VLOOKUP(TableHandbook[[#This Row],[UDC]],TableMJRPFINAR[],7,FALSE),"")</f>
        <v>Core</v>
      </c>
      <c r="P34" s="211" t="str">
        <f>IFERROR(VLOOKUP(TableHandbook[[#This Row],[UDC]],TableMJRPPWRIT[],7,FALSE),"")</f>
        <v>Core</v>
      </c>
      <c r="Q34" s="211" t="str">
        <f>IFERROR(VLOOKUP(TableHandbook[[#This Row],[UDC]],TableMJRPSCRAR[],7,FALSE),"")</f>
        <v>Core</v>
      </c>
      <c r="R34" s="213" t="str">
        <f>IFERROR(VLOOKUP(TableHandbook[[#This Row],[UDC]],TableMCMMJRG[],7,FALSE),"")</f>
        <v/>
      </c>
      <c r="S34" s="211" t="str">
        <f>IFERROR(VLOOKUP(TableHandbook[[#This Row],[UDC]],TableMCMMJRN[],7,FALSE),"")</f>
        <v/>
      </c>
      <c r="T34" s="211" t="str">
        <f>IFERROR(VLOOKUP(TableHandbook[[#This Row],[UDC]],TableGDMMJRN[],7,FALSE),"")</f>
        <v/>
      </c>
      <c r="U34" s="211" t="str">
        <f>IFERROR(VLOOKUP(TableHandbook[[#This Row],[UDC]],TableGCMMJRN[],7,FALSE),"")</f>
        <v/>
      </c>
      <c r="V34" s="213" t="str">
        <f>IFERROR(VLOOKUP(TableHandbook[[#This Row],[UDC]],TableMCHRIGLO[],7,FALSE),"")</f>
        <v/>
      </c>
      <c r="W34" s="211" t="str">
        <f>IFERROR(VLOOKUP(TableHandbook[[#This Row],[UDC]],TableMCHRIGHT[],7,FALSE),"")</f>
        <v/>
      </c>
      <c r="X34" s="211" t="str">
        <f>IFERROR(VLOOKUP(TableHandbook[[#This Row],[UDC]],TableGDHRIGHT[],7,FALSE),"")</f>
        <v/>
      </c>
      <c r="Y34" s="211" t="str">
        <f>IFERROR(VLOOKUP(TableHandbook[[#This Row],[UDC]],TableGCHRIGHT[],7,FALSE),"")</f>
        <v/>
      </c>
      <c r="Z34" s="213" t="str">
        <f>IFERROR(VLOOKUP(TableHandbook[[#This Row],[UDC]],TableMCGLOBL2[],7,FALSE),"")</f>
        <v/>
      </c>
      <c r="AA34" s="211" t="str">
        <f>IFERROR(VLOOKUP(TableHandbook[[#This Row],[UDC]],TableMCGLOBL[],7,FALSE),"")</f>
        <v/>
      </c>
      <c r="AB34" s="211" t="str">
        <f>IFERROR(VLOOKUP(TableHandbook[[#This Row],[UDC]],TableSTRPGLOBL[],7,FALSE),"")</f>
        <v/>
      </c>
      <c r="AC34" s="211" t="str">
        <f>IFERROR(VLOOKUP(TableHandbook[[#This Row],[UDC]],TableSTRPHRIGT[],7,FALSE),"")</f>
        <v/>
      </c>
      <c r="AD34" s="211" t="str">
        <f>IFERROR(VLOOKUP(TableHandbook[[#This Row],[UDC]],TableSTRPINTRN[],7,FALSE),"")</f>
        <v/>
      </c>
      <c r="AE34" s="211" t="str">
        <f>IFERROR(VLOOKUP(TableHandbook[[#This Row],[UDC]],TableGCGLOBL[],7,FALSE),"")</f>
        <v/>
      </c>
      <c r="AF34" s="213" t="str">
        <f>IFERROR(VLOOKUP(TableHandbook[[#This Row],[UDC]],TableMCINTREL[],7,FALSE),"")</f>
        <v/>
      </c>
      <c r="AG34" s="211" t="str">
        <f>IFERROR(VLOOKUP(TableHandbook[[#This Row],[UDC]],TableMCINTSEC[],7,FALSE),"")</f>
        <v/>
      </c>
      <c r="AH34" s="211" t="str">
        <f>IFERROR(VLOOKUP(TableHandbook[[#This Row],[UDC]],TableGDINTSEC[],7,FALSE),"")</f>
        <v/>
      </c>
      <c r="AI34" s="211" t="str">
        <f>IFERROR(VLOOKUP(TableHandbook[[#This Row],[UDC]],TableGCINTSEC[],7,FALSE),"")</f>
        <v/>
      </c>
      <c r="AJ34" s="211" t="str">
        <f>IFERROR(VLOOKUP(TableHandbook[[#This Row],[UDC]],TableGCINTELL[],7,FALSE),"")</f>
        <v/>
      </c>
      <c r="AK34" s="211" t="str">
        <f>IFERROR(VLOOKUP(TableHandbook[[#This Row],[UDC]],TableGCIPCSEC[],7,FALSE),"")</f>
        <v/>
      </c>
    </row>
    <row r="35" spans="1:37" x14ac:dyDescent="0.3">
      <c r="A35" s="2" t="s">
        <v>434</v>
      </c>
      <c r="B35" s="3">
        <v>1</v>
      </c>
      <c r="C35" s="3"/>
      <c r="D35" s="209" t="s">
        <v>435</v>
      </c>
      <c r="E35" s="3">
        <v>25</v>
      </c>
      <c r="F35" s="149" t="s">
        <v>108</v>
      </c>
      <c r="G35" s="96" t="str">
        <f>IFERROR(IF(VLOOKUP(TableHandbook[[#This Row],[UDC]],TableAvailabilities[],2,FALSE)&gt;0,"Y",""),"")</f>
        <v/>
      </c>
      <c r="H35" s="96" t="str">
        <f>IFERROR(IF(VLOOKUP(TableHandbook[[#This Row],[UDC]],TableAvailabilities[],3,FALSE)&gt;0,"Y",""),"")</f>
        <v/>
      </c>
      <c r="I35" s="96" t="str">
        <f>IFERROR(IF(VLOOKUP(TableHandbook[[#This Row],[UDC]],TableAvailabilities[],4,FALSE)&gt;0,"Y",""),"")</f>
        <v/>
      </c>
      <c r="J35" s="96" t="str">
        <f>IFERROR(IF(VLOOKUP(TableHandbook[[#This Row],[UDC]],TableAvailabilities[],5,FALSE)&gt;0,"Y",""),"")</f>
        <v/>
      </c>
      <c r="K35" s="209" t="s">
        <v>436</v>
      </c>
      <c r="L35" s="213" t="str">
        <f>IFERROR(VLOOKUP(TableHandbook[[#This Row],[UDC]],TableMCARTS[],7,FALSE),"")</f>
        <v/>
      </c>
      <c r="M35" s="211" t="str">
        <f>IFERROR(VLOOKUP(TableHandbook[[#This Row],[UDC]],TableMJRPCWRIT[],7,FALSE),"")</f>
        <v/>
      </c>
      <c r="N35" s="211" t="str">
        <f>IFERROR(VLOOKUP(TableHandbook[[#This Row],[UDC]],TableMJRPDGCMS[],7,FALSE),"")</f>
        <v/>
      </c>
      <c r="O35" s="211" t="str">
        <f>IFERROR(VLOOKUP(TableHandbook[[#This Row],[UDC]],TableMJRPFINAR[],7,FALSE),"")</f>
        <v/>
      </c>
      <c r="P35" s="211" t="str">
        <f>IFERROR(VLOOKUP(TableHandbook[[#This Row],[UDC]],TableMJRPPWRIT[],7,FALSE),"")</f>
        <v/>
      </c>
      <c r="Q35" s="211" t="str">
        <f>IFERROR(VLOOKUP(TableHandbook[[#This Row],[UDC]],TableMJRPSCRAR[],7,FALSE),"")</f>
        <v/>
      </c>
      <c r="R35" s="213" t="str">
        <f>IFERROR(VLOOKUP(TableHandbook[[#This Row],[UDC]],TableMCMMJRG[],7,FALSE),"")</f>
        <v/>
      </c>
      <c r="S35" s="211" t="str">
        <f>IFERROR(VLOOKUP(TableHandbook[[#This Row],[UDC]],TableMCMMJRN[],7,FALSE),"")</f>
        <v/>
      </c>
      <c r="T35" s="211" t="str">
        <f>IFERROR(VLOOKUP(TableHandbook[[#This Row],[UDC]],TableGDMMJRN[],7,FALSE),"")</f>
        <v/>
      </c>
      <c r="U35" s="211" t="str">
        <f>IFERROR(VLOOKUP(TableHandbook[[#This Row],[UDC]],TableGCMMJRN[],7,FALSE),"")</f>
        <v/>
      </c>
      <c r="V35" s="213" t="str">
        <f>IFERROR(VLOOKUP(TableHandbook[[#This Row],[UDC]],TableMCHRIGLO[],7,FALSE),"")</f>
        <v/>
      </c>
      <c r="W35" s="211" t="str">
        <f>IFERROR(VLOOKUP(TableHandbook[[#This Row],[UDC]],TableMCHRIGHT[],7,FALSE),"")</f>
        <v/>
      </c>
      <c r="X35" s="211" t="str">
        <f>IFERROR(VLOOKUP(TableHandbook[[#This Row],[UDC]],TableGDHRIGHT[],7,FALSE),"")</f>
        <v/>
      </c>
      <c r="Y35" s="211" t="str">
        <f>IFERROR(VLOOKUP(TableHandbook[[#This Row],[UDC]],TableGCHRIGHT[],7,FALSE),"")</f>
        <v/>
      </c>
      <c r="Z35" s="213" t="str">
        <f>IFERROR(VLOOKUP(TableHandbook[[#This Row],[UDC]],TableMCGLOBL2[],7,FALSE),"")</f>
        <v/>
      </c>
      <c r="AA35" s="211" t="str">
        <f>IFERROR(VLOOKUP(TableHandbook[[#This Row],[UDC]],TableMCGLOBL[],7,FALSE),"")</f>
        <v/>
      </c>
      <c r="AB35" s="211" t="str">
        <f>IFERROR(VLOOKUP(TableHandbook[[#This Row],[UDC]],TableSTRPGLOBL[],7,FALSE),"")</f>
        <v/>
      </c>
      <c r="AC35" s="211" t="str">
        <f>IFERROR(VLOOKUP(TableHandbook[[#This Row],[UDC]],TableSTRPHRIGT[],7,FALSE),"")</f>
        <v/>
      </c>
      <c r="AD35" s="211" t="str">
        <f>IFERROR(VLOOKUP(TableHandbook[[#This Row],[UDC]],TableSTRPINTRN[],7,FALSE),"")</f>
        <v/>
      </c>
      <c r="AE35" s="211" t="str">
        <f>IFERROR(VLOOKUP(TableHandbook[[#This Row],[UDC]],TableGCGLOBL[],7,FALSE),"")</f>
        <v/>
      </c>
      <c r="AF35" s="213" t="str">
        <f>IFERROR(VLOOKUP(TableHandbook[[#This Row],[UDC]],TableMCINTREL[],7,FALSE),"")</f>
        <v/>
      </c>
      <c r="AG35" s="211" t="str">
        <f>IFERROR(VLOOKUP(TableHandbook[[#This Row],[UDC]],TableMCINTSEC[],7,FALSE),"")</f>
        <v/>
      </c>
      <c r="AH35" s="211" t="str">
        <f>IFERROR(VLOOKUP(TableHandbook[[#This Row],[UDC]],TableGDINTSEC[],7,FALSE),"")</f>
        <v/>
      </c>
      <c r="AI35" s="211" t="str">
        <f>IFERROR(VLOOKUP(TableHandbook[[#This Row],[UDC]],TableGCINTSEC[],7,FALSE),"")</f>
        <v/>
      </c>
      <c r="AJ35" s="211" t="str">
        <f>IFERROR(VLOOKUP(TableHandbook[[#This Row],[UDC]],TableGCINTELL[],7,FALSE),"")</f>
        <v/>
      </c>
      <c r="AK35" s="211" t="str">
        <f>IFERROR(VLOOKUP(TableHandbook[[#This Row],[UDC]],TableGCIPCSEC[],7,FALSE),"")</f>
        <v/>
      </c>
    </row>
    <row r="36" spans="1:37" x14ac:dyDescent="0.3">
      <c r="A36" s="2" t="s">
        <v>177</v>
      </c>
      <c r="B36" s="3">
        <v>3</v>
      </c>
      <c r="C36" s="3"/>
      <c r="D36" s="209" t="s">
        <v>437</v>
      </c>
      <c r="E36" s="3">
        <v>50</v>
      </c>
      <c r="F36" s="245" t="s">
        <v>438</v>
      </c>
      <c r="G36" s="96" t="str">
        <f>IFERROR(IF(VLOOKUP(TableHandbook[[#This Row],[UDC]],TableAvailabilities[],2,FALSE)&gt;0,"Y",""),"")</f>
        <v>Y</v>
      </c>
      <c r="H36" s="96" t="str">
        <f>IFERROR(IF(VLOOKUP(TableHandbook[[#This Row],[UDC]],TableAvailabilities[],3,FALSE)&gt;0,"Y",""),"")</f>
        <v>Y</v>
      </c>
      <c r="I36" s="96" t="str">
        <f>IFERROR(IF(VLOOKUP(TableHandbook[[#This Row],[UDC]],TableAvailabilities[],4,FALSE)&gt;0,"Y",""),"")</f>
        <v>Y</v>
      </c>
      <c r="J36" s="96" t="str">
        <f>IFERROR(IF(VLOOKUP(TableHandbook[[#This Row],[UDC]],TableAvailabilities[],5,FALSE)&gt;0,"Y",""),"")</f>
        <v>Y</v>
      </c>
      <c r="K36" s="209"/>
      <c r="L36" s="213" t="str">
        <f>IFERROR(VLOOKUP(TableHandbook[[#This Row],[UDC]],TableMCARTS[],7,FALSE),"")</f>
        <v/>
      </c>
      <c r="M36" s="211" t="str">
        <f>IFERROR(VLOOKUP(TableHandbook[[#This Row],[UDC]],TableMJRPCWRIT[],7,FALSE),"")</f>
        <v>Option</v>
      </c>
      <c r="N36" s="211" t="str">
        <f>IFERROR(VLOOKUP(TableHandbook[[#This Row],[UDC]],TableMJRPDGCMS[],7,FALSE),"")</f>
        <v>Option</v>
      </c>
      <c r="O36" s="211" t="str">
        <f>IFERROR(VLOOKUP(TableHandbook[[#This Row],[UDC]],TableMJRPFINAR[],7,FALSE),"")</f>
        <v>Option</v>
      </c>
      <c r="P36" s="211" t="str">
        <f>IFERROR(VLOOKUP(TableHandbook[[#This Row],[UDC]],TableMJRPPWRIT[],7,FALSE),"")</f>
        <v>Option</v>
      </c>
      <c r="Q36" s="211" t="str">
        <f>IFERROR(VLOOKUP(TableHandbook[[#This Row],[UDC]],TableMJRPSCRAR[],7,FALSE),"")</f>
        <v>Option</v>
      </c>
      <c r="R36" s="213" t="str">
        <f>IFERROR(VLOOKUP(TableHandbook[[#This Row],[UDC]],TableMCMMJRG[],7,FALSE),"")</f>
        <v/>
      </c>
      <c r="S36" s="211" t="str">
        <f>IFERROR(VLOOKUP(TableHandbook[[#This Row],[UDC]],TableMCMMJRN[],7,FALSE),"")</f>
        <v/>
      </c>
      <c r="T36" s="211" t="str">
        <f>IFERROR(VLOOKUP(TableHandbook[[#This Row],[UDC]],TableGDMMJRN[],7,FALSE),"")</f>
        <v/>
      </c>
      <c r="U36" s="211" t="str">
        <f>IFERROR(VLOOKUP(TableHandbook[[#This Row],[UDC]],TableGCMMJRN[],7,FALSE),"")</f>
        <v/>
      </c>
      <c r="V36" s="213" t="str">
        <f>IFERROR(VLOOKUP(TableHandbook[[#This Row],[UDC]],TableMCHRIGLO[],7,FALSE),"")</f>
        <v>AltCore</v>
      </c>
      <c r="W36" s="211" t="str">
        <f>IFERROR(VLOOKUP(TableHandbook[[#This Row],[UDC]],TableMCHRIGHT[],7,FALSE),"")</f>
        <v>AltCore</v>
      </c>
      <c r="X36" s="211" t="str">
        <f>IFERROR(VLOOKUP(TableHandbook[[#This Row],[UDC]],TableGDHRIGHT[],7,FALSE),"")</f>
        <v/>
      </c>
      <c r="Y36" s="211" t="str">
        <f>IFERROR(VLOOKUP(TableHandbook[[#This Row],[UDC]],TableGCHRIGHT[],7,FALSE),"")</f>
        <v/>
      </c>
      <c r="Z36" s="213" t="str">
        <f>IFERROR(VLOOKUP(TableHandbook[[#This Row],[UDC]],TableMCGLOBL2[],7,FALSE),"")</f>
        <v>AltCore</v>
      </c>
      <c r="AA36" s="211" t="str">
        <f>IFERROR(VLOOKUP(TableHandbook[[#This Row],[UDC]],TableMCGLOBL[],7,FALSE),"")</f>
        <v>AltCore</v>
      </c>
      <c r="AB36" s="211" t="str">
        <f>IFERROR(VLOOKUP(TableHandbook[[#This Row],[UDC]],TableSTRPGLOBL[],7,FALSE),"")</f>
        <v/>
      </c>
      <c r="AC36" s="211" t="str">
        <f>IFERROR(VLOOKUP(TableHandbook[[#This Row],[UDC]],TableSTRPHRIGT[],7,FALSE),"")</f>
        <v/>
      </c>
      <c r="AD36" s="211" t="str">
        <f>IFERROR(VLOOKUP(TableHandbook[[#This Row],[UDC]],TableSTRPINTRN[],7,FALSE),"")</f>
        <v/>
      </c>
      <c r="AE36" s="211" t="str">
        <f>IFERROR(VLOOKUP(TableHandbook[[#This Row],[UDC]],TableGCGLOBL[],7,FALSE),"")</f>
        <v/>
      </c>
      <c r="AF36" s="213" t="str">
        <f>IFERROR(VLOOKUP(TableHandbook[[#This Row],[UDC]],TableMCINTREL[],7,FALSE),"")</f>
        <v>AltCore</v>
      </c>
      <c r="AG36" s="211" t="str">
        <f>IFERROR(VLOOKUP(TableHandbook[[#This Row],[UDC]],TableMCINTSEC[],7,FALSE),"")</f>
        <v>AltCore</v>
      </c>
      <c r="AH36" s="211" t="str">
        <f>IFERROR(VLOOKUP(TableHandbook[[#This Row],[UDC]],TableGDINTSEC[],7,FALSE),"")</f>
        <v>Core</v>
      </c>
      <c r="AI36" s="211" t="str">
        <f>IFERROR(VLOOKUP(TableHandbook[[#This Row],[UDC]],TableGCINTSEC[],7,FALSE),"")</f>
        <v/>
      </c>
      <c r="AJ36" s="211" t="str">
        <f>IFERROR(VLOOKUP(TableHandbook[[#This Row],[UDC]],TableGCINTELL[],7,FALSE),"")</f>
        <v/>
      </c>
      <c r="AK36" s="211" t="str">
        <f>IFERROR(VLOOKUP(TableHandbook[[#This Row],[UDC]],TableGCIPCSEC[],7,FALSE),"")</f>
        <v/>
      </c>
    </row>
    <row r="37" spans="1:37" x14ac:dyDescent="0.3">
      <c r="A37" s="2" t="s">
        <v>155</v>
      </c>
      <c r="B37" s="3">
        <v>2</v>
      </c>
      <c r="C37" s="3"/>
      <c r="D37" s="209" t="s">
        <v>439</v>
      </c>
      <c r="E37" s="3">
        <v>50</v>
      </c>
      <c r="F37" s="245" t="s">
        <v>438</v>
      </c>
      <c r="G37" s="96" t="str">
        <f>IFERROR(IF(VLOOKUP(TableHandbook[[#This Row],[UDC]],TableAvailabilities[],2,FALSE)&gt;0,"Y",""),"")</f>
        <v>Y</v>
      </c>
      <c r="H37" s="96" t="str">
        <f>IFERROR(IF(VLOOKUP(TableHandbook[[#This Row],[UDC]],TableAvailabilities[],3,FALSE)&gt;0,"Y",""),"")</f>
        <v>Y</v>
      </c>
      <c r="I37" s="96" t="str">
        <f>IFERROR(IF(VLOOKUP(TableHandbook[[#This Row],[UDC]],TableAvailabilities[],4,FALSE)&gt;0,"Y",""),"")</f>
        <v>Y</v>
      </c>
      <c r="J37" s="96" t="str">
        <f>IFERROR(IF(VLOOKUP(TableHandbook[[#This Row],[UDC]],TableAvailabilities[],5,FALSE)&gt;0,"Y",""),"")</f>
        <v>Y</v>
      </c>
      <c r="K37" s="209"/>
      <c r="L37" s="213" t="str">
        <f>IFERROR(VLOOKUP(TableHandbook[[#This Row],[UDC]],TableMCARTS[],7,FALSE),"")</f>
        <v/>
      </c>
      <c r="M37" s="211" t="str">
        <f>IFERROR(VLOOKUP(TableHandbook[[#This Row],[UDC]],TableMJRPCWRIT[],7,FALSE),"")</f>
        <v>AltCore</v>
      </c>
      <c r="N37" s="211" t="str">
        <f>IFERROR(VLOOKUP(TableHandbook[[#This Row],[UDC]],TableMJRPDGCMS[],7,FALSE),"")</f>
        <v>AltCore</v>
      </c>
      <c r="O37" s="211" t="str">
        <f>IFERROR(VLOOKUP(TableHandbook[[#This Row],[UDC]],TableMJRPFINAR[],7,FALSE),"")</f>
        <v>AltCore</v>
      </c>
      <c r="P37" s="211" t="str">
        <f>IFERROR(VLOOKUP(TableHandbook[[#This Row],[UDC]],TableMJRPPWRIT[],7,FALSE),"")</f>
        <v>AltCore</v>
      </c>
      <c r="Q37" s="211" t="str">
        <f>IFERROR(VLOOKUP(TableHandbook[[#This Row],[UDC]],TableMJRPSCRAR[],7,FALSE),"")</f>
        <v>AltCore</v>
      </c>
      <c r="R37" s="213" t="str">
        <f>IFERROR(VLOOKUP(TableHandbook[[#This Row],[UDC]],TableMCMMJRG[],7,FALSE),"")</f>
        <v>Core</v>
      </c>
      <c r="S37" s="211" t="str">
        <f>IFERROR(VLOOKUP(TableHandbook[[#This Row],[UDC]],TableMCMMJRN[],7,FALSE),"")</f>
        <v>Core</v>
      </c>
      <c r="T37" s="211" t="str">
        <f>IFERROR(VLOOKUP(TableHandbook[[#This Row],[UDC]],TableGDMMJRN[],7,FALSE),"")</f>
        <v/>
      </c>
      <c r="U37" s="211" t="str">
        <f>IFERROR(VLOOKUP(TableHandbook[[#This Row],[UDC]],TableGCMMJRN[],7,FALSE),"")</f>
        <v/>
      </c>
      <c r="V37" s="213" t="str">
        <f>IFERROR(VLOOKUP(TableHandbook[[#This Row],[UDC]],TableMCHRIGLO[],7,FALSE),"")</f>
        <v>Core</v>
      </c>
      <c r="W37" s="211" t="str">
        <f>IFERROR(VLOOKUP(TableHandbook[[#This Row],[UDC]],TableMCHRIGHT[],7,FALSE),"")</f>
        <v>AltCore</v>
      </c>
      <c r="X37" s="211" t="str">
        <f>IFERROR(VLOOKUP(TableHandbook[[#This Row],[UDC]],TableGDHRIGHT[],7,FALSE),"")</f>
        <v/>
      </c>
      <c r="Y37" s="211" t="str">
        <f>IFERROR(VLOOKUP(TableHandbook[[#This Row],[UDC]],TableGCHRIGHT[],7,FALSE),"")</f>
        <v/>
      </c>
      <c r="Z37" s="213" t="str">
        <f>IFERROR(VLOOKUP(TableHandbook[[#This Row],[UDC]],TableMCGLOBL2[],7,FALSE),"")</f>
        <v>AltCore</v>
      </c>
      <c r="AA37" s="211" t="str">
        <f>IFERROR(VLOOKUP(TableHandbook[[#This Row],[UDC]],TableMCGLOBL[],7,FALSE),"")</f>
        <v>AltCore</v>
      </c>
      <c r="AB37" s="211" t="str">
        <f>IFERROR(VLOOKUP(TableHandbook[[#This Row],[UDC]],TableSTRPGLOBL[],7,FALSE),"")</f>
        <v/>
      </c>
      <c r="AC37" s="211" t="str">
        <f>IFERROR(VLOOKUP(TableHandbook[[#This Row],[UDC]],TableSTRPHRIGT[],7,FALSE),"")</f>
        <v/>
      </c>
      <c r="AD37" s="211" t="str">
        <f>IFERROR(VLOOKUP(TableHandbook[[#This Row],[UDC]],TableSTRPINTRN[],7,FALSE),"")</f>
        <v/>
      </c>
      <c r="AE37" s="211" t="str">
        <f>IFERROR(VLOOKUP(TableHandbook[[#This Row],[UDC]],TableGCGLOBL[],7,FALSE),"")</f>
        <v/>
      </c>
      <c r="AF37" s="213" t="str">
        <f>IFERROR(VLOOKUP(TableHandbook[[#This Row],[UDC]],TableMCINTREL[],7,FALSE),"")</f>
        <v>AltCore</v>
      </c>
      <c r="AG37" s="211" t="str">
        <f>IFERROR(VLOOKUP(TableHandbook[[#This Row],[UDC]],TableMCINTSEC[],7,FALSE),"")</f>
        <v>AltCore</v>
      </c>
      <c r="AH37" s="211" t="str">
        <f>IFERROR(VLOOKUP(TableHandbook[[#This Row],[UDC]],TableGDINTSEC[],7,FALSE),"")</f>
        <v>Core</v>
      </c>
      <c r="AI37" s="211" t="str">
        <f>IFERROR(VLOOKUP(TableHandbook[[#This Row],[UDC]],TableGCINTSEC[],7,FALSE),"")</f>
        <v/>
      </c>
      <c r="AJ37" s="211" t="str">
        <f>IFERROR(VLOOKUP(TableHandbook[[#This Row],[UDC]],TableGCINTELL[],7,FALSE),"")</f>
        <v/>
      </c>
      <c r="AK37" s="211" t="str">
        <f>IFERROR(VLOOKUP(TableHandbook[[#This Row],[UDC]],TableGCIPCSEC[],7,FALSE),"")</f>
        <v/>
      </c>
    </row>
    <row r="38" spans="1:37" x14ac:dyDescent="0.3">
      <c r="A38" s="2" t="s">
        <v>84</v>
      </c>
      <c r="B38" s="3">
        <v>1</v>
      </c>
      <c r="C38" s="3"/>
      <c r="D38" s="209" t="s">
        <v>440</v>
      </c>
      <c r="E38" s="3">
        <v>25</v>
      </c>
      <c r="F38" s="245" t="s">
        <v>56</v>
      </c>
      <c r="G38" s="96" t="str">
        <f>IFERROR(IF(VLOOKUP(TableHandbook[[#This Row],[UDC]],TableAvailabilities[],2,FALSE)&gt;0,"Y",""),"")</f>
        <v>Y</v>
      </c>
      <c r="H38" s="96" t="str">
        <f>IFERROR(IF(VLOOKUP(TableHandbook[[#This Row],[UDC]],TableAvailabilities[],3,FALSE)&gt;0,"Y",""),"")</f>
        <v/>
      </c>
      <c r="I38" s="96" t="str">
        <f>IFERROR(IF(VLOOKUP(TableHandbook[[#This Row],[UDC]],TableAvailabilities[],4,FALSE)&gt;0,"Y",""),"")</f>
        <v>Y</v>
      </c>
      <c r="J38" s="96" t="str">
        <f>IFERROR(IF(VLOOKUP(TableHandbook[[#This Row],[UDC]],TableAvailabilities[],5,FALSE)&gt;0,"Y",""),"")</f>
        <v/>
      </c>
      <c r="K38" s="209"/>
      <c r="L38" s="213" t="str">
        <f>IFERROR(VLOOKUP(TableHandbook[[#This Row],[UDC]],TableMCARTS[],7,FALSE),"")</f>
        <v/>
      </c>
      <c r="M38" s="211" t="str">
        <f>IFERROR(VLOOKUP(TableHandbook[[#This Row],[UDC]],TableMJRPCWRIT[],7,FALSE),"")</f>
        <v>Core</v>
      </c>
      <c r="N38" s="211" t="str">
        <f>IFERROR(VLOOKUP(TableHandbook[[#This Row],[UDC]],TableMJRPDGCMS[],7,FALSE),"")</f>
        <v>Core</v>
      </c>
      <c r="O38" s="211" t="str">
        <f>IFERROR(VLOOKUP(TableHandbook[[#This Row],[UDC]],TableMJRPFINAR[],7,FALSE),"")</f>
        <v>Core</v>
      </c>
      <c r="P38" s="211" t="str">
        <f>IFERROR(VLOOKUP(TableHandbook[[#This Row],[UDC]],TableMJRPPWRIT[],7,FALSE),"")</f>
        <v>Core</v>
      </c>
      <c r="Q38" s="211" t="str">
        <f>IFERROR(VLOOKUP(TableHandbook[[#This Row],[UDC]],TableMJRPSCRAR[],7,FALSE),"")</f>
        <v>Core</v>
      </c>
      <c r="R38" s="213" t="str">
        <f>IFERROR(VLOOKUP(TableHandbook[[#This Row],[UDC]],TableMCMMJRG[],7,FALSE),"")</f>
        <v/>
      </c>
      <c r="S38" s="211" t="str">
        <f>IFERROR(VLOOKUP(TableHandbook[[#This Row],[UDC]],TableMCMMJRN[],7,FALSE),"")</f>
        <v/>
      </c>
      <c r="T38" s="211" t="str">
        <f>IFERROR(VLOOKUP(TableHandbook[[#This Row],[UDC]],TableGDMMJRN[],7,FALSE),"")</f>
        <v/>
      </c>
      <c r="U38" s="211" t="str">
        <f>IFERROR(VLOOKUP(TableHandbook[[#This Row],[UDC]],TableGCMMJRN[],7,FALSE),"")</f>
        <v/>
      </c>
      <c r="V38" s="213" t="str">
        <f>IFERROR(VLOOKUP(TableHandbook[[#This Row],[UDC]],TableMCHRIGLO[],7,FALSE),"")</f>
        <v/>
      </c>
      <c r="W38" s="211" t="str">
        <f>IFERROR(VLOOKUP(TableHandbook[[#This Row],[UDC]],TableMCHRIGHT[],7,FALSE),"")</f>
        <v/>
      </c>
      <c r="X38" s="211" t="str">
        <f>IFERROR(VLOOKUP(TableHandbook[[#This Row],[UDC]],TableGDHRIGHT[],7,FALSE),"")</f>
        <v/>
      </c>
      <c r="Y38" s="211" t="str">
        <f>IFERROR(VLOOKUP(TableHandbook[[#This Row],[UDC]],TableGCHRIGHT[],7,FALSE),"")</f>
        <v/>
      </c>
      <c r="Z38" s="213" t="str">
        <f>IFERROR(VLOOKUP(TableHandbook[[#This Row],[UDC]],TableMCGLOBL2[],7,FALSE),"")</f>
        <v/>
      </c>
      <c r="AA38" s="211" t="str">
        <f>IFERROR(VLOOKUP(TableHandbook[[#This Row],[UDC]],TableMCGLOBL[],7,FALSE),"")</f>
        <v/>
      </c>
      <c r="AB38" s="211" t="str">
        <f>IFERROR(VLOOKUP(TableHandbook[[#This Row],[UDC]],TableSTRPGLOBL[],7,FALSE),"")</f>
        <v/>
      </c>
      <c r="AC38" s="211" t="str">
        <f>IFERROR(VLOOKUP(TableHandbook[[#This Row],[UDC]],TableSTRPHRIGT[],7,FALSE),"")</f>
        <v/>
      </c>
      <c r="AD38" s="211" t="str">
        <f>IFERROR(VLOOKUP(TableHandbook[[#This Row],[UDC]],TableSTRPINTRN[],7,FALSE),"")</f>
        <v/>
      </c>
      <c r="AE38" s="211" t="str">
        <f>IFERROR(VLOOKUP(TableHandbook[[#This Row],[UDC]],TableGCGLOBL[],7,FALSE),"")</f>
        <v/>
      </c>
      <c r="AF38" s="213" t="str">
        <f>IFERROR(VLOOKUP(TableHandbook[[#This Row],[UDC]],TableMCINTREL[],7,FALSE),"")</f>
        <v/>
      </c>
      <c r="AG38" s="211" t="str">
        <f>IFERROR(VLOOKUP(TableHandbook[[#This Row],[UDC]],TableMCINTSEC[],7,FALSE),"")</f>
        <v/>
      </c>
      <c r="AH38" s="211" t="str">
        <f>IFERROR(VLOOKUP(TableHandbook[[#This Row],[UDC]],TableGDINTSEC[],7,FALSE),"")</f>
        <v/>
      </c>
      <c r="AI38" s="211" t="str">
        <f>IFERROR(VLOOKUP(TableHandbook[[#This Row],[UDC]],TableGCINTSEC[],7,FALSE),"")</f>
        <v/>
      </c>
      <c r="AJ38" s="211" t="str">
        <f>IFERROR(VLOOKUP(TableHandbook[[#This Row],[UDC]],TableGCINTELL[],7,FALSE),"")</f>
        <v/>
      </c>
      <c r="AK38" s="211" t="str">
        <f>IFERROR(VLOOKUP(TableHandbook[[#This Row],[UDC]],TableGCIPCSEC[],7,FALSE),"")</f>
        <v/>
      </c>
    </row>
    <row r="39" spans="1:37" x14ac:dyDescent="0.3">
      <c r="A39" s="231" t="s">
        <v>189</v>
      </c>
      <c r="B39" s="3">
        <v>2</v>
      </c>
      <c r="C39" s="3"/>
      <c r="D39" s="209" t="s">
        <v>441</v>
      </c>
      <c r="E39" s="3">
        <v>25</v>
      </c>
      <c r="F39" s="245" t="s">
        <v>108</v>
      </c>
      <c r="G39" s="96" t="str">
        <f>IFERROR(IF(VLOOKUP(TableHandbook[[#This Row],[UDC]],TableAvailabilities[],2,FALSE)&gt;0,"Y",""),"")</f>
        <v>Y</v>
      </c>
      <c r="H39" s="96" t="str">
        <f>IFERROR(IF(VLOOKUP(TableHandbook[[#This Row],[UDC]],TableAvailabilities[],3,FALSE)&gt;0,"Y",""),"")</f>
        <v/>
      </c>
      <c r="I39" s="96" t="str">
        <f>IFERROR(IF(VLOOKUP(TableHandbook[[#This Row],[UDC]],TableAvailabilities[],4,FALSE)&gt;0,"Y",""),"")</f>
        <v/>
      </c>
      <c r="J39" s="96" t="str">
        <f>IFERROR(IF(VLOOKUP(TableHandbook[[#This Row],[UDC]],TableAvailabilities[],5,FALSE)&gt;0,"Y",""),"")</f>
        <v/>
      </c>
      <c r="K39" s="209" t="s">
        <v>433</v>
      </c>
      <c r="L39" s="213" t="str">
        <f>IFERROR(VLOOKUP(TableHandbook[[#This Row],[UDC]],TableMCARTS[],7,FALSE),"")</f>
        <v/>
      </c>
      <c r="M39" s="211" t="str">
        <f>IFERROR(VLOOKUP(TableHandbook[[#This Row],[UDC]],TableMJRPCWRIT[],7,FALSE),"")</f>
        <v>Option</v>
      </c>
      <c r="N39" s="211" t="str">
        <f>IFERROR(VLOOKUP(TableHandbook[[#This Row],[UDC]],TableMJRPDGCMS[],7,FALSE),"")</f>
        <v/>
      </c>
      <c r="O39" s="211" t="str">
        <f>IFERROR(VLOOKUP(TableHandbook[[#This Row],[UDC]],TableMJRPFINAR[],7,FALSE),"")</f>
        <v/>
      </c>
      <c r="P39" s="211" t="str">
        <f>IFERROR(VLOOKUP(TableHandbook[[#This Row],[UDC]],TableMJRPPWRIT[],7,FALSE),"")</f>
        <v/>
      </c>
      <c r="Q39" s="211" t="str">
        <f>IFERROR(VLOOKUP(TableHandbook[[#This Row],[UDC]],TableMJRPSCRAR[],7,FALSE),"")</f>
        <v/>
      </c>
      <c r="R39" s="213" t="str">
        <f>IFERROR(VLOOKUP(TableHandbook[[#This Row],[UDC]],TableMCMMJRG[],7,FALSE),"")</f>
        <v/>
      </c>
      <c r="S39" s="211" t="str">
        <f>IFERROR(VLOOKUP(TableHandbook[[#This Row],[UDC]],TableMCMMJRN[],7,FALSE),"")</f>
        <v/>
      </c>
      <c r="T39" s="211" t="str">
        <f>IFERROR(VLOOKUP(TableHandbook[[#This Row],[UDC]],TableGDMMJRN[],7,FALSE),"")</f>
        <v/>
      </c>
      <c r="U39" s="211" t="str">
        <f>IFERROR(VLOOKUP(TableHandbook[[#This Row],[UDC]],TableGCMMJRN[],7,FALSE),"")</f>
        <v/>
      </c>
      <c r="V39" s="213" t="str">
        <f>IFERROR(VLOOKUP(TableHandbook[[#This Row],[UDC]],TableMCHRIGLO[],7,FALSE),"")</f>
        <v/>
      </c>
      <c r="W39" s="211" t="str">
        <f>IFERROR(VLOOKUP(TableHandbook[[#This Row],[UDC]],TableMCHRIGHT[],7,FALSE),"")</f>
        <v/>
      </c>
      <c r="X39" s="211" t="str">
        <f>IFERROR(VLOOKUP(TableHandbook[[#This Row],[UDC]],TableGDHRIGHT[],7,FALSE),"")</f>
        <v/>
      </c>
      <c r="Y39" s="211" t="str">
        <f>IFERROR(VLOOKUP(TableHandbook[[#This Row],[UDC]],TableGCHRIGHT[],7,FALSE),"")</f>
        <v/>
      </c>
      <c r="Z39" s="213" t="str">
        <f>IFERROR(VLOOKUP(TableHandbook[[#This Row],[UDC]],TableMCGLOBL2[],7,FALSE),"")</f>
        <v/>
      </c>
      <c r="AA39" s="211" t="str">
        <f>IFERROR(VLOOKUP(TableHandbook[[#This Row],[UDC]],TableMCGLOBL[],7,FALSE),"")</f>
        <v/>
      </c>
      <c r="AB39" s="211" t="str">
        <f>IFERROR(VLOOKUP(TableHandbook[[#This Row],[UDC]],TableSTRPGLOBL[],7,FALSE),"")</f>
        <v/>
      </c>
      <c r="AC39" s="211" t="str">
        <f>IFERROR(VLOOKUP(TableHandbook[[#This Row],[UDC]],TableSTRPHRIGT[],7,FALSE),"")</f>
        <v/>
      </c>
      <c r="AD39" s="211" t="str">
        <f>IFERROR(VLOOKUP(TableHandbook[[#This Row],[UDC]],TableSTRPINTRN[],7,FALSE),"")</f>
        <v/>
      </c>
      <c r="AE39" s="211" t="str">
        <f>IFERROR(VLOOKUP(TableHandbook[[#This Row],[UDC]],TableGCGLOBL[],7,FALSE),"")</f>
        <v/>
      </c>
      <c r="AF39" s="213" t="str">
        <f>IFERROR(VLOOKUP(TableHandbook[[#This Row],[UDC]],TableMCINTREL[],7,FALSE),"")</f>
        <v/>
      </c>
      <c r="AG39" s="211" t="str">
        <f>IFERROR(VLOOKUP(TableHandbook[[#This Row],[UDC]],TableMCINTSEC[],7,FALSE),"")</f>
        <v/>
      </c>
      <c r="AH39" s="211" t="str">
        <f>IFERROR(VLOOKUP(TableHandbook[[#This Row],[UDC]],TableGDINTSEC[],7,FALSE),"")</f>
        <v/>
      </c>
      <c r="AI39" s="211" t="str">
        <f>IFERROR(VLOOKUP(TableHandbook[[#This Row],[UDC]],TableGCINTSEC[],7,FALSE),"")</f>
        <v/>
      </c>
      <c r="AJ39" s="211" t="str">
        <f>IFERROR(VLOOKUP(TableHandbook[[#This Row],[UDC]],TableGCINTELL[],7,FALSE),"")</f>
        <v/>
      </c>
      <c r="AK39" s="211" t="str">
        <f>IFERROR(VLOOKUP(TableHandbook[[#This Row],[UDC]],TableGCIPCSEC[],7,FALSE),"")</f>
        <v/>
      </c>
    </row>
    <row r="40" spans="1:37" x14ac:dyDescent="0.3">
      <c r="A40" s="2" t="s">
        <v>442</v>
      </c>
      <c r="B40" s="3">
        <v>1</v>
      </c>
      <c r="C40" s="3"/>
      <c r="D40" s="209" t="s">
        <v>443</v>
      </c>
      <c r="E40" s="3">
        <v>25</v>
      </c>
      <c r="F40" s="149" t="s">
        <v>108</v>
      </c>
      <c r="G40" s="96" t="str">
        <f>IFERROR(IF(VLOOKUP(TableHandbook[[#This Row],[UDC]],TableAvailabilities[],2,FALSE)&gt;0,"Y",""),"")</f>
        <v/>
      </c>
      <c r="H40" s="96" t="str">
        <f>IFERROR(IF(VLOOKUP(TableHandbook[[#This Row],[UDC]],TableAvailabilities[],3,FALSE)&gt;0,"Y",""),"")</f>
        <v/>
      </c>
      <c r="I40" s="96" t="str">
        <f>IFERROR(IF(VLOOKUP(TableHandbook[[#This Row],[UDC]],TableAvailabilities[],4,FALSE)&gt;0,"Y",""),"")</f>
        <v/>
      </c>
      <c r="J40" s="96" t="str">
        <f>IFERROR(IF(VLOOKUP(TableHandbook[[#This Row],[UDC]],TableAvailabilities[],5,FALSE)&gt;0,"Y",""),"")</f>
        <v/>
      </c>
      <c r="K40" s="209" t="s">
        <v>436</v>
      </c>
      <c r="L40" s="213" t="str">
        <f>IFERROR(VLOOKUP(TableHandbook[[#This Row],[UDC]],TableMCARTS[],7,FALSE),"")</f>
        <v/>
      </c>
      <c r="M40" s="211" t="str">
        <f>IFERROR(VLOOKUP(TableHandbook[[#This Row],[UDC]],TableMJRPCWRIT[],7,FALSE),"")</f>
        <v/>
      </c>
      <c r="N40" s="211" t="str">
        <f>IFERROR(VLOOKUP(TableHandbook[[#This Row],[UDC]],TableMJRPDGCMS[],7,FALSE),"")</f>
        <v/>
      </c>
      <c r="O40" s="211" t="str">
        <f>IFERROR(VLOOKUP(TableHandbook[[#This Row],[UDC]],TableMJRPFINAR[],7,FALSE),"")</f>
        <v/>
      </c>
      <c r="P40" s="211" t="str">
        <f>IFERROR(VLOOKUP(TableHandbook[[#This Row],[UDC]],TableMJRPPWRIT[],7,FALSE),"")</f>
        <v/>
      </c>
      <c r="Q40" s="211" t="str">
        <f>IFERROR(VLOOKUP(TableHandbook[[#This Row],[UDC]],TableMJRPSCRAR[],7,FALSE),"")</f>
        <v/>
      </c>
      <c r="R40" s="213" t="str">
        <f>IFERROR(VLOOKUP(TableHandbook[[#This Row],[UDC]],TableMCMMJRG[],7,FALSE),"")</f>
        <v/>
      </c>
      <c r="S40" s="211" t="str">
        <f>IFERROR(VLOOKUP(TableHandbook[[#This Row],[UDC]],TableMCMMJRN[],7,FALSE),"")</f>
        <v/>
      </c>
      <c r="T40" s="211" t="str">
        <f>IFERROR(VLOOKUP(TableHandbook[[#This Row],[UDC]],TableGDMMJRN[],7,FALSE),"")</f>
        <v/>
      </c>
      <c r="U40" s="211" t="str">
        <f>IFERROR(VLOOKUP(TableHandbook[[#This Row],[UDC]],TableGCMMJRN[],7,FALSE),"")</f>
        <v/>
      </c>
      <c r="V40" s="213" t="str">
        <f>IFERROR(VLOOKUP(TableHandbook[[#This Row],[UDC]],TableMCHRIGLO[],7,FALSE),"")</f>
        <v/>
      </c>
      <c r="W40" s="211" t="str">
        <f>IFERROR(VLOOKUP(TableHandbook[[#This Row],[UDC]],TableMCHRIGHT[],7,FALSE),"")</f>
        <v/>
      </c>
      <c r="X40" s="211" t="str">
        <f>IFERROR(VLOOKUP(TableHandbook[[#This Row],[UDC]],TableGDHRIGHT[],7,FALSE),"")</f>
        <v/>
      </c>
      <c r="Y40" s="211" t="str">
        <f>IFERROR(VLOOKUP(TableHandbook[[#This Row],[UDC]],TableGCHRIGHT[],7,FALSE),"")</f>
        <v/>
      </c>
      <c r="Z40" s="213" t="str">
        <f>IFERROR(VLOOKUP(TableHandbook[[#This Row],[UDC]],TableMCGLOBL2[],7,FALSE),"")</f>
        <v/>
      </c>
      <c r="AA40" s="211" t="str">
        <f>IFERROR(VLOOKUP(TableHandbook[[#This Row],[UDC]],TableMCGLOBL[],7,FALSE),"")</f>
        <v/>
      </c>
      <c r="AB40" s="211" t="str">
        <f>IFERROR(VLOOKUP(TableHandbook[[#This Row],[UDC]],TableSTRPGLOBL[],7,FALSE),"")</f>
        <v/>
      </c>
      <c r="AC40" s="211" t="str">
        <f>IFERROR(VLOOKUP(TableHandbook[[#This Row],[UDC]],TableSTRPHRIGT[],7,FALSE),"")</f>
        <v/>
      </c>
      <c r="AD40" s="211" t="str">
        <f>IFERROR(VLOOKUP(TableHandbook[[#This Row],[UDC]],TableSTRPINTRN[],7,FALSE),"")</f>
        <v/>
      </c>
      <c r="AE40" s="211" t="str">
        <f>IFERROR(VLOOKUP(TableHandbook[[#This Row],[UDC]],TableGCGLOBL[],7,FALSE),"")</f>
        <v/>
      </c>
      <c r="AF40" s="213" t="str">
        <f>IFERROR(VLOOKUP(TableHandbook[[#This Row],[UDC]],TableMCINTREL[],7,FALSE),"")</f>
        <v/>
      </c>
      <c r="AG40" s="211" t="str">
        <f>IFERROR(VLOOKUP(TableHandbook[[#This Row],[UDC]],TableMCINTSEC[],7,FALSE),"")</f>
        <v/>
      </c>
      <c r="AH40" s="211" t="str">
        <f>IFERROR(VLOOKUP(TableHandbook[[#This Row],[UDC]],TableGDINTSEC[],7,FALSE),"")</f>
        <v/>
      </c>
      <c r="AI40" s="211" t="str">
        <f>IFERROR(VLOOKUP(TableHandbook[[#This Row],[UDC]],TableGCINTSEC[],7,FALSE),"")</f>
        <v/>
      </c>
      <c r="AJ40" s="211" t="str">
        <f>IFERROR(VLOOKUP(TableHandbook[[#This Row],[UDC]],TableGCINTELL[],7,FALSE),"")</f>
        <v/>
      </c>
      <c r="AK40" s="211" t="str">
        <f>IFERROR(VLOOKUP(TableHandbook[[#This Row],[UDC]],TableGCIPCSEC[],7,FALSE),"")</f>
        <v/>
      </c>
    </row>
    <row r="41" spans="1:37" x14ac:dyDescent="0.3">
      <c r="A41" s="231" t="s">
        <v>195</v>
      </c>
      <c r="B41" s="3">
        <v>2</v>
      </c>
      <c r="C41" s="3"/>
      <c r="D41" s="209" t="s">
        <v>444</v>
      </c>
      <c r="E41" s="3">
        <v>25</v>
      </c>
      <c r="F41" s="245" t="s">
        <v>108</v>
      </c>
      <c r="G41" s="96" t="str">
        <f>IFERROR(IF(VLOOKUP(TableHandbook[[#This Row],[UDC]],TableAvailabilities[],2,FALSE)&gt;0,"Y",""),"")</f>
        <v>Y</v>
      </c>
      <c r="H41" s="96" t="str">
        <f>IFERROR(IF(VLOOKUP(TableHandbook[[#This Row],[UDC]],TableAvailabilities[],3,FALSE)&gt;0,"Y",""),"")</f>
        <v/>
      </c>
      <c r="I41" s="96" t="str">
        <f>IFERROR(IF(VLOOKUP(TableHandbook[[#This Row],[UDC]],TableAvailabilities[],4,FALSE)&gt;0,"Y",""),"")</f>
        <v/>
      </c>
      <c r="J41" s="96" t="str">
        <f>IFERROR(IF(VLOOKUP(TableHandbook[[#This Row],[UDC]],TableAvailabilities[],5,FALSE)&gt;0,"Y",""),"")</f>
        <v/>
      </c>
      <c r="K41" s="209" t="s">
        <v>433</v>
      </c>
      <c r="L41" s="213" t="str">
        <f>IFERROR(VLOOKUP(TableHandbook[[#This Row],[UDC]],TableMCARTS[],7,FALSE),"")</f>
        <v/>
      </c>
      <c r="M41" s="211" t="str">
        <f>IFERROR(VLOOKUP(TableHandbook[[#This Row],[UDC]],TableMJRPCWRIT[],7,FALSE),"")</f>
        <v>Option</v>
      </c>
      <c r="N41" s="211" t="str">
        <f>IFERROR(VLOOKUP(TableHandbook[[#This Row],[UDC]],TableMJRPDGCMS[],7,FALSE),"")</f>
        <v/>
      </c>
      <c r="O41" s="211" t="str">
        <f>IFERROR(VLOOKUP(TableHandbook[[#This Row],[UDC]],TableMJRPFINAR[],7,FALSE),"")</f>
        <v/>
      </c>
      <c r="P41" s="211" t="str">
        <f>IFERROR(VLOOKUP(TableHandbook[[#This Row],[UDC]],TableMJRPPWRIT[],7,FALSE),"")</f>
        <v/>
      </c>
      <c r="Q41" s="211" t="str">
        <f>IFERROR(VLOOKUP(TableHandbook[[#This Row],[UDC]],TableMJRPSCRAR[],7,FALSE),"")</f>
        <v/>
      </c>
      <c r="R41" s="213" t="str">
        <f>IFERROR(VLOOKUP(TableHandbook[[#This Row],[UDC]],TableMCMMJRG[],7,FALSE),"")</f>
        <v/>
      </c>
      <c r="S41" s="211" t="str">
        <f>IFERROR(VLOOKUP(TableHandbook[[#This Row],[UDC]],TableMCMMJRN[],7,FALSE),"")</f>
        <v/>
      </c>
      <c r="T41" s="211" t="str">
        <f>IFERROR(VLOOKUP(TableHandbook[[#This Row],[UDC]],TableGDMMJRN[],7,FALSE),"")</f>
        <v/>
      </c>
      <c r="U41" s="211" t="str">
        <f>IFERROR(VLOOKUP(TableHandbook[[#This Row],[UDC]],TableGCMMJRN[],7,FALSE),"")</f>
        <v/>
      </c>
      <c r="V41" s="213" t="str">
        <f>IFERROR(VLOOKUP(TableHandbook[[#This Row],[UDC]],TableMCHRIGLO[],7,FALSE),"")</f>
        <v/>
      </c>
      <c r="W41" s="211" t="str">
        <f>IFERROR(VLOOKUP(TableHandbook[[#This Row],[UDC]],TableMCHRIGHT[],7,FALSE),"")</f>
        <v/>
      </c>
      <c r="X41" s="211" t="str">
        <f>IFERROR(VLOOKUP(TableHandbook[[#This Row],[UDC]],TableGDHRIGHT[],7,FALSE),"")</f>
        <v/>
      </c>
      <c r="Y41" s="211" t="str">
        <f>IFERROR(VLOOKUP(TableHandbook[[#This Row],[UDC]],TableGCHRIGHT[],7,FALSE),"")</f>
        <v/>
      </c>
      <c r="Z41" s="213" t="str">
        <f>IFERROR(VLOOKUP(TableHandbook[[#This Row],[UDC]],TableMCGLOBL2[],7,FALSE),"")</f>
        <v/>
      </c>
      <c r="AA41" s="211" t="str">
        <f>IFERROR(VLOOKUP(TableHandbook[[#This Row],[UDC]],TableMCGLOBL[],7,FALSE),"")</f>
        <v/>
      </c>
      <c r="AB41" s="211" t="str">
        <f>IFERROR(VLOOKUP(TableHandbook[[#This Row],[UDC]],TableSTRPGLOBL[],7,FALSE),"")</f>
        <v/>
      </c>
      <c r="AC41" s="211" t="str">
        <f>IFERROR(VLOOKUP(TableHandbook[[#This Row],[UDC]],TableSTRPHRIGT[],7,FALSE),"")</f>
        <v/>
      </c>
      <c r="AD41" s="211" t="str">
        <f>IFERROR(VLOOKUP(TableHandbook[[#This Row],[UDC]],TableSTRPINTRN[],7,FALSE),"")</f>
        <v/>
      </c>
      <c r="AE41" s="211" t="str">
        <f>IFERROR(VLOOKUP(TableHandbook[[#This Row],[UDC]],TableGCGLOBL[],7,FALSE),"")</f>
        <v/>
      </c>
      <c r="AF41" s="213" t="str">
        <f>IFERROR(VLOOKUP(TableHandbook[[#This Row],[UDC]],TableMCINTREL[],7,FALSE),"")</f>
        <v/>
      </c>
      <c r="AG41" s="211" t="str">
        <f>IFERROR(VLOOKUP(TableHandbook[[#This Row],[UDC]],TableMCINTSEC[],7,FALSE),"")</f>
        <v/>
      </c>
      <c r="AH41" s="211" t="str">
        <f>IFERROR(VLOOKUP(TableHandbook[[#This Row],[UDC]],TableGDINTSEC[],7,FALSE),"")</f>
        <v/>
      </c>
      <c r="AI41" s="211" t="str">
        <f>IFERROR(VLOOKUP(TableHandbook[[#This Row],[UDC]],TableGCINTSEC[],7,FALSE),"")</f>
        <v/>
      </c>
      <c r="AJ41" s="211" t="str">
        <f>IFERROR(VLOOKUP(TableHandbook[[#This Row],[UDC]],TableGCINTELL[],7,FALSE),"")</f>
        <v/>
      </c>
      <c r="AK41" s="211" t="str">
        <f>IFERROR(VLOOKUP(TableHandbook[[#This Row],[UDC]],TableGCIPCSEC[],7,FALSE),"")</f>
        <v/>
      </c>
    </row>
    <row r="42" spans="1:37" x14ac:dyDescent="0.3">
      <c r="A42" s="2" t="s">
        <v>445</v>
      </c>
      <c r="B42" s="3">
        <v>1</v>
      </c>
      <c r="C42" s="3"/>
      <c r="D42" s="209" t="s">
        <v>446</v>
      </c>
      <c r="E42" s="3">
        <v>25</v>
      </c>
      <c r="F42" s="149" t="s">
        <v>108</v>
      </c>
      <c r="G42" s="96" t="str">
        <f>IFERROR(IF(VLOOKUP(TableHandbook[[#This Row],[UDC]],TableAvailabilities[],2,FALSE)&gt;0,"Y",""),"")</f>
        <v/>
      </c>
      <c r="H42" s="96" t="str">
        <f>IFERROR(IF(VLOOKUP(TableHandbook[[#This Row],[UDC]],TableAvailabilities[],3,FALSE)&gt;0,"Y",""),"")</f>
        <v/>
      </c>
      <c r="I42" s="96" t="str">
        <f>IFERROR(IF(VLOOKUP(TableHandbook[[#This Row],[UDC]],TableAvailabilities[],4,FALSE)&gt;0,"Y",""),"")</f>
        <v/>
      </c>
      <c r="J42" s="96" t="str">
        <f>IFERROR(IF(VLOOKUP(TableHandbook[[#This Row],[UDC]],TableAvailabilities[],5,FALSE)&gt;0,"Y",""),"")</f>
        <v/>
      </c>
      <c r="K42" s="209" t="s">
        <v>436</v>
      </c>
      <c r="L42" s="213" t="str">
        <f>IFERROR(VLOOKUP(TableHandbook[[#This Row],[UDC]],TableMCARTS[],7,FALSE),"")</f>
        <v/>
      </c>
      <c r="M42" s="211" t="str">
        <f>IFERROR(VLOOKUP(TableHandbook[[#This Row],[UDC]],TableMJRPCWRIT[],7,FALSE),"")</f>
        <v/>
      </c>
      <c r="N42" s="211" t="str">
        <f>IFERROR(VLOOKUP(TableHandbook[[#This Row],[UDC]],TableMJRPDGCMS[],7,FALSE),"")</f>
        <v/>
      </c>
      <c r="O42" s="211" t="str">
        <f>IFERROR(VLOOKUP(TableHandbook[[#This Row],[UDC]],TableMJRPFINAR[],7,FALSE),"")</f>
        <v/>
      </c>
      <c r="P42" s="211" t="str">
        <f>IFERROR(VLOOKUP(TableHandbook[[#This Row],[UDC]],TableMJRPPWRIT[],7,FALSE),"")</f>
        <v/>
      </c>
      <c r="Q42" s="211" t="str">
        <f>IFERROR(VLOOKUP(TableHandbook[[#This Row],[UDC]],TableMJRPSCRAR[],7,FALSE),"")</f>
        <v/>
      </c>
      <c r="R42" s="213" t="str">
        <f>IFERROR(VLOOKUP(TableHandbook[[#This Row],[UDC]],TableMCMMJRG[],7,FALSE),"")</f>
        <v/>
      </c>
      <c r="S42" s="211" t="str">
        <f>IFERROR(VLOOKUP(TableHandbook[[#This Row],[UDC]],TableMCMMJRN[],7,FALSE),"")</f>
        <v/>
      </c>
      <c r="T42" s="211" t="str">
        <f>IFERROR(VLOOKUP(TableHandbook[[#This Row],[UDC]],TableGDMMJRN[],7,FALSE),"")</f>
        <v/>
      </c>
      <c r="U42" s="211" t="str">
        <f>IFERROR(VLOOKUP(TableHandbook[[#This Row],[UDC]],TableGCMMJRN[],7,FALSE),"")</f>
        <v/>
      </c>
      <c r="V42" s="213" t="str">
        <f>IFERROR(VLOOKUP(TableHandbook[[#This Row],[UDC]],TableMCHRIGLO[],7,FALSE),"")</f>
        <v/>
      </c>
      <c r="W42" s="211" t="str">
        <f>IFERROR(VLOOKUP(TableHandbook[[#This Row],[UDC]],TableMCHRIGHT[],7,FALSE),"")</f>
        <v/>
      </c>
      <c r="X42" s="211" t="str">
        <f>IFERROR(VLOOKUP(TableHandbook[[#This Row],[UDC]],TableGDHRIGHT[],7,FALSE),"")</f>
        <v/>
      </c>
      <c r="Y42" s="211" t="str">
        <f>IFERROR(VLOOKUP(TableHandbook[[#This Row],[UDC]],TableGCHRIGHT[],7,FALSE),"")</f>
        <v/>
      </c>
      <c r="Z42" s="213" t="str">
        <f>IFERROR(VLOOKUP(TableHandbook[[#This Row],[UDC]],TableMCGLOBL2[],7,FALSE),"")</f>
        <v/>
      </c>
      <c r="AA42" s="211" t="str">
        <f>IFERROR(VLOOKUP(TableHandbook[[#This Row],[UDC]],TableMCGLOBL[],7,FALSE),"")</f>
        <v/>
      </c>
      <c r="AB42" s="211" t="str">
        <f>IFERROR(VLOOKUP(TableHandbook[[#This Row],[UDC]],TableSTRPGLOBL[],7,FALSE),"")</f>
        <v/>
      </c>
      <c r="AC42" s="211" t="str">
        <f>IFERROR(VLOOKUP(TableHandbook[[#This Row],[UDC]],TableSTRPHRIGT[],7,FALSE),"")</f>
        <v/>
      </c>
      <c r="AD42" s="211" t="str">
        <f>IFERROR(VLOOKUP(TableHandbook[[#This Row],[UDC]],TableSTRPINTRN[],7,FALSE),"")</f>
        <v/>
      </c>
      <c r="AE42" s="211" t="str">
        <f>IFERROR(VLOOKUP(TableHandbook[[#This Row],[UDC]],TableGCGLOBL[],7,FALSE),"")</f>
        <v/>
      </c>
      <c r="AF42" s="213" t="str">
        <f>IFERROR(VLOOKUP(TableHandbook[[#This Row],[UDC]],TableMCINTREL[],7,FALSE),"")</f>
        <v/>
      </c>
      <c r="AG42" s="211" t="str">
        <f>IFERROR(VLOOKUP(TableHandbook[[#This Row],[UDC]],TableMCINTSEC[],7,FALSE),"")</f>
        <v/>
      </c>
      <c r="AH42" s="211" t="str">
        <f>IFERROR(VLOOKUP(TableHandbook[[#This Row],[UDC]],TableGDINTSEC[],7,FALSE),"")</f>
        <v/>
      </c>
      <c r="AI42" s="211" t="str">
        <f>IFERROR(VLOOKUP(TableHandbook[[#This Row],[UDC]],TableGCINTSEC[],7,FALSE),"")</f>
        <v/>
      </c>
      <c r="AJ42" s="211" t="str">
        <f>IFERROR(VLOOKUP(TableHandbook[[#This Row],[UDC]],TableGCINTELL[],7,FALSE),"")</f>
        <v/>
      </c>
      <c r="AK42" s="211" t="str">
        <f>IFERROR(VLOOKUP(TableHandbook[[#This Row],[UDC]],TableGCIPCSEC[],7,FALSE),"")</f>
        <v/>
      </c>
    </row>
    <row r="43" spans="1:37" x14ac:dyDescent="0.3">
      <c r="A43" s="231" t="s">
        <v>202</v>
      </c>
      <c r="B43" s="3">
        <v>2</v>
      </c>
      <c r="C43" s="3"/>
      <c r="D43" s="209" t="s">
        <v>447</v>
      </c>
      <c r="E43" s="3">
        <v>25</v>
      </c>
      <c r="F43" s="245" t="s">
        <v>108</v>
      </c>
      <c r="G43" s="96" t="str">
        <f>IFERROR(IF(VLOOKUP(TableHandbook[[#This Row],[UDC]],TableAvailabilities[],2,FALSE)&gt;0,"Y",""),"")</f>
        <v/>
      </c>
      <c r="H43" s="96" t="str">
        <f>IFERROR(IF(VLOOKUP(TableHandbook[[#This Row],[UDC]],TableAvailabilities[],3,FALSE)&gt;0,"Y",""),"")</f>
        <v/>
      </c>
      <c r="I43" s="96" t="str">
        <f>IFERROR(IF(VLOOKUP(TableHandbook[[#This Row],[UDC]],TableAvailabilities[],4,FALSE)&gt;0,"Y",""),"")</f>
        <v>Y</v>
      </c>
      <c r="J43" s="96" t="str">
        <f>IFERROR(IF(VLOOKUP(TableHandbook[[#This Row],[UDC]],TableAvailabilities[],5,FALSE)&gt;0,"Y",""),"")</f>
        <v/>
      </c>
      <c r="K43" s="209" t="s">
        <v>433</v>
      </c>
      <c r="L43" s="213" t="str">
        <f>IFERROR(VLOOKUP(TableHandbook[[#This Row],[UDC]],TableMCARTS[],7,FALSE),"")</f>
        <v/>
      </c>
      <c r="M43" s="211" t="str">
        <f>IFERROR(VLOOKUP(TableHandbook[[#This Row],[UDC]],TableMJRPCWRIT[],7,FALSE),"")</f>
        <v>Option</v>
      </c>
      <c r="N43" s="211" t="str">
        <f>IFERROR(VLOOKUP(TableHandbook[[#This Row],[UDC]],TableMJRPDGCMS[],7,FALSE),"")</f>
        <v/>
      </c>
      <c r="O43" s="211" t="str">
        <f>IFERROR(VLOOKUP(TableHandbook[[#This Row],[UDC]],TableMJRPFINAR[],7,FALSE),"")</f>
        <v/>
      </c>
      <c r="P43" s="211" t="str">
        <f>IFERROR(VLOOKUP(TableHandbook[[#This Row],[UDC]],TableMJRPPWRIT[],7,FALSE),"")</f>
        <v/>
      </c>
      <c r="Q43" s="211" t="str">
        <f>IFERROR(VLOOKUP(TableHandbook[[#This Row],[UDC]],TableMJRPSCRAR[],7,FALSE),"")</f>
        <v/>
      </c>
      <c r="R43" s="213" t="str">
        <f>IFERROR(VLOOKUP(TableHandbook[[#This Row],[UDC]],TableMCMMJRG[],7,FALSE),"")</f>
        <v/>
      </c>
      <c r="S43" s="211" t="str">
        <f>IFERROR(VLOOKUP(TableHandbook[[#This Row],[UDC]],TableMCMMJRN[],7,FALSE),"")</f>
        <v/>
      </c>
      <c r="T43" s="211" t="str">
        <f>IFERROR(VLOOKUP(TableHandbook[[#This Row],[UDC]],TableGDMMJRN[],7,FALSE),"")</f>
        <v/>
      </c>
      <c r="U43" s="211" t="str">
        <f>IFERROR(VLOOKUP(TableHandbook[[#This Row],[UDC]],TableGCMMJRN[],7,FALSE),"")</f>
        <v/>
      </c>
      <c r="V43" s="213" t="str">
        <f>IFERROR(VLOOKUP(TableHandbook[[#This Row],[UDC]],TableMCHRIGLO[],7,FALSE),"")</f>
        <v/>
      </c>
      <c r="W43" s="211" t="str">
        <f>IFERROR(VLOOKUP(TableHandbook[[#This Row],[UDC]],TableMCHRIGHT[],7,FALSE),"")</f>
        <v/>
      </c>
      <c r="X43" s="211" t="str">
        <f>IFERROR(VLOOKUP(TableHandbook[[#This Row],[UDC]],TableGDHRIGHT[],7,FALSE),"")</f>
        <v/>
      </c>
      <c r="Y43" s="211" t="str">
        <f>IFERROR(VLOOKUP(TableHandbook[[#This Row],[UDC]],TableGCHRIGHT[],7,FALSE),"")</f>
        <v/>
      </c>
      <c r="Z43" s="213" t="str">
        <f>IFERROR(VLOOKUP(TableHandbook[[#This Row],[UDC]],TableMCGLOBL2[],7,FALSE),"")</f>
        <v/>
      </c>
      <c r="AA43" s="211" t="str">
        <f>IFERROR(VLOOKUP(TableHandbook[[#This Row],[UDC]],TableMCGLOBL[],7,FALSE),"")</f>
        <v/>
      </c>
      <c r="AB43" s="211" t="str">
        <f>IFERROR(VLOOKUP(TableHandbook[[#This Row],[UDC]],TableSTRPGLOBL[],7,FALSE),"")</f>
        <v/>
      </c>
      <c r="AC43" s="211" t="str">
        <f>IFERROR(VLOOKUP(TableHandbook[[#This Row],[UDC]],TableSTRPHRIGT[],7,FALSE),"")</f>
        <v/>
      </c>
      <c r="AD43" s="211" t="str">
        <f>IFERROR(VLOOKUP(TableHandbook[[#This Row],[UDC]],TableSTRPINTRN[],7,FALSE),"")</f>
        <v/>
      </c>
      <c r="AE43" s="211" t="str">
        <f>IFERROR(VLOOKUP(TableHandbook[[#This Row],[UDC]],TableGCGLOBL[],7,FALSE),"")</f>
        <v/>
      </c>
      <c r="AF43" s="213" t="str">
        <f>IFERROR(VLOOKUP(TableHandbook[[#This Row],[UDC]],TableMCINTREL[],7,FALSE),"")</f>
        <v/>
      </c>
      <c r="AG43" s="211" t="str">
        <f>IFERROR(VLOOKUP(TableHandbook[[#This Row],[UDC]],TableMCINTSEC[],7,FALSE),"")</f>
        <v/>
      </c>
      <c r="AH43" s="211" t="str">
        <f>IFERROR(VLOOKUP(TableHandbook[[#This Row],[UDC]],TableGDINTSEC[],7,FALSE),"")</f>
        <v/>
      </c>
      <c r="AI43" s="211" t="str">
        <f>IFERROR(VLOOKUP(TableHandbook[[#This Row],[UDC]],TableGCINTSEC[],7,FALSE),"")</f>
        <v/>
      </c>
      <c r="AJ43" s="211" t="str">
        <f>IFERROR(VLOOKUP(TableHandbook[[#This Row],[UDC]],TableGCINTELL[],7,FALSE),"")</f>
        <v/>
      </c>
      <c r="AK43" s="211" t="str">
        <f>IFERROR(VLOOKUP(TableHandbook[[#This Row],[UDC]],TableGCIPCSEC[],7,FALSE),"")</f>
        <v/>
      </c>
    </row>
    <row r="44" spans="1:37" x14ac:dyDescent="0.3">
      <c r="A44" s="2" t="s">
        <v>448</v>
      </c>
      <c r="B44" s="3">
        <v>1</v>
      </c>
      <c r="C44" s="3"/>
      <c r="D44" s="209" t="s">
        <v>449</v>
      </c>
      <c r="E44" s="3">
        <v>25</v>
      </c>
      <c r="F44" s="149" t="s">
        <v>108</v>
      </c>
      <c r="G44" s="96" t="str">
        <f>IFERROR(IF(VLOOKUP(TableHandbook[[#This Row],[UDC]],TableAvailabilities[],2,FALSE)&gt;0,"Y",""),"")</f>
        <v/>
      </c>
      <c r="H44" s="96" t="str">
        <f>IFERROR(IF(VLOOKUP(TableHandbook[[#This Row],[UDC]],TableAvailabilities[],3,FALSE)&gt;0,"Y",""),"")</f>
        <v/>
      </c>
      <c r="I44" s="96" t="str">
        <f>IFERROR(IF(VLOOKUP(TableHandbook[[#This Row],[UDC]],TableAvailabilities[],4,FALSE)&gt;0,"Y",""),"")</f>
        <v/>
      </c>
      <c r="J44" s="96" t="str">
        <f>IFERROR(IF(VLOOKUP(TableHandbook[[#This Row],[UDC]],TableAvailabilities[],5,FALSE)&gt;0,"Y",""),"")</f>
        <v/>
      </c>
      <c r="K44" s="209" t="s">
        <v>436</v>
      </c>
      <c r="L44" s="213" t="str">
        <f>IFERROR(VLOOKUP(TableHandbook[[#This Row],[UDC]],TableMCARTS[],7,FALSE),"")</f>
        <v/>
      </c>
      <c r="M44" s="211" t="str">
        <f>IFERROR(VLOOKUP(TableHandbook[[#This Row],[UDC]],TableMJRPCWRIT[],7,FALSE),"")</f>
        <v/>
      </c>
      <c r="N44" s="211" t="str">
        <f>IFERROR(VLOOKUP(TableHandbook[[#This Row],[UDC]],TableMJRPDGCMS[],7,FALSE),"")</f>
        <v/>
      </c>
      <c r="O44" s="211" t="str">
        <f>IFERROR(VLOOKUP(TableHandbook[[#This Row],[UDC]],TableMJRPFINAR[],7,FALSE),"")</f>
        <v/>
      </c>
      <c r="P44" s="211" t="str">
        <f>IFERROR(VLOOKUP(TableHandbook[[#This Row],[UDC]],TableMJRPPWRIT[],7,FALSE),"")</f>
        <v/>
      </c>
      <c r="Q44" s="211" t="str">
        <f>IFERROR(VLOOKUP(TableHandbook[[#This Row],[UDC]],TableMJRPSCRAR[],7,FALSE),"")</f>
        <v/>
      </c>
      <c r="R44" s="213" t="str">
        <f>IFERROR(VLOOKUP(TableHandbook[[#This Row],[UDC]],TableMCMMJRG[],7,FALSE),"")</f>
        <v/>
      </c>
      <c r="S44" s="211" t="str">
        <f>IFERROR(VLOOKUP(TableHandbook[[#This Row],[UDC]],TableMCMMJRN[],7,FALSE),"")</f>
        <v/>
      </c>
      <c r="T44" s="211" t="str">
        <f>IFERROR(VLOOKUP(TableHandbook[[#This Row],[UDC]],TableGDMMJRN[],7,FALSE),"")</f>
        <v/>
      </c>
      <c r="U44" s="211" t="str">
        <f>IFERROR(VLOOKUP(TableHandbook[[#This Row],[UDC]],TableGCMMJRN[],7,FALSE),"")</f>
        <v/>
      </c>
      <c r="V44" s="213" t="str">
        <f>IFERROR(VLOOKUP(TableHandbook[[#This Row],[UDC]],TableMCHRIGLO[],7,FALSE),"")</f>
        <v/>
      </c>
      <c r="W44" s="211" t="str">
        <f>IFERROR(VLOOKUP(TableHandbook[[#This Row],[UDC]],TableMCHRIGHT[],7,FALSE),"")</f>
        <v/>
      </c>
      <c r="X44" s="211" t="str">
        <f>IFERROR(VLOOKUP(TableHandbook[[#This Row],[UDC]],TableGDHRIGHT[],7,FALSE),"")</f>
        <v/>
      </c>
      <c r="Y44" s="211" t="str">
        <f>IFERROR(VLOOKUP(TableHandbook[[#This Row],[UDC]],TableGCHRIGHT[],7,FALSE),"")</f>
        <v/>
      </c>
      <c r="Z44" s="213" t="str">
        <f>IFERROR(VLOOKUP(TableHandbook[[#This Row],[UDC]],TableMCGLOBL2[],7,FALSE),"")</f>
        <v/>
      </c>
      <c r="AA44" s="211" t="str">
        <f>IFERROR(VLOOKUP(TableHandbook[[#This Row],[UDC]],TableMCGLOBL[],7,FALSE),"")</f>
        <v/>
      </c>
      <c r="AB44" s="211" t="str">
        <f>IFERROR(VLOOKUP(TableHandbook[[#This Row],[UDC]],TableSTRPGLOBL[],7,FALSE),"")</f>
        <v/>
      </c>
      <c r="AC44" s="211" t="str">
        <f>IFERROR(VLOOKUP(TableHandbook[[#This Row],[UDC]],TableSTRPHRIGT[],7,FALSE),"")</f>
        <v/>
      </c>
      <c r="AD44" s="211" t="str">
        <f>IFERROR(VLOOKUP(TableHandbook[[#This Row],[UDC]],TableSTRPINTRN[],7,FALSE),"")</f>
        <v/>
      </c>
      <c r="AE44" s="211" t="str">
        <f>IFERROR(VLOOKUP(TableHandbook[[#This Row],[UDC]],TableGCGLOBL[],7,FALSE),"")</f>
        <v/>
      </c>
      <c r="AF44" s="213" t="str">
        <f>IFERROR(VLOOKUP(TableHandbook[[#This Row],[UDC]],TableMCINTREL[],7,FALSE),"")</f>
        <v/>
      </c>
      <c r="AG44" s="211" t="str">
        <f>IFERROR(VLOOKUP(TableHandbook[[#This Row],[UDC]],TableMCINTSEC[],7,FALSE),"")</f>
        <v/>
      </c>
      <c r="AH44" s="211" t="str">
        <f>IFERROR(VLOOKUP(TableHandbook[[#This Row],[UDC]],TableGDINTSEC[],7,FALSE),"")</f>
        <v/>
      </c>
      <c r="AI44" s="211" t="str">
        <f>IFERROR(VLOOKUP(TableHandbook[[#This Row],[UDC]],TableGCINTSEC[],7,FALSE),"")</f>
        <v/>
      </c>
      <c r="AJ44" s="211" t="str">
        <f>IFERROR(VLOOKUP(TableHandbook[[#This Row],[UDC]],TableGCINTELL[],7,FALSE),"")</f>
        <v/>
      </c>
      <c r="AK44" s="211" t="str">
        <f>IFERROR(VLOOKUP(TableHandbook[[#This Row],[UDC]],TableGCIPCSEC[],7,FALSE),"")</f>
        <v/>
      </c>
    </row>
    <row r="45" spans="1:37" x14ac:dyDescent="0.3">
      <c r="A45" s="231" t="s">
        <v>208</v>
      </c>
      <c r="B45" s="3">
        <v>2</v>
      </c>
      <c r="C45" s="3"/>
      <c r="D45" s="209" t="s">
        <v>450</v>
      </c>
      <c r="E45" s="3">
        <v>25</v>
      </c>
      <c r="F45" s="245" t="s">
        <v>108</v>
      </c>
      <c r="G45" s="96" t="str">
        <f>IFERROR(IF(VLOOKUP(TableHandbook[[#This Row],[UDC]],TableAvailabilities[],2,FALSE)&gt;0,"Y",""),"")</f>
        <v>Y</v>
      </c>
      <c r="H45" s="96" t="str">
        <f>IFERROR(IF(VLOOKUP(TableHandbook[[#This Row],[UDC]],TableAvailabilities[],3,FALSE)&gt;0,"Y",""),"")</f>
        <v/>
      </c>
      <c r="I45" s="96" t="str">
        <f>IFERROR(IF(VLOOKUP(TableHandbook[[#This Row],[UDC]],TableAvailabilities[],4,FALSE)&gt;0,"Y",""),"")</f>
        <v/>
      </c>
      <c r="J45" s="96" t="str">
        <f>IFERROR(IF(VLOOKUP(TableHandbook[[#This Row],[UDC]],TableAvailabilities[],5,FALSE)&gt;0,"Y",""),"")</f>
        <v/>
      </c>
      <c r="K45" s="209" t="s">
        <v>433</v>
      </c>
      <c r="L45" s="213" t="str">
        <f>IFERROR(VLOOKUP(TableHandbook[[#This Row],[UDC]],TableMCARTS[],7,FALSE),"")</f>
        <v/>
      </c>
      <c r="M45" s="211" t="str">
        <f>IFERROR(VLOOKUP(TableHandbook[[#This Row],[UDC]],TableMJRPCWRIT[],7,FALSE),"")</f>
        <v>Option</v>
      </c>
      <c r="N45" s="211" t="str">
        <f>IFERROR(VLOOKUP(TableHandbook[[#This Row],[UDC]],TableMJRPDGCMS[],7,FALSE),"")</f>
        <v/>
      </c>
      <c r="O45" s="211" t="str">
        <f>IFERROR(VLOOKUP(TableHandbook[[#This Row],[UDC]],TableMJRPFINAR[],7,FALSE),"")</f>
        <v/>
      </c>
      <c r="P45" s="211" t="str">
        <f>IFERROR(VLOOKUP(TableHandbook[[#This Row],[UDC]],TableMJRPPWRIT[],7,FALSE),"")</f>
        <v>Option</v>
      </c>
      <c r="Q45" s="211" t="str">
        <f>IFERROR(VLOOKUP(TableHandbook[[#This Row],[UDC]],TableMJRPSCRAR[],7,FALSE),"")</f>
        <v/>
      </c>
      <c r="R45" s="213" t="str">
        <f>IFERROR(VLOOKUP(TableHandbook[[#This Row],[UDC]],TableMCMMJRG[],7,FALSE),"")</f>
        <v/>
      </c>
      <c r="S45" s="211" t="str">
        <f>IFERROR(VLOOKUP(TableHandbook[[#This Row],[UDC]],TableMCMMJRN[],7,FALSE),"")</f>
        <v/>
      </c>
      <c r="T45" s="211" t="str">
        <f>IFERROR(VLOOKUP(TableHandbook[[#This Row],[UDC]],TableGDMMJRN[],7,FALSE),"")</f>
        <v/>
      </c>
      <c r="U45" s="211" t="str">
        <f>IFERROR(VLOOKUP(TableHandbook[[#This Row],[UDC]],TableGCMMJRN[],7,FALSE),"")</f>
        <v/>
      </c>
      <c r="V45" s="213" t="str">
        <f>IFERROR(VLOOKUP(TableHandbook[[#This Row],[UDC]],TableMCHRIGLO[],7,FALSE),"")</f>
        <v/>
      </c>
      <c r="W45" s="211" t="str">
        <f>IFERROR(VLOOKUP(TableHandbook[[#This Row],[UDC]],TableMCHRIGHT[],7,FALSE),"")</f>
        <v/>
      </c>
      <c r="X45" s="211" t="str">
        <f>IFERROR(VLOOKUP(TableHandbook[[#This Row],[UDC]],TableGDHRIGHT[],7,FALSE),"")</f>
        <v/>
      </c>
      <c r="Y45" s="211" t="str">
        <f>IFERROR(VLOOKUP(TableHandbook[[#This Row],[UDC]],TableGCHRIGHT[],7,FALSE),"")</f>
        <v/>
      </c>
      <c r="Z45" s="213" t="str">
        <f>IFERROR(VLOOKUP(TableHandbook[[#This Row],[UDC]],TableMCGLOBL2[],7,FALSE),"")</f>
        <v/>
      </c>
      <c r="AA45" s="211" t="str">
        <f>IFERROR(VLOOKUP(TableHandbook[[#This Row],[UDC]],TableMCGLOBL[],7,FALSE),"")</f>
        <v/>
      </c>
      <c r="AB45" s="211" t="str">
        <f>IFERROR(VLOOKUP(TableHandbook[[#This Row],[UDC]],TableSTRPGLOBL[],7,FALSE),"")</f>
        <v/>
      </c>
      <c r="AC45" s="211" t="str">
        <f>IFERROR(VLOOKUP(TableHandbook[[#This Row],[UDC]],TableSTRPHRIGT[],7,FALSE),"")</f>
        <v/>
      </c>
      <c r="AD45" s="211" t="str">
        <f>IFERROR(VLOOKUP(TableHandbook[[#This Row],[UDC]],TableSTRPINTRN[],7,FALSE),"")</f>
        <v/>
      </c>
      <c r="AE45" s="211" t="str">
        <f>IFERROR(VLOOKUP(TableHandbook[[#This Row],[UDC]],TableGCGLOBL[],7,FALSE),"")</f>
        <v/>
      </c>
      <c r="AF45" s="213" t="str">
        <f>IFERROR(VLOOKUP(TableHandbook[[#This Row],[UDC]],TableMCINTREL[],7,FALSE),"")</f>
        <v/>
      </c>
      <c r="AG45" s="211" t="str">
        <f>IFERROR(VLOOKUP(TableHandbook[[#This Row],[UDC]],TableMCINTSEC[],7,FALSE),"")</f>
        <v/>
      </c>
      <c r="AH45" s="211" t="str">
        <f>IFERROR(VLOOKUP(TableHandbook[[#This Row],[UDC]],TableGDINTSEC[],7,FALSE),"")</f>
        <v/>
      </c>
      <c r="AI45" s="211" t="str">
        <f>IFERROR(VLOOKUP(TableHandbook[[#This Row],[UDC]],TableGCINTSEC[],7,FALSE),"")</f>
        <v/>
      </c>
      <c r="AJ45" s="211" t="str">
        <f>IFERROR(VLOOKUP(TableHandbook[[#This Row],[UDC]],TableGCINTELL[],7,FALSE),"")</f>
        <v/>
      </c>
      <c r="AK45" s="211" t="str">
        <f>IFERROR(VLOOKUP(TableHandbook[[#This Row],[UDC]],TableGCIPCSEC[],7,FALSE),"")</f>
        <v/>
      </c>
    </row>
    <row r="46" spans="1:37" x14ac:dyDescent="0.3">
      <c r="A46" s="2" t="s">
        <v>451</v>
      </c>
      <c r="B46" s="3">
        <v>1</v>
      </c>
      <c r="C46" s="3"/>
      <c r="D46" s="209" t="s">
        <v>452</v>
      </c>
      <c r="E46" s="3">
        <v>25</v>
      </c>
      <c r="F46" s="149" t="s">
        <v>108</v>
      </c>
      <c r="G46" s="96" t="str">
        <f>IFERROR(IF(VLOOKUP(TableHandbook[[#This Row],[UDC]],TableAvailabilities[],2,FALSE)&gt;0,"Y",""),"")</f>
        <v/>
      </c>
      <c r="H46" s="96" t="str">
        <f>IFERROR(IF(VLOOKUP(TableHandbook[[#This Row],[UDC]],TableAvailabilities[],3,FALSE)&gt;0,"Y",""),"")</f>
        <v/>
      </c>
      <c r="I46" s="96" t="str">
        <f>IFERROR(IF(VLOOKUP(TableHandbook[[#This Row],[UDC]],TableAvailabilities[],4,FALSE)&gt;0,"Y",""),"")</f>
        <v/>
      </c>
      <c r="J46" s="96" t="str">
        <f>IFERROR(IF(VLOOKUP(TableHandbook[[#This Row],[UDC]],TableAvailabilities[],5,FALSE)&gt;0,"Y",""),"")</f>
        <v/>
      </c>
      <c r="K46" s="209" t="s">
        <v>436</v>
      </c>
      <c r="L46" s="213" t="str">
        <f>IFERROR(VLOOKUP(TableHandbook[[#This Row],[UDC]],TableMCARTS[],7,FALSE),"")</f>
        <v/>
      </c>
      <c r="M46" s="211" t="str">
        <f>IFERROR(VLOOKUP(TableHandbook[[#This Row],[UDC]],TableMJRPCWRIT[],7,FALSE),"")</f>
        <v/>
      </c>
      <c r="N46" s="211" t="str">
        <f>IFERROR(VLOOKUP(TableHandbook[[#This Row],[UDC]],TableMJRPDGCMS[],7,FALSE),"")</f>
        <v/>
      </c>
      <c r="O46" s="211" t="str">
        <f>IFERROR(VLOOKUP(TableHandbook[[#This Row],[UDC]],TableMJRPFINAR[],7,FALSE),"")</f>
        <v/>
      </c>
      <c r="P46" s="211" t="str">
        <f>IFERROR(VLOOKUP(TableHandbook[[#This Row],[UDC]],TableMJRPPWRIT[],7,FALSE),"")</f>
        <v/>
      </c>
      <c r="Q46" s="211" t="str">
        <f>IFERROR(VLOOKUP(TableHandbook[[#This Row],[UDC]],TableMJRPSCRAR[],7,FALSE),"")</f>
        <v/>
      </c>
      <c r="R46" s="213" t="str">
        <f>IFERROR(VLOOKUP(TableHandbook[[#This Row],[UDC]],TableMCMMJRG[],7,FALSE),"")</f>
        <v/>
      </c>
      <c r="S46" s="211" t="str">
        <f>IFERROR(VLOOKUP(TableHandbook[[#This Row],[UDC]],TableMCMMJRN[],7,FALSE),"")</f>
        <v/>
      </c>
      <c r="T46" s="211" t="str">
        <f>IFERROR(VLOOKUP(TableHandbook[[#This Row],[UDC]],TableGDMMJRN[],7,FALSE),"")</f>
        <v/>
      </c>
      <c r="U46" s="211" t="str">
        <f>IFERROR(VLOOKUP(TableHandbook[[#This Row],[UDC]],TableGCMMJRN[],7,FALSE),"")</f>
        <v/>
      </c>
      <c r="V46" s="213" t="str">
        <f>IFERROR(VLOOKUP(TableHandbook[[#This Row],[UDC]],TableMCHRIGLO[],7,FALSE),"")</f>
        <v/>
      </c>
      <c r="W46" s="211" t="str">
        <f>IFERROR(VLOOKUP(TableHandbook[[#This Row],[UDC]],TableMCHRIGHT[],7,FALSE),"")</f>
        <v/>
      </c>
      <c r="X46" s="211" t="str">
        <f>IFERROR(VLOOKUP(TableHandbook[[#This Row],[UDC]],TableGDHRIGHT[],7,FALSE),"")</f>
        <v/>
      </c>
      <c r="Y46" s="211" t="str">
        <f>IFERROR(VLOOKUP(TableHandbook[[#This Row],[UDC]],TableGCHRIGHT[],7,FALSE),"")</f>
        <v/>
      </c>
      <c r="Z46" s="213" t="str">
        <f>IFERROR(VLOOKUP(TableHandbook[[#This Row],[UDC]],TableMCGLOBL2[],7,FALSE),"")</f>
        <v/>
      </c>
      <c r="AA46" s="211" t="str">
        <f>IFERROR(VLOOKUP(TableHandbook[[#This Row],[UDC]],TableMCGLOBL[],7,FALSE),"")</f>
        <v/>
      </c>
      <c r="AB46" s="211" t="str">
        <f>IFERROR(VLOOKUP(TableHandbook[[#This Row],[UDC]],TableSTRPGLOBL[],7,FALSE),"")</f>
        <v/>
      </c>
      <c r="AC46" s="211" t="str">
        <f>IFERROR(VLOOKUP(TableHandbook[[#This Row],[UDC]],TableSTRPHRIGT[],7,FALSE),"")</f>
        <v/>
      </c>
      <c r="AD46" s="211" t="str">
        <f>IFERROR(VLOOKUP(TableHandbook[[#This Row],[UDC]],TableSTRPINTRN[],7,FALSE),"")</f>
        <v/>
      </c>
      <c r="AE46" s="211" t="str">
        <f>IFERROR(VLOOKUP(TableHandbook[[#This Row],[UDC]],TableGCGLOBL[],7,FALSE),"")</f>
        <v/>
      </c>
      <c r="AF46" s="213" t="str">
        <f>IFERROR(VLOOKUP(TableHandbook[[#This Row],[UDC]],TableMCINTREL[],7,FALSE),"")</f>
        <v/>
      </c>
      <c r="AG46" s="211" t="str">
        <f>IFERROR(VLOOKUP(TableHandbook[[#This Row],[UDC]],TableMCINTSEC[],7,FALSE),"")</f>
        <v/>
      </c>
      <c r="AH46" s="211" t="str">
        <f>IFERROR(VLOOKUP(TableHandbook[[#This Row],[UDC]],TableGDINTSEC[],7,FALSE),"")</f>
        <v/>
      </c>
      <c r="AI46" s="211" t="str">
        <f>IFERROR(VLOOKUP(TableHandbook[[#This Row],[UDC]],TableGCINTSEC[],7,FALSE),"")</f>
        <v/>
      </c>
      <c r="AJ46" s="211" t="str">
        <f>IFERROR(VLOOKUP(TableHandbook[[#This Row],[UDC]],TableGCINTELL[],7,FALSE),"")</f>
        <v/>
      </c>
      <c r="AK46" s="211" t="str">
        <f>IFERROR(VLOOKUP(TableHandbook[[#This Row],[UDC]],TableGCIPCSEC[],7,FALSE),"")</f>
        <v/>
      </c>
    </row>
    <row r="47" spans="1:37" x14ac:dyDescent="0.3">
      <c r="A47" s="231" t="s">
        <v>211</v>
      </c>
      <c r="B47" s="3">
        <v>2</v>
      </c>
      <c r="C47" s="3"/>
      <c r="D47" s="209" t="s">
        <v>453</v>
      </c>
      <c r="E47" s="3">
        <v>25</v>
      </c>
      <c r="F47" s="245" t="s">
        <v>108</v>
      </c>
      <c r="G47" s="96" t="str">
        <f>IFERROR(IF(VLOOKUP(TableHandbook[[#This Row],[UDC]],TableAvailabilities[],2,FALSE)&gt;0,"Y",""),"")</f>
        <v>Y</v>
      </c>
      <c r="H47" s="96" t="str">
        <f>IFERROR(IF(VLOOKUP(TableHandbook[[#This Row],[UDC]],TableAvailabilities[],3,FALSE)&gt;0,"Y",""),"")</f>
        <v/>
      </c>
      <c r="I47" s="96" t="str">
        <f>IFERROR(IF(VLOOKUP(TableHandbook[[#This Row],[UDC]],TableAvailabilities[],4,FALSE)&gt;0,"Y",""),"")</f>
        <v/>
      </c>
      <c r="J47" s="96" t="str">
        <f>IFERROR(IF(VLOOKUP(TableHandbook[[#This Row],[UDC]],TableAvailabilities[],5,FALSE)&gt;0,"Y",""),"")</f>
        <v/>
      </c>
      <c r="K47" s="209" t="s">
        <v>433</v>
      </c>
      <c r="L47" s="213" t="str">
        <f>IFERROR(VLOOKUP(TableHandbook[[#This Row],[UDC]],TableMCARTS[],7,FALSE),"")</f>
        <v/>
      </c>
      <c r="M47" s="211" t="str">
        <f>IFERROR(VLOOKUP(TableHandbook[[#This Row],[UDC]],TableMJRPCWRIT[],7,FALSE),"")</f>
        <v>Option</v>
      </c>
      <c r="N47" s="211" t="str">
        <f>IFERROR(VLOOKUP(TableHandbook[[#This Row],[UDC]],TableMJRPDGCMS[],7,FALSE),"")</f>
        <v/>
      </c>
      <c r="O47" s="211" t="str">
        <f>IFERROR(VLOOKUP(TableHandbook[[#This Row],[UDC]],TableMJRPFINAR[],7,FALSE),"")</f>
        <v/>
      </c>
      <c r="P47" s="211" t="str">
        <f>IFERROR(VLOOKUP(TableHandbook[[#This Row],[UDC]],TableMJRPPWRIT[],7,FALSE),"")</f>
        <v/>
      </c>
      <c r="Q47" s="211" t="str">
        <f>IFERROR(VLOOKUP(TableHandbook[[#This Row],[UDC]],TableMJRPSCRAR[],7,FALSE),"")</f>
        <v/>
      </c>
      <c r="R47" s="213" t="str">
        <f>IFERROR(VLOOKUP(TableHandbook[[#This Row],[UDC]],TableMCMMJRG[],7,FALSE),"")</f>
        <v/>
      </c>
      <c r="S47" s="211" t="str">
        <f>IFERROR(VLOOKUP(TableHandbook[[#This Row],[UDC]],TableMCMMJRN[],7,FALSE),"")</f>
        <v/>
      </c>
      <c r="T47" s="211" t="str">
        <f>IFERROR(VLOOKUP(TableHandbook[[#This Row],[UDC]],TableGDMMJRN[],7,FALSE),"")</f>
        <v/>
      </c>
      <c r="U47" s="211" t="str">
        <f>IFERROR(VLOOKUP(TableHandbook[[#This Row],[UDC]],TableGCMMJRN[],7,FALSE),"")</f>
        <v/>
      </c>
      <c r="V47" s="213" t="str">
        <f>IFERROR(VLOOKUP(TableHandbook[[#This Row],[UDC]],TableMCHRIGLO[],7,FALSE),"")</f>
        <v/>
      </c>
      <c r="W47" s="211" t="str">
        <f>IFERROR(VLOOKUP(TableHandbook[[#This Row],[UDC]],TableMCHRIGHT[],7,FALSE),"")</f>
        <v/>
      </c>
      <c r="X47" s="211" t="str">
        <f>IFERROR(VLOOKUP(TableHandbook[[#This Row],[UDC]],TableGDHRIGHT[],7,FALSE),"")</f>
        <v/>
      </c>
      <c r="Y47" s="211" t="str">
        <f>IFERROR(VLOOKUP(TableHandbook[[#This Row],[UDC]],TableGCHRIGHT[],7,FALSE),"")</f>
        <v/>
      </c>
      <c r="Z47" s="213" t="str">
        <f>IFERROR(VLOOKUP(TableHandbook[[#This Row],[UDC]],TableMCGLOBL2[],7,FALSE),"")</f>
        <v/>
      </c>
      <c r="AA47" s="211" t="str">
        <f>IFERROR(VLOOKUP(TableHandbook[[#This Row],[UDC]],TableMCGLOBL[],7,FALSE),"")</f>
        <v/>
      </c>
      <c r="AB47" s="211" t="str">
        <f>IFERROR(VLOOKUP(TableHandbook[[#This Row],[UDC]],TableSTRPGLOBL[],7,FALSE),"")</f>
        <v/>
      </c>
      <c r="AC47" s="211" t="str">
        <f>IFERROR(VLOOKUP(TableHandbook[[#This Row],[UDC]],TableSTRPHRIGT[],7,FALSE),"")</f>
        <v/>
      </c>
      <c r="AD47" s="211" t="str">
        <f>IFERROR(VLOOKUP(TableHandbook[[#This Row],[UDC]],TableSTRPINTRN[],7,FALSE),"")</f>
        <v/>
      </c>
      <c r="AE47" s="211" t="str">
        <f>IFERROR(VLOOKUP(TableHandbook[[#This Row],[UDC]],TableGCGLOBL[],7,FALSE),"")</f>
        <v/>
      </c>
      <c r="AF47" s="213" t="str">
        <f>IFERROR(VLOOKUP(TableHandbook[[#This Row],[UDC]],TableMCINTREL[],7,FALSE),"")</f>
        <v/>
      </c>
      <c r="AG47" s="211" t="str">
        <f>IFERROR(VLOOKUP(TableHandbook[[#This Row],[UDC]],TableMCINTSEC[],7,FALSE),"")</f>
        <v/>
      </c>
      <c r="AH47" s="211" t="str">
        <f>IFERROR(VLOOKUP(TableHandbook[[#This Row],[UDC]],TableGDINTSEC[],7,FALSE),"")</f>
        <v/>
      </c>
      <c r="AI47" s="211" t="str">
        <f>IFERROR(VLOOKUP(TableHandbook[[#This Row],[UDC]],TableGCINTSEC[],7,FALSE),"")</f>
        <v/>
      </c>
      <c r="AJ47" s="211" t="str">
        <f>IFERROR(VLOOKUP(TableHandbook[[#This Row],[UDC]],TableGCINTELL[],7,FALSE),"")</f>
        <v/>
      </c>
      <c r="AK47" s="211" t="str">
        <f>IFERROR(VLOOKUP(TableHandbook[[#This Row],[UDC]],TableGCIPCSEC[],7,FALSE),"")</f>
        <v/>
      </c>
    </row>
    <row r="48" spans="1:37" x14ac:dyDescent="0.3">
      <c r="A48" s="2" t="s">
        <v>454</v>
      </c>
      <c r="B48" s="3">
        <v>1</v>
      </c>
      <c r="C48" s="3"/>
      <c r="D48" s="209" t="s">
        <v>455</v>
      </c>
      <c r="E48" s="3">
        <v>25</v>
      </c>
      <c r="F48" s="149" t="s">
        <v>108</v>
      </c>
      <c r="G48" s="96" t="str">
        <f>IFERROR(IF(VLOOKUP(TableHandbook[[#This Row],[UDC]],TableAvailabilities[],2,FALSE)&gt;0,"Y",""),"")</f>
        <v/>
      </c>
      <c r="H48" s="96" t="str">
        <f>IFERROR(IF(VLOOKUP(TableHandbook[[#This Row],[UDC]],TableAvailabilities[],3,FALSE)&gt;0,"Y",""),"")</f>
        <v/>
      </c>
      <c r="I48" s="96" t="str">
        <f>IFERROR(IF(VLOOKUP(TableHandbook[[#This Row],[UDC]],TableAvailabilities[],4,FALSE)&gt;0,"Y",""),"")</f>
        <v/>
      </c>
      <c r="J48" s="96" t="str">
        <f>IFERROR(IF(VLOOKUP(TableHandbook[[#This Row],[UDC]],TableAvailabilities[],5,FALSE)&gt;0,"Y",""),"")</f>
        <v/>
      </c>
      <c r="K48" s="209" t="s">
        <v>436</v>
      </c>
      <c r="L48" s="213" t="str">
        <f>IFERROR(VLOOKUP(TableHandbook[[#This Row],[UDC]],TableMCARTS[],7,FALSE),"")</f>
        <v/>
      </c>
      <c r="M48" s="211" t="str">
        <f>IFERROR(VLOOKUP(TableHandbook[[#This Row],[UDC]],TableMJRPCWRIT[],7,FALSE),"")</f>
        <v/>
      </c>
      <c r="N48" s="211" t="str">
        <f>IFERROR(VLOOKUP(TableHandbook[[#This Row],[UDC]],TableMJRPDGCMS[],7,FALSE),"")</f>
        <v/>
      </c>
      <c r="O48" s="211" t="str">
        <f>IFERROR(VLOOKUP(TableHandbook[[#This Row],[UDC]],TableMJRPFINAR[],7,FALSE),"")</f>
        <v/>
      </c>
      <c r="P48" s="211" t="str">
        <f>IFERROR(VLOOKUP(TableHandbook[[#This Row],[UDC]],TableMJRPPWRIT[],7,FALSE),"")</f>
        <v/>
      </c>
      <c r="Q48" s="211" t="str">
        <f>IFERROR(VLOOKUP(TableHandbook[[#This Row],[UDC]],TableMJRPSCRAR[],7,FALSE),"")</f>
        <v/>
      </c>
      <c r="R48" s="213" t="str">
        <f>IFERROR(VLOOKUP(TableHandbook[[#This Row],[UDC]],TableMCMMJRG[],7,FALSE),"")</f>
        <v/>
      </c>
      <c r="S48" s="211" t="str">
        <f>IFERROR(VLOOKUP(TableHandbook[[#This Row],[UDC]],TableMCMMJRN[],7,FALSE),"")</f>
        <v/>
      </c>
      <c r="T48" s="211" t="str">
        <f>IFERROR(VLOOKUP(TableHandbook[[#This Row],[UDC]],TableGDMMJRN[],7,FALSE),"")</f>
        <v/>
      </c>
      <c r="U48" s="211" t="str">
        <f>IFERROR(VLOOKUP(TableHandbook[[#This Row],[UDC]],TableGCMMJRN[],7,FALSE),"")</f>
        <v/>
      </c>
      <c r="V48" s="213" t="str">
        <f>IFERROR(VLOOKUP(TableHandbook[[#This Row],[UDC]],TableMCHRIGLO[],7,FALSE),"")</f>
        <v/>
      </c>
      <c r="W48" s="211" t="str">
        <f>IFERROR(VLOOKUP(TableHandbook[[#This Row],[UDC]],TableMCHRIGHT[],7,FALSE),"")</f>
        <v/>
      </c>
      <c r="X48" s="211" t="str">
        <f>IFERROR(VLOOKUP(TableHandbook[[#This Row],[UDC]],TableGDHRIGHT[],7,FALSE),"")</f>
        <v/>
      </c>
      <c r="Y48" s="211" t="str">
        <f>IFERROR(VLOOKUP(TableHandbook[[#This Row],[UDC]],TableGCHRIGHT[],7,FALSE),"")</f>
        <v/>
      </c>
      <c r="Z48" s="213" t="str">
        <f>IFERROR(VLOOKUP(TableHandbook[[#This Row],[UDC]],TableMCGLOBL2[],7,FALSE),"")</f>
        <v/>
      </c>
      <c r="AA48" s="211" t="str">
        <f>IFERROR(VLOOKUP(TableHandbook[[#This Row],[UDC]],TableMCGLOBL[],7,FALSE),"")</f>
        <v/>
      </c>
      <c r="AB48" s="211" t="str">
        <f>IFERROR(VLOOKUP(TableHandbook[[#This Row],[UDC]],TableSTRPGLOBL[],7,FALSE),"")</f>
        <v/>
      </c>
      <c r="AC48" s="211" t="str">
        <f>IFERROR(VLOOKUP(TableHandbook[[#This Row],[UDC]],TableSTRPHRIGT[],7,FALSE),"")</f>
        <v/>
      </c>
      <c r="AD48" s="211" t="str">
        <f>IFERROR(VLOOKUP(TableHandbook[[#This Row],[UDC]],TableSTRPINTRN[],7,FALSE),"")</f>
        <v/>
      </c>
      <c r="AE48" s="211" t="str">
        <f>IFERROR(VLOOKUP(TableHandbook[[#This Row],[UDC]],TableGCGLOBL[],7,FALSE),"")</f>
        <v/>
      </c>
      <c r="AF48" s="213" t="str">
        <f>IFERROR(VLOOKUP(TableHandbook[[#This Row],[UDC]],TableMCINTREL[],7,FALSE),"")</f>
        <v/>
      </c>
      <c r="AG48" s="211" t="str">
        <f>IFERROR(VLOOKUP(TableHandbook[[#This Row],[UDC]],TableMCINTSEC[],7,FALSE),"")</f>
        <v/>
      </c>
      <c r="AH48" s="211" t="str">
        <f>IFERROR(VLOOKUP(TableHandbook[[#This Row],[UDC]],TableGDINTSEC[],7,FALSE),"")</f>
        <v/>
      </c>
      <c r="AI48" s="211" t="str">
        <f>IFERROR(VLOOKUP(TableHandbook[[#This Row],[UDC]],TableGCINTSEC[],7,FALSE),"")</f>
        <v/>
      </c>
      <c r="AJ48" s="211" t="str">
        <f>IFERROR(VLOOKUP(TableHandbook[[#This Row],[UDC]],TableGCINTELL[],7,FALSE),"")</f>
        <v/>
      </c>
      <c r="AK48" s="211" t="str">
        <f>IFERROR(VLOOKUP(TableHandbook[[#This Row],[UDC]],TableGCIPCSEC[],7,FALSE),"")</f>
        <v/>
      </c>
    </row>
    <row r="49" spans="1:37" x14ac:dyDescent="0.3">
      <c r="A49" s="231" t="s">
        <v>214</v>
      </c>
      <c r="B49" s="3">
        <v>2</v>
      </c>
      <c r="C49" s="3"/>
      <c r="D49" s="209" t="s">
        <v>456</v>
      </c>
      <c r="E49" s="3">
        <v>25</v>
      </c>
      <c r="F49" s="245" t="s">
        <v>108</v>
      </c>
      <c r="G49" s="96" t="str">
        <f>IFERROR(IF(VLOOKUP(TableHandbook[[#This Row],[UDC]],TableAvailabilities[],2,FALSE)&gt;0,"Y",""),"")</f>
        <v/>
      </c>
      <c r="H49" s="96" t="str">
        <f>IFERROR(IF(VLOOKUP(TableHandbook[[#This Row],[UDC]],TableAvailabilities[],3,FALSE)&gt;0,"Y",""),"")</f>
        <v/>
      </c>
      <c r="I49" s="96" t="str">
        <f>IFERROR(IF(VLOOKUP(TableHandbook[[#This Row],[UDC]],TableAvailabilities[],4,FALSE)&gt;0,"Y",""),"")</f>
        <v>Y</v>
      </c>
      <c r="J49" s="96" t="str">
        <f>IFERROR(IF(VLOOKUP(TableHandbook[[#This Row],[UDC]],TableAvailabilities[],5,FALSE)&gt;0,"Y",""),"")</f>
        <v/>
      </c>
      <c r="K49" s="209" t="s">
        <v>433</v>
      </c>
      <c r="L49" s="213" t="str">
        <f>IFERROR(VLOOKUP(TableHandbook[[#This Row],[UDC]],TableMCARTS[],7,FALSE),"")</f>
        <v/>
      </c>
      <c r="M49" s="211" t="str">
        <f>IFERROR(VLOOKUP(TableHandbook[[#This Row],[UDC]],TableMJRPCWRIT[],7,FALSE),"")</f>
        <v>Option</v>
      </c>
      <c r="N49" s="211" t="str">
        <f>IFERROR(VLOOKUP(TableHandbook[[#This Row],[UDC]],TableMJRPDGCMS[],7,FALSE),"")</f>
        <v/>
      </c>
      <c r="O49" s="211" t="str">
        <f>IFERROR(VLOOKUP(TableHandbook[[#This Row],[UDC]],TableMJRPFINAR[],7,FALSE),"")</f>
        <v/>
      </c>
      <c r="P49" s="211" t="str">
        <f>IFERROR(VLOOKUP(TableHandbook[[#This Row],[UDC]],TableMJRPPWRIT[],7,FALSE),"")</f>
        <v/>
      </c>
      <c r="Q49" s="211" t="str">
        <f>IFERROR(VLOOKUP(TableHandbook[[#This Row],[UDC]],TableMJRPSCRAR[],7,FALSE),"")</f>
        <v/>
      </c>
      <c r="R49" s="213" t="str">
        <f>IFERROR(VLOOKUP(TableHandbook[[#This Row],[UDC]],TableMCMMJRG[],7,FALSE),"")</f>
        <v/>
      </c>
      <c r="S49" s="211" t="str">
        <f>IFERROR(VLOOKUP(TableHandbook[[#This Row],[UDC]],TableMCMMJRN[],7,FALSE),"")</f>
        <v/>
      </c>
      <c r="T49" s="211" t="str">
        <f>IFERROR(VLOOKUP(TableHandbook[[#This Row],[UDC]],TableGDMMJRN[],7,FALSE),"")</f>
        <v/>
      </c>
      <c r="U49" s="211" t="str">
        <f>IFERROR(VLOOKUP(TableHandbook[[#This Row],[UDC]],TableGCMMJRN[],7,FALSE),"")</f>
        <v/>
      </c>
      <c r="V49" s="213" t="str">
        <f>IFERROR(VLOOKUP(TableHandbook[[#This Row],[UDC]],TableMCHRIGLO[],7,FALSE),"")</f>
        <v/>
      </c>
      <c r="W49" s="211" t="str">
        <f>IFERROR(VLOOKUP(TableHandbook[[#This Row],[UDC]],TableMCHRIGHT[],7,FALSE),"")</f>
        <v/>
      </c>
      <c r="X49" s="211" t="str">
        <f>IFERROR(VLOOKUP(TableHandbook[[#This Row],[UDC]],TableGDHRIGHT[],7,FALSE),"")</f>
        <v/>
      </c>
      <c r="Y49" s="211" t="str">
        <f>IFERROR(VLOOKUP(TableHandbook[[#This Row],[UDC]],TableGCHRIGHT[],7,FALSE),"")</f>
        <v/>
      </c>
      <c r="Z49" s="213" t="str">
        <f>IFERROR(VLOOKUP(TableHandbook[[#This Row],[UDC]],TableMCGLOBL2[],7,FALSE),"")</f>
        <v/>
      </c>
      <c r="AA49" s="211" t="str">
        <f>IFERROR(VLOOKUP(TableHandbook[[#This Row],[UDC]],TableMCGLOBL[],7,FALSE),"")</f>
        <v/>
      </c>
      <c r="AB49" s="211" t="str">
        <f>IFERROR(VLOOKUP(TableHandbook[[#This Row],[UDC]],TableSTRPGLOBL[],7,FALSE),"")</f>
        <v/>
      </c>
      <c r="AC49" s="211" t="str">
        <f>IFERROR(VLOOKUP(TableHandbook[[#This Row],[UDC]],TableSTRPHRIGT[],7,FALSE),"")</f>
        <v/>
      </c>
      <c r="AD49" s="211" t="str">
        <f>IFERROR(VLOOKUP(TableHandbook[[#This Row],[UDC]],TableSTRPINTRN[],7,FALSE),"")</f>
        <v/>
      </c>
      <c r="AE49" s="211" t="str">
        <f>IFERROR(VLOOKUP(TableHandbook[[#This Row],[UDC]],TableGCGLOBL[],7,FALSE),"")</f>
        <v/>
      </c>
      <c r="AF49" s="213" t="str">
        <f>IFERROR(VLOOKUP(TableHandbook[[#This Row],[UDC]],TableMCINTREL[],7,FALSE),"")</f>
        <v/>
      </c>
      <c r="AG49" s="211" t="str">
        <f>IFERROR(VLOOKUP(TableHandbook[[#This Row],[UDC]],TableMCINTSEC[],7,FALSE),"")</f>
        <v/>
      </c>
      <c r="AH49" s="211" t="str">
        <f>IFERROR(VLOOKUP(TableHandbook[[#This Row],[UDC]],TableGDINTSEC[],7,FALSE),"")</f>
        <v/>
      </c>
      <c r="AI49" s="211" t="str">
        <f>IFERROR(VLOOKUP(TableHandbook[[#This Row],[UDC]],TableGCINTSEC[],7,FALSE),"")</f>
        <v/>
      </c>
      <c r="AJ49" s="211" t="str">
        <f>IFERROR(VLOOKUP(TableHandbook[[#This Row],[UDC]],TableGCINTELL[],7,FALSE),"")</f>
        <v/>
      </c>
      <c r="AK49" s="211" t="str">
        <f>IFERROR(VLOOKUP(TableHandbook[[#This Row],[UDC]],TableGCIPCSEC[],7,FALSE),"")</f>
        <v/>
      </c>
    </row>
    <row r="50" spans="1:37" x14ac:dyDescent="0.3">
      <c r="A50" s="2" t="s">
        <v>457</v>
      </c>
      <c r="B50" s="3">
        <v>1</v>
      </c>
      <c r="C50" s="3"/>
      <c r="D50" s="209" t="s">
        <v>458</v>
      </c>
      <c r="E50" s="3">
        <v>25</v>
      </c>
      <c r="F50" s="149" t="s">
        <v>108</v>
      </c>
      <c r="G50" s="96" t="str">
        <f>IFERROR(IF(VLOOKUP(TableHandbook[[#This Row],[UDC]],TableAvailabilities[],2,FALSE)&gt;0,"Y",""),"")</f>
        <v/>
      </c>
      <c r="H50" s="96" t="str">
        <f>IFERROR(IF(VLOOKUP(TableHandbook[[#This Row],[UDC]],TableAvailabilities[],3,FALSE)&gt;0,"Y",""),"")</f>
        <v/>
      </c>
      <c r="I50" s="96" t="str">
        <f>IFERROR(IF(VLOOKUP(TableHandbook[[#This Row],[UDC]],TableAvailabilities[],4,FALSE)&gt;0,"Y",""),"")</f>
        <v/>
      </c>
      <c r="J50" s="96" t="str">
        <f>IFERROR(IF(VLOOKUP(TableHandbook[[#This Row],[UDC]],TableAvailabilities[],5,FALSE)&gt;0,"Y",""),"")</f>
        <v/>
      </c>
      <c r="K50" s="209" t="s">
        <v>436</v>
      </c>
      <c r="L50" s="213" t="str">
        <f>IFERROR(VLOOKUP(TableHandbook[[#This Row],[UDC]],TableMCARTS[],7,FALSE),"")</f>
        <v/>
      </c>
      <c r="M50" s="211" t="str">
        <f>IFERROR(VLOOKUP(TableHandbook[[#This Row],[UDC]],TableMJRPCWRIT[],7,FALSE),"")</f>
        <v/>
      </c>
      <c r="N50" s="211" t="str">
        <f>IFERROR(VLOOKUP(TableHandbook[[#This Row],[UDC]],TableMJRPDGCMS[],7,FALSE),"")</f>
        <v/>
      </c>
      <c r="O50" s="211" t="str">
        <f>IFERROR(VLOOKUP(TableHandbook[[#This Row],[UDC]],TableMJRPFINAR[],7,FALSE),"")</f>
        <v/>
      </c>
      <c r="P50" s="211" t="str">
        <f>IFERROR(VLOOKUP(TableHandbook[[#This Row],[UDC]],TableMJRPPWRIT[],7,FALSE),"")</f>
        <v/>
      </c>
      <c r="Q50" s="211" t="str">
        <f>IFERROR(VLOOKUP(TableHandbook[[#This Row],[UDC]],TableMJRPSCRAR[],7,FALSE),"")</f>
        <v/>
      </c>
      <c r="R50" s="213" t="str">
        <f>IFERROR(VLOOKUP(TableHandbook[[#This Row],[UDC]],TableMCMMJRG[],7,FALSE),"")</f>
        <v/>
      </c>
      <c r="S50" s="211" t="str">
        <f>IFERROR(VLOOKUP(TableHandbook[[#This Row],[UDC]],TableMCMMJRN[],7,FALSE),"")</f>
        <v/>
      </c>
      <c r="T50" s="211" t="str">
        <f>IFERROR(VLOOKUP(TableHandbook[[#This Row],[UDC]],TableGDMMJRN[],7,FALSE),"")</f>
        <v/>
      </c>
      <c r="U50" s="211" t="str">
        <f>IFERROR(VLOOKUP(TableHandbook[[#This Row],[UDC]],TableGCMMJRN[],7,FALSE),"")</f>
        <v/>
      </c>
      <c r="V50" s="213" t="str">
        <f>IFERROR(VLOOKUP(TableHandbook[[#This Row],[UDC]],TableMCHRIGLO[],7,FALSE),"")</f>
        <v/>
      </c>
      <c r="W50" s="211" t="str">
        <f>IFERROR(VLOOKUP(TableHandbook[[#This Row],[UDC]],TableMCHRIGHT[],7,FALSE),"")</f>
        <v/>
      </c>
      <c r="X50" s="211" t="str">
        <f>IFERROR(VLOOKUP(TableHandbook[[#This Row],[UDC]],TableGDHRIGHT[],7,FALSE),"")</f>
        <v/>
      </c>
      <c r="Y50" s="211" t="str">
        <f>IFERROR(VLOOKUP(TableHandbook[[#This Row],[UDC]],TableGCHRIGHT[],7,FALSE),"")</f>
        <v/>
      </c>
      <c r="Z50" s="213" t="str">
        <f>IFERROR(VLOOKUP(TableHandbook[[#This Row],[UDC]],TableMCGLOBL2[],7,FALSE),"")</f>
        <v/>
      </c>
      <c r="AA50" s="211" t="str">
        <f>IFERROR(VLOOKUP(TableHandbook[[#This Row],[UDC]],TableMCGLOBL[],7,FALSE),"")</f>
        <v/>
      </c>
      <c r="AB50" s="211" t="str">
        <f>IFERROR(VLOOKUP(TableHandbook[[#This Row],[UDC]],TableSTRPGLOBL[],7,FALSE),"")</f>
        <v/>
      </c>
      <c r="AC50" s="211" t="str">
        <f>IFERROR(VLOOKUP(TableHandbook[[#This Row],[UDC]],TableSTRPHRIGT[],7,FALSE),"")</f>
        <v/>
      </c>
      <c r="AD50" s="211" t="str">
        <f>IFERROR(VLOOKUP(TableHandbook[[#This Row],[UDC]],TableSTRPINTRN[],7,FALSE),"")</f>
        <v/>
      </c>
      <c r="AE50" s="211" t="str">
        <f>IFERROR(VLOOKUP(TableHandbook[[#This Row],[UDC]],TableGCGLOBL[],7,FALSE),"")</f>
        <v/>
      </c>
      <c r="AF50" s="213" t="str">
        <f>IFERROR(VLOOKUP(TableHandbook[[#This Row],[UDC]],TableMCINTREL[],7,FALSE),"")</f>
        <v/>
      </c>
      <c r="AG50" s="211" t="str">
        <f>IFERROR(VLOOKUP(TableHandbook[[#This Row],[UDC]],TableMCINTSEC[],7,FALSE),"")</f>
        <v/>
      </c>
      <c r="AH50" s="211" t="str">
        <f>IFERROR(VLOOKUP(TableHandbook[[#This Row],[UDC]],TableGDINTSEC[],7,FALSE),"")</f>
        <v/>
      </c>
      <c r="AI50" s="211" t="str">
        <f>IFERROR(VLOOKUP(TableHandbook[[#This Row],[UDC]],TableGCINTSEC[],7,FALSE),"")</f>
        <v/>
      </c>
      <c r="AJ50" s="211" t="str">
        <f>IFERROR(VLOOKUP(TableHandbook[[#This Row],[UDC]],TableGCINTELL[],7,FALSE),"")</f>
        <v/>
      </c>
      <c r="AK50" s="211" t="str">
        <f>IFERROR(VLOOKUP(TableHandbook[[#This Row],[UDC]],TableGCIPCSEC[],7,FALSE),"")</f>
        <v/>
      </c>
    </row>
    <row r="51" spans="1:37" x14ac:dyDescent="0.3">
      <c r="A51" s="231" t="s">
        <v>218</v>
      </c>
      <c r="B51" s="3">
        <v>2</v>
      </c>
      <c r="C51" s="3"/>
      <c r="D51" s="209" t="s">
        <v>459</v>
      </c>
      <c r="E51" s="3">
        <v>25</v>
      </c>
      <c r="F51" s="245" t="s">
        <v>108</v>
      </c>
      <c r="G51" s="96" t="str">
        <f>IFERROR(IF(VLOOKUP(TableHandbook[[#This Row],[UDC]],TableAvailabilities[],2,FALSE)&gt;0,"Y",""),"")</f>
        <v>Y</v>
      </c>
      <c r="H51" s="96" t="str">
        <f>IFERROR(IF(VLOOKUP(TableHandbook[[#This Row],[UDC]],TableAvailabilities[],3,FALSE)&gt;0,"Y",""),"")</f>
        <v/>
      </c>
      <c r="I51" s="96" t="str">
        <f>IFERROR(IF(VLOOKUP(TableHandbook[[#This Row],[UDC]],TableAvailabilities[],4,FALSE)&gt;0,"Y",""),"")</f>
        <v/>
      </c>
      <c r="J51" s="96" t="str">
        <f>IFERROR(IF(VLOOKUP(TableHandbook[[#This Row],[UDC]],TableAvailabilities[],5,FALSE)&gt;0,"Y",""),"")</f>
        <v/>
      </c>
      <c r="K51" s="209" t="s">
        <v>433</v>
      </c>
      <c r="L51" s="213" t="str">
        <f>IFERROR(VLOOKUP(TableHandbook[[#This Row],[UDC]],TableMCARTS[],7,FALSE),"")</f>
        <v/>
      </c>
      <c r="M51" s="211" t="str">
        <f>IFERROR(VLOOKUP(TableHandbook[[#This Row],[UDC]],TableMJRPCWRIT[],7,FALSE),"")</f>
        <v>Option</v>
      </c>
      <c r="N51" s="211" t="str">
        <f>IFERROR(VLOOKUP(TableHandbook[[#This Row],[UDC]],TableMJRPDGCMS[],7,FALSE),"")</f>
        <v/>
      </c>
      <c r="O51" s="211" t="str">
        <f>IFERROR(VLOOKUP(TableHandbook[[#This Row],[UDC]],TableMJRPFINAR[],7,FALSE),"")</f>
        <v/>
      </c>
      <c r="P51" s="211" t="str">
        <f>IFERROR(VLOOKUP(TableHandbook[[#This Row],[UDC]],TableMJRPPWRIT[],7,FALSE),"")</f>
        <v/>
      </c>
      <c r="Q51" s="211" t="str">
        <f>IFERROR(VLOOKUP(TableHandbook[[#This Row],[UDC]],TableMJRPSCRAR[],7,FALSE),"")</f>
        <v/>
      </c>
      <c r="R51" s="213" t="str">
        <f>IFERROR(VLOOKUP(TableHandbook[[#This Row],[UDC]],TableMCMMJRG[],7,FALSE),"")</f>
        <v/>
      </c>
      <c r="S51" s="211" t="str">
        <f>IFERROR(VLOOKUP(TableHandbook[[#This Row],[UDC]],TableMCMMJRN[],7,FALSE),"")</f>
        <v/>
      </c>
      <c r="T51" s="211" t="str">
        <f>IFERROR(VLOOKUP(TableHandbook[[#This Row],[UDC]],TableGDMMJRN[],7,FALSE),"")</f>
        <v/>
      </c>
      <c r="U51" s="211" t="str">
        <f>IFERROR(VLOOKUP(TableHandbook[[#This Row],[UDC]],TableGCMMJRN[],7,FALSE),"")</f>
        <v/>
      </c>
      <c r="V51" s="213" t="str">
        <f>IFERROR(VLOOKUP(TableHandbook[[#This Row],[UDC]],TableMCHRIGLO[],7,FALSE),"")</f>
        <v/>
      </c>
      <c r="W51" s="211" t="str">
        <f>IFERROR(VLOOKUP(TableHandbook[[#This Row],[UDC]],TableMCHRIGHT[],7,FALSE),"")</f>
        <v/>
      </c>
      <c r="X51" s="211" t="str">
        <f>IFERROR(VLOOKUP(TableHandbook[[#This Row],[UDC]],TableGDHRIGHT[],7,FALSE),"")</f>
        <v/>
      </c>
      <c r="Y51" s="211" t="str">
        <f>IFERROR(VLOOKUP(TableHandbook[[#This Row],[UDC]],TableGCHRIGHT[],7,FALSE),"")</f>
        <v/>
      </c>
      <c r="Z51" s="213" t="str">
        <f>IFERROR(VLOOKUP(TableHandbook[[#This Row],[UDC]],TableMCGLOBL2[],7,FALSE),"")</f>
        <v/>
      </c>
      <c r="AA51" s="211" t="str">
        <f>IFERROR(VLOOKUP(TableHandbook[[#This Row],[UDC]],TableMCGLOBL[],7,FALSE),"")</f>
        <v/>
      </c>
      <c r="AB51" s="211" t="str">
        <f>IFERROR(VLOOKUP(TableHandbook[[#This Row],[UDC]],TableSTRPGLOBL[],7,FALSE),"")</f>
        <v/>
      </c>
      <c r="AC51" s="211" t="str">
        <f>IFERROR(VLOOKUP(TableHandbook[[#This Row],[UDC]],TableSTRPHRIGT[],7,FALSE),"")</f>
        <v/>
      </c>
      <c r="AD51" s="211" t="str">
        <f>IFERROR(VLOOKUP(TableHandbook[[#This Row],[UDC]],TableSTRPINTRN[],7,FALSE),"")</f>
        <v/>
      </c>
      <c r="AE51" s="211" t="str">
        <f>IFERROR(VLOOKUP(TableHandbook[[#This Row],[UDC]],TableGCGLOBL[],7,FALSE),"")</f>
        <v/>
      </c>
      <c r="AF51" s="213" t="str">
        <f>IFERROR(VLOOKUP(TableHandbook[[#This Row],[UDC]],TableMCINTREL[],7,FALSE),"")</f>
        <v/>
      </c>
      <c r="AG51" s="211" t="str">
        <f>IFERROR(VLOOKUP(TableHandbook[[#This Row],[UDC]],TableMCINTSEC[],7,FALSE),"")</f>
        <v/>
      </c>
      <c r="AH51" s="211" t="str">
        <f>IFERROR(VLOOKUP(TableHandbook[[#This Row],[UDC]],TableGDINTSEC[],7,FALSE),"")</f>
        <v/>
      </c>
      <c r="AI51" s="211" t="str">
        <f>IFERROR(VLOOKUP(TableHandbook[[#This Row],[UDC]],TableGCINTSEC[],7,FALSE),"")</f>
        <v/>
      </c>
      <c r="AJ51" s="211" t="str">
        <f>IFERROR(VLOOKUP(TableHandbook[[#This Row],[UDC]],TableGCINTELL[],7,FALSE),"")</f>
        <v/>
      </c>
      <c r="AK51" s="211" t="str">
        <f>IFERROR(VLOOKUP(TableHandbook[[#This Row],[UDC]],TableGCIPCSEC[],7,FALSE),"")</f>
        <v/>
      </c>
    </row>
    <row r="52" spans="1:37" x14ac:dyDescent="0.3">
      <c r="A52" s="2" t="s">
        <v>460</v>
      </c>
      <c r="B52" s="3">
        <v>1</v>
      </c>
      <c r="C52" s="3"/>
      <c r="D52" s="209" t="s">
        <v>461</v>
      </c>
      <c r="E52" s="3">
        <v>25</v>
      </c>
      <c r="F52" s="149" t="s">
        <v>108</v>
      </c>
      <c r="G52" s="96" t="str">
        <f>IFERROR(IF(VLOOKUP(TableHandbook[[#This Row],[UDC]],TableAvailabilities[],2,FALSE)&gt;0,"Y",""),"")</f>
        <v/>
      </c>
      <c r="H52" s="96" t="str">
        <f>IFERROR(IF(VLOOKUP(TableHandbook[[#This Row],[UDC]],TableAvailabilities[],3,FALSE)&gt;0,"Y",""),"")</f>
        <v/>
      </c>
      <c r="I52" s="96" t="str">
        <f>IFERROR(IF(VLOOKUP(TableHandbook[[#This Row],[UDC]],TableAvailabilities[],4,FALSE)&gt;0,"Y",""),"")</f>
        <v/>
      </c>
      <c r="J52" s="96" t="str">
        <f>IFERROR(IF(VLOOKUP(TableHandbook[[#This Row],[UDC]],TableAvailabilities[],5,FALSE)&gt;0,"Y",""),"")</f>
        <v/>
      </c>
      <c r="K52" s="209" t="s">
        <v>436</v>
      </c>
      <c r="L52" s="213" t="str">
        <f>IFERROR(VLOOKUP(TableHandbook[[#This Row],[UDC]],TableMCARTS[],7,FALSE),"")</f>
        <v/>
      </c>
      <c r="M52" s="211" t="str">
        <f>IFERROR(VLOOKUP(TableHandbook[[#This Row],[UDC]],TableMJRPCWRIT[],7,FALSE),"")</f>
        <v/>
      </c>
      <c r="N52" s="211" t="str">
        <f>IFERROR(VLOOKUP(TableHandbook[[#This Row],[UDC]],TableMJRPDGCMS[],7,FALSE),"")</f>
        <v/>
      </c>
      <c r="O52" s="211" t="str">
        <f>IFERROR(VLOOKUP(TableHandbook[[#This Row],[UDC]],TableMJRPFINAR[],7,FALSE),"")</f>
        <v/>
      </c>
      <c r="P52" s="211" t="str">
        <f>IFERROR(VLOOKUP(TableHandbook[[#This Row],[UDC]],TableMJRPPWRIT[],7,FALSE),"")</f>
        <v/>
      </c>
      <c r="Q52" s="211" t="str">
        <f>IFERROR(VLOOKUP(TableHandbook[[#This Row],[UDC]],TableMJRPSCRAR[],7,FALSE),"")</f>
        <v/>
      </c>
      <c r="R52" s="213" t="str">
        <f>IFERROR(VLOOKUP(TableHandbook[[#This Row],[UDC]],TableMCMMJRG[],7,FALSE),"")</f>
        <v/>
      </c>
      <c r="S52" s="211" t="str">
        <f>IFERROR(VLOOKUP(TableHandbook[[#This Row],[UDC]],TableMCMMJRN[],7,FALSE),"")</f>
        <v/>
      </c>
      <c r="T52" s="211" t="str">
        <f>IFERROR(VLOOKUP(TableHandbook[[#This Row],[UDC]],TableGDMMJRN[],7,FALSE),"")</f>
        <v/>
      </c>
      <c r="U52" s="211" t="str">
        <f>IFERROR(VLOOKUP(TableHandbook[[#This Row],[UDC]],TableGCMMJRN[],7,FALSE),"")</f>
        <v/>
      </c>
      <c r="V52" s="213" t="str">
        <f>IFERROR(VLOOKUP(TableHandbook[[#This Row],[UDC]],TableMCHRIGLO[],7,FALSE),"")</f>
        <v/>
      </c>
      <c r="W52" s="211" t="str">
        <f>IFERROR(VLOOKUP(TableHandbook[[#This Row],[UDC]],TableMCHRIGHT[],7,FALSE),"")</f>
        <v/>
      </c>
      <c r="X52" s="211" t="str">
        <f>IFERROR(VLOOKUP(TableHandbook[[#This Row],[UDC]],TableGDHRIGHT[],7,FALSE),"")</f>
        <v/>
      </c>
      <c r="Y52" s="211" t="str">
        <f>IFERROR(VLOOKUP(TableHandbook[[#This Row],[UDC]],TableGCHRIGHT[],7,FALSE),"")</f>
        <v/>
      </c>
      <c r="Z52" s="213" t="str">
        <f>IFERROR(VLOOKUP(TableHandbook[[#This Row],[UDC]],TableMCGLOBL2[],7,FALSE),"")</f>
        <v/>
      </c>
      <c r="AA52" s="211" t="str">
        <f>IFERROR(VLOOKUP(TableHandbook[[#This Row],[UDC]],TableMCGLOBL[],7,FALSE),"")</f>
        <v/>
      </c>
      <c r="AB52" s="211" t="str">
        <f>IFERROR(VLOOKUP(TableHandbook[[#This Row],[UDC]],TableSTRPGLOBL[],7,FALSE),"")</f>
        <v/>
      </c>
      <c r="AC52" s="211" t="str">
        <f>IFERROR(VLOOKUP(TableHandbook[[#This Row],[UDC]],TableSTRPHRIGT[],7,FALSE),"")</f>
        <v/>
      </c>
      <c r="AD52" s="211" t="str">
        <f>IFERROR(VLOOKUP(TableHandbook[[#This Row],[UDC]],TableSTRPINTRN[],7,FALSE),"")</f>
        <v/>
      </c>
      <c r="AE52" s="211" t="str">
        <f>IFERROR(VLOOKUP(TableHandbook[[#This Row],[UDC]],TableGCGLOBL[],7,FALSE),"")</f>
        <v/>
      </c>
      <c r="AF52" s="213" t="str">
        <f>IFERROR(VLOOKUP(TableHandbook[[#This Row],[UDC]],TableMCINTREL[],7,FALSE),"")</f>
        <v/>
      </c>
      <c r="AG52" s="211" t="str">
        <f>IFERROR(VLOOKUP(TableHandbook[[#This Row],[UDC]],TableMCINTSEC[],7,FALSE),"")</f>
        <v/>
      </c>
      <c r="AH52" s="211" t="str">
        <f>IFERROR(VLOOKUP(TableHandbook[[#This Row],[UDC]],TableGDINTSEC[],7,FALSE),"")</f>
        <v/>
      </c>
      <c r="AI52" s="211" t="str">
        <f>IFERROR(VLOOKUP(TableHandbook[[#This Row],[UDC]],TableGCINTSEC[],7,FALSE),"")</f>
        <v/>
      </c>
      <c r="AJ52" s="211" t="str">
        <f>IFERROR(VLOOKUP(TableHandbook[[#This Row],[UDC]],TableGCINTELL[],7,FALSE),"")</f>
        <v/>
      </c>
      <c r="AK52" s="211" t="str">
        <f>IFERROR(VLOOKUP(TableHandbook[[#This Row],[UDC]],TableGCIPCSEC[],7,FALSE),"")</f>
        <v/>
      </c>
    </row>
    <row r="53" spans="1:37" x14ac:dyDescent="0.3">
      <c r="A53" s="231" t="s">
        <v>158</v>
      </c>
      <c r="B53" s="3">
        <v>3</v>
      </c>
      <c r="C53" s="3"/>
      <c r="D53" s="209" t="s">
        <v>462</v>
      </c>
      <c r="E53" s="3">
        <v>25</v>
      </c>
      <c r="F53" s="245" t="s">
        <v>108</v>
      </c>
      <c r="G53" s="96" t="str">
        <f>IFERROR(IF(VLOOKUP(TableHandbook[[#This Row],[UDC]],TableAvailabilities[],2,FALSE)&gt;0,"Y",""),"")</f>
        <v/>
      </c>
      <c r="H53" s="96" t="str">
        <f>IFERROR(IF(VLOOKUP(TableHandbook[[#This Row],[UDC]],TableAvailabilities[],3,FALSE)&gt;0,"Y",""),"")</f>
        <v/>
      </c>
      <c r="I53" s="96" t="str">
        <f>IFERROR(IF(VLOOKUP(TableHandbook[[#This Row],[UDC]],TableAvailabilities[],4,FALSE)&gt;0,"Y",""),"")</f>
        <v>Y</v>
      </c>
      <c r="J53" s="96" t="str">
        <f>IFERROR(IF(VLOOKUP(TableHandbook[[#This Row],[UDC]],TableAvailabilities[],5,FALSE)&gt;0,"Y",""),"")</f>
        <v>Y</v>
      </c>
      <c r="K53" s="209" t="s">
        <v>433</v>
      </c>
      <c r="L53" s="213" t="str">
        <f>IFERROR(VLOOKUP(TableHandbook[[#This Row],[UDC]],TableMCARTS[],7,FALSE),"")</f>
        <v/>
      </c>
      <c r="M53" s="211" t="str">
        <f>IFERROR(VLOOKUP(TableHandbook[[#This Row],[UDC]],TableMJRPCWRIT[],7,FALSE),"")</f>
        <v>Option</v>
      </c>
      <c r="N53" s="211" t="str">
        <f>IFERROR(VLOOKUP(TableHandbook[[#This Row],[UDC]],TableMJRPDGCMS[],7,FALSE),"")</f>
        <v/>
      </c>
      <c r="O53" s="211" t="str">
        <f>IFERROR(VLOOKUP(TableHandbook[[#This Row],[UDC]],TableMJRPFINAR[],7,FALSE),"")</f>
        <v/>
      </c>
      <c r="P53" s="211" t="str">
        <f>IFERROR(VLOOKUP(TableHandbook[[#This Row],[UDC]],TableMJRPPWRIT[],7,FALSE),"")</f>
        <v>Option</v>
      </c>
      <c r="Q53" s="211" t="str">
        <f>IFERROR(VLOOKUP(TableHandbook[[#This Row],[UDC]],TableMJRPSCRAR[],7,FALSE),"")</f>
        <v>AltCore</v>
      </c>
      <c r="R53" s="213" t="str">
        <f>IFERROR(VLOOKUP(TableHandbook[[#This Row],[UDC]],TableMCMMJRG[],7,FALSE),"")</f>
        <v/>
      </c>
      <c r="S53" s="211" t="str">
        <f>IFERROR(VLOOKUP(TableHandbook[[#This Row],[UDC]],TableMCMMJRN[],7,FALSE),"")</f>
        <v/>
      </c>
      <c r="T53" s="211" t="str">
        <f>IFERROR(VLOOKUP(TableHandbook[[#This Row],[UDC]],TableGDMMJRN[],7,FALSE),"")</f>
        <v/>
      </c>
      <c r="U53" s="211" t="str">
        <f>IFERROR(VLOOKUP(TableHandbook[[#This Row],[UDC]],TableGCMMJRN[],7,FALSE),"")</f>
        <v/>
      </c>
      <c r="V53" s="213" t="str">
        <f>IFERROR(VLOOKUP(TableHandbook[[#This Row],[UDC]],TableMCHRIGLO[],7,FALSE),"")</f>
        <v/>
      </c>
      <c r="W53" s="211" t="str">
        <f>IFERROR(VLOOKUP(TableHandbook[[#This Row],[UDC]],TableMCHRIGHT[],7,FALSE),"")</f>
        <v/>
      </c>
      <c r="X53" s="211" t="str">
        <f>IFERROR(VLOOKUP(TableHandbook[[#This Row],[UDC]],TableGDHRIGHT[],7,FALSE),"")</f>
        <v/>
      </c>
      <c r="Y53" s="211" t="str">
        <f>IFERROR(VLOOKUP(TableHandbook[[#This Row],[UDC]],TableGCHRIGHT[],7,FALSE),"")</f>
        <v/>
      </c>
      <c r="Z53" s="213" t="str">
        <f>IFERROR(VLOOKUP(TableHandbook[[#This Row],[UDC]],TableMCGLOBL2[],7,FALSE),"")</f>
        <v/>
      </c>
      <c r="AA53" s="211" t="str">
        <f>IFERROR(VLOOKUP(TableHandbook[[#This Row],[UDC]],TableMCGLOBL[],7,FALSE),"")</f>
        <v/>
      </c>
      <c r="AB53" s="211" t="str">
        <f>IFERROR(VLOOKUP(TableHandbook[[#This Row],[UDC]],TableSTRPGLOBL[],7,FALSE),"")</f>
        <v/>
      </c>
      <c r="AC53" s="211" t="str">
        <f>IFERROR(VLOOKUP(TableHandbook[[#This Row],[UDC]],TableSTRPHRIGT[],7,FALSE),"")</f>
        <v/>
      </c>
      <c r="AD53" s="211" t="str">
        <f>IFERROR(VLOOKUP(TableHandbook[[#This Row],[UDC]],TableSTRPINTRN[],7,FALSE),"")</f>
        <v/>
      </c>
      <c r="AE53" s="211" t="str">
        <f>IFERROR(VLOOKUP(TableHandbook[[#This Row],[UDC]],TableGCGLOBL[],7,FALSE),"")</f>
        <v/>
      </c>
      <c r="AF53" s="213" t="str">
        <f>IFERROR(VLOOKUP(TableHandbook[[#This Row],[UDC]],TableMCINTREL[],7,FALSE),"")</f>
        <v/>
      </c>
      <c r="AG53" s="211" t="str">
        <f>IFERROR(VLOOKUP(TableHandbook[[#This Row],[UDC]],TableMCINTSEC[],7,FALSE),"")</f>
        <v/>
      </c>
      <c r="AH53" s="211" t="str">
        <f>IFERROR(VLOOKUP(TableHandbook[[#This Row],[UDC]],TableGDINTSEC[],7,FALSE),"")</f>
        <v/>
      </c>
      <c r="AI53" s="211" t="str">
        <f>IFERROR(VLOOKUP(TableHandbook[[#This Row],[UDC]],TableGCINTSEC[],7,FALSE),"")</f>
        <v/>
      </c>
      <c r="AJ53" s="211" t="str">
        <f>IFERROR(VLOOKUP(TableHandbook[[#This Row],[UDC]],TableGCINTELL[],7,FALSE),"")</f>
        <v/>
      </c>
      <c r="AK53" s="211" t="str">
        <f>IFERROR(VLOOKUP(TableHandbook[[#This Row],[UDC]],TableGCIPCSEC[],7,FALSE),"")</f>
        <v/>
      </c>
    </row>
    <row r="54" spans="1:37" x14ac:dyDescent="0.3">
      <c r="A54" s="2" t="s">
        <v>463</v>
      </c>
      <c r="B54" s="3">
        <v>2</v>
      </c>
      <c r="C54" s="3"/>
      <c r="D54" s="209" t="s">
        <v>464</v>
      </c>
      <c r="E54" s="3">
        <v>25</v>
      </c>
      <c r="F54" s="149" t="s">
        <v>108</v>
      </c>
      <c r="G54" s="96" t="str">
        <f>IFERROR(IF(VLOOKUP(TableHandbook[[#This Row],[UDC]],TableAvailabilities[],2,FALSE)&gt;0,"Y",""),"")</f>
        <v/>
      </c>
      <c r="H54" s="96" t="str">
        <f>IFERROR(IF(VLOOKUP(TableHandbook[[#This Row],[UDC]],TableAvailabilities[],3,FALSE)&gt;0,"Y",""),"")</f>
        <v/>
      </c>
      <c r="I54" s="96" t="str">
        <f>IFERROR(IF(VLOOKUP(TableHandbook[[#This Row],[UDC]],TableAvailabilities[],4,FALSE)&gt;0,"Y",""),"")</f>
        <v/>
      </c>
      <c r="J54" s="96" t="str">
        <f>IFERROR(IF(VLOOKUP(TableHandbook[[#This Row],[UDC]],TableAvailabilities[],5,FALSE)&gt;0,"Y",""),"")</f>
        <v/>
      </c>
      <c r="K54" s="209" t="s">
        <v>436</v>
      </c>
      <c r="L54" s="213" t="str">
        <f>IFERROR(VLOOKUP(TableHandbook[[#This Row],[UDC]],TableMCARTS[],7,FALSE),"")</f>
        <v/>
      </c>
      <c r="M54" s="211" t="str">
        <f>IFERROR(VLOOKUP(TableHandbook[[#This Row],[UDC]],TableMJRPCWRIT[],7,FALSE),"")</f>
        <v/>
      </c>
      <c r="N54" s="211" t="str">
        <f>IFERROR(VLOOKUP(TableHandbook[[#This Row],[UDC]],TableMJRPDGCMS[],7,FALSE),"")</f>
        <v/>
      </c>
      <c r="O54" s="211" t="str">
        <f>IFERROR(VLOOKUP(TableHandbook[[#This Row],[UDC]],TableMJRPFINAR[],7,FALSE),"")</f>
        <v/>
      </c>
      <c r="P54" s="211" t="str">
        <f>IFERROR(VLOOKUP(TableHandbook[[#This Row],[UDC]],TableMJRPPWRIT[],7,FALSE),"")</f>
        <v/>
      </c>
      <c r="Q54" s="211" t="str">
        <f>IFERROR(VLOOKUP(TableHandbook[[#This Row],[UDC]],TableMJRPSCRAR[],7,FALSE),"")</f>
        <v/>
      </c>
      <c r="R54" s="213" t="str">
        <f>IFERROR(VLOOKUP(TableHandbook[[#This Row],[UDC]],TableMCMMJRG[],7,FALSE),"")</f>
        <v/>
      </c>
      <c r="S54" s="211" t="str">
        <f>IFERROR(VLOOKUP(TableHandbook[[#This Row],[UDC]],TableMCMMJRN[],7,FALSE),"")</f>
        <v/>
      </c>
      <c r="T54" s="211" t="str">
        <f>IFERROR(VLOOKUP(TableHandbook[[#This Row],[UDC]],TableGDMMJRN[],7,FALSE),"")</f>
        <v/>
      </c>
      <c r="U54" s="211" t="str">
        <f>IFERROR(VLOOKUP(TableHandbook[[#This Row],[UDC]],TableGCMMJRN[],7,FALSE),"")</f>
        <v/>
      </c>
      <c r="V54" s="213" t="str">
        <f>IFERROR(VLOOKUP(TableHandbook[[#This Row],[UDC]],TableMCHRIGLO[],7,FALSE),"")</f>
        <v/>
      </c>
      <c r="W54" s="211" t="str">
        <f>IFERROR(VLOOKUP(TableHandbook[[#This Row],[UDC]],TableMCHRIGHT[],7,FALSE),"")</f>
        <v/>
      </c>
      <c r="X54" s="211" t="str">
        <f>IFERROR(VLOOKUP(TableHandbook[[#This Row],[UDC]],TableGDHRIGHT[],7,FALSE),"")</f>
        <v/>
      </c>
      <c r="Y54" s="211" t="str">
        <f>IFERROR(VLOOKUP(TableHandbook[[#This Row],[UDC]],TableGCHRIGHT[],7,FALSE),"")</f>
        <v/>
      </c>
      <c r="Z54" s="213" t="str">
        <f>IFERROR(VLOOKUP(TableHandbook[[#This Row],[UDC]],TableMCGLOBL2[],7,FALSE),"")</f>
        <v/>
      </c>
      <c r="AA54" s="211" t="str">
        <f>IFERROR(VLOOKUP(TableHandbook[[#This Row],[UDC]],TableMCGLOBL[],7,FALSE),"")</f>
        <v/>
      </c>
      <c r="AB54" s="211" t="str">
        <f>IFERROR(VLOOKUP(TableHandbook[[#This Row],[UDC]],TableSTRPGLOBL[],7,FALSE),"")</f>
        <v/>
      </c>
      <c r="AC54" s="211" t="str">
        <f>IFERROR(VLOOKUP(TableHandbook[[#This Row],[UDC]],TableSTRPHRIGT[],7,FALSE),"")</f>
        <v/>
      </c>
      <c r="AD54" s="211" t="str">
        <f>IFERROR(VLOOKUP(TableHandbook[[#This Row],[UDC]],TableSTRPINTRN[],7,FALSE),"")</f>
        <v/>
      </c>
      <c r="AE54" s="211" t="str">
        <f>IFERROR(VLOOKUP(TableHandbook[[#This Row],[UDC]],TableGCGLOBL[],7,FALSE),"")</f>
        <v/>
      </c>
      <c r="AF54" s="213" t="str">
        <f>IFERROR(VLOOKUP(TableHandbook[[#This Row],[UDC]],TableMCINTREL[],7,FALSE),"")</f>
        <v/>
      </c>
      <c r="AG54" s="211" t="str">
        <f>IFERROR(VLOOKUP(TableHandbook[[#This Row],[UDC]],TableMCINTSEC[],7,FALSE),"")</f>
        <v/>
      </c>
      <c r="AH54" s="211" t="str">
        <f>IFERROR(VLOOKUP(TableHandbook[[#This Row],[UDC]],TableGDINTSEC[],7,FALSE),"")</f>
        <v/>
      </c>
      <c r="AI54" s="211" t="str">
        <f>IFERROR(VLOOKUP(TableHandbook[[#This Row],[UDC]],TableGCINTSEC[],7,FALSE),"")</f>
        <v/>
      </c>
      <c r="AJ54" s="211" t="str">
        <f>IFERROR(VLOOKUP(TableHandbook[[#This Row],[UDC]],TableGCINTELL[],7,FALSE),"")</f>
        <v/>
      </c>
      <c r="AK54" s="211" t="str">
        <f>IFERROR(VLOOKUP(TableHandbook[[#This Row],[UDC]],TableGCIPCSEC[],7,FALSE),"")</f>
        <v/>
      </c>
    </row>
    <row r="55" spans="1:37" x14ac:dyDescent="0.3">
      <c r="A55" s="2" t="s">
        <v>276</v>
      </c>
      <c r="B55" s="3"/>
      <c r="C55" s="3"/>
      <c r="D55" s="209" t="s">
        <v>465</v>
      </c>
      <c r="E55" s="3">
        <v>25</v>
      </c>
      <c r="F55" s="149" t="s">
        <v>431</v>
      </c>
      <c r="G55" s="96" t="str">
        <f>IFERROR(IF(VLOOKUP(TableHandbook[[#This Row],[UDC]],TableAvailabilities[],2,FALSE)&gt;0,"Y",""),"")</f>
        <v/>
      </c>
      <c r="H55" s="96" t="str">
        <f>IFERROR(IF(VLOOKUP(TableHandbook[[#This Row],[UDC]],TableAvailabilities[],3,FALSE)&gt;0,"Y",""),"")</f>
        <v/>
      </c>
      <c r="I55" s="96" t="str">
        <f>IFERROR(IF(VLOOKUP(TableHandbook[[#This Row],[UDC]],TableAvailabilities[],4,FALSE)&gt;0,"Y",""),"")</f>
        <v/>
      </c>
      <c r="J55" s="96" t="str">
        <f>IFERROR(IF(VLOOKUP(TableHandbook[[#This Row],[UDC]],TableAvailabilities[],5,FALSE)&gt;0,"Y",""),"")</f>
        <v/>
      </c>
      <c r="K55" s="209"/>
      <c r="L55" s="213" t="str">
        <f>IFERROR(VLOOKUP(TableHandbook[[#This Row],[UDC]],TableMCARTS[],7,FALSE),"")</f>
        <v/>
      </c>
      <c r="M55" s="211" t="str">
        <f>IFERROR(VLOOKUP(TableHandbook[[#This Row],[UDC]],TableMJRPCWRIT[],7,FALSE),"")</f>
        <v/>
      </c>
      <c r="N55" s="211" t="str">
        <f>IFERROR(VLOOKUP(TableHandbook[[#This Row],[UDC]],TableMJRPDGCMS[],7,FALSE),"")</f>
        <v/>
      </c>
      <c r="O55" s="211" t="str">
        <f>IFERROR(VLOOKUP(TableHandbook[[#This Row],[UDC]],TableMJRPFINAR[],7,FALSE),"")</f>
        <v/>
      </c>
      <c r="P55" s="211" t="str">
        <f>IFERROR(VLOOKUP(TableHandbook[[#This Row],[UDC]],TableMJRPPWRIT[],7,FALSE),"")</f>
        <v/>
      </c>
      <c r="Q55" s="211" t="str">
        <f>IFERROR(VLOOKUP(TableHandbook[[#This Row],[UDC]],TableMJRPSCRAR[],7,FALSE),"")</f>
        <v/>
      </c>
      <c r="R55" s="213" t="str">
        <f>IFERROR(VLOOKUP(TableHandbook[[#This Row],[UDC]],TableMCMMJRG[],7,FALSE),"")</f>
        <v/>
      </c>
      <c r="S55" s="211" t="str">
        <f>IFERROR(VLOOKUP(TableHandbook[[#This Row],[UDC]],TableMCMMJRN[],7,FALSE),"")</f>
        <v/>
      </c>
      <c r="T55" s="211" t="str">
        <f>IFERROR(VLOOKUP(TableHandbook[[#This Row],[UDC]],TableGDMMJRN[],7,FALSE),"")</f>
        <v/>
      </c>
      <c r="U55" s="211" t="str">
        <f>IFERROR(VLOOKUP(TableHandbook[[#This Row],[UDC]],TableGCMMJRN[],7,FALSE),"")</f>
        <v/>
      </c>
      <c r="V55" s="213" t="str">
        <f>IFERROR(VLOOKUP(TableHandbook[[#This Row],[UDC]],TableMCHRIGLO[],7,FALSE),"")</f>
        <v>Elective</v>
      </c>
      <c r="W55" s="211" t="str">
        <f>IFERROR(VLOOKUP(TableHandbook[[#This Row],[UDC]],TableMCHRIGHT[],7,FALSE),"")</f>
        <v>Elective</v>
      </c>
      <c r="X55" s="211" t="str">
        <f>IFERROR(VLOOKUP(TableHandbook[[#This Row],[UDC]],TableGDHRIGHT[],7,FALSE),"")</f>
        <v>Elective</v>
      </c>
      <c r="Y55" s="211" t="str">
        <f>IFERROR(VLOOKUP(TableHandbook[[#This Row],[UDC]],TableGCHRIGHT[],7,FALSE),"")</f>
        <v/>
      </c>
      <c r="Z55" s="213" t="str">
        <f>IFERROR(VLOOKUP(TableHandbook[[#This Row],[UDC]],TableMCGLOBL2[],7,FALSE),"")</f>
        <v/>
      </c>
      <c r="AA55" s="211" t="str">
        <f>IFERROR(VLOOKUP(TableHandbook[[#This Row],[UDC]],TableMCGLOBL[],7,FALSE),"")</f>
        <v/>
      </c>
      <c r="AB55" s="211" t="str">
        <f>IFERROR(VLOOKUP(TableHandbook[[#This Row],[UDC]],TableSTRPGLOBL[],7,FALSE),"")</f>
        <v/>
      </c>
      <c r="AC55" s="211" t="str">
        <f>IFERROR(VLOOKUP(TableHandbook[[#This Row],[UDC]],TableSTRPHRIGT[],7,FALSE),"")</f>
        <v/>
      </c>
      <c r="AD55" s="211" t="str">
        <f>IFERROR(VLOOKUP(TableHandbook[[#This Row],[UDC]],TableSTRPINTRN[],7,FALSE),"")</f>
        <v/>
      </c>
      <c r="AE55" s="211" t="str">
        <f>IFERROR(VLOOKUP(TableHandbook[[#This Row],[UDC]],TableGCGLOBL[],7,FALSE),"")</f>
        <v/>
      </c>
      <c r="AF55" s="213" t="str">
        <f>IFERROR(VLOOKUP(TableHandbook[[#This Row],[UDC]],TableMCINTREL[],7,FALSE),"")</f>
        <v/>
      </c>
      <c r="AG55" s="211" t="str">
        <f>IFERROR(VLOOKUP(TableHandbook[[#This Row],[UDC]],TableMCINTSEC[],7,FALSE),"")</f>
        <v/>
      </c>
      <c r="AH55" s="211" t="str">
        <f>IFERROR(VLOOKUP(TableHandbook[[#This Row],[UDC]],TableGDINTSEC[],7,FALSE),"")</f>
        <v/>
      </c>
      <c r="AI55" s="211" t="str">
        <f>IFERROR(VLOOKUP(TableHandbook[[#This Row],[UDC]],TableGCINTSEC[],7,FALSE),"")</f>
        <v/>
      </c>
      <c r="AJ55" s="211" t="str">
        <f>IFERROR(VLOOKUP(TableHandbook[[#This Row],[UDC]],TableGCINTELL[],7,FALSE),"")</f>
        <v/>
      </c>
      <c r="AK55" s="211" t="str">
        <f>IFERROR(VLOOKUP(TableHandbook[[#This Row],[UDC]],TableGCIPCSEC[],7,FALSE),"")</f>
        <v/>
      </c>
    </row>
    <row r="56" spans="1:37" x14ac:dyDescent="0.3">
      <c r="A56" s="2" t="s">
        <v>275</v>
      </c>
      <c r="B56" s="3">
        <v>1</v>
      </c>
      <c r="C56" s="3"/>
      <c r="D56" s="209" t="s">
        <v>466</v>
      </c>
      <c r="E56" s="3">
        <v>25</v>
      </c>
      <c r="F56" s="149" t="s">
        <v>108</v>
      </c>
      <c r="G56" s="96" t="str">
        <f>IFERROR(IF(VLOOKUP(TableHandbook[[#This Row],[UDC]],TableAvailabilities[],2,FALSE)&gt;0,"Y",""),"")</f>
        <v>Y</v>
      </c>
      <c r="H56" s="96" t="str">
        <f>IFERROR(IF(VLOOKUP(TableHandbook[[#This Row],[UDC]],TableAvailabilities[],3,FALSE)&gt;0,"Y",""),"")</f>
        <v>Y</v>
      </c>
      <c r="I56" s="96" t="str">
        <f>IFERROR(IF(VLOOKUP(TableHandbook[[#This Row],[UDC]],TableAvailabilities[],4,FALSE)&gt;0,"Y",""),"")</f>
        <v/>
      </c>
      <c r="J56" s="96" t="str">
        <f>IFERROR(IF(VLOOKUP(TableHandbook[[#This Row],[UDC]],TableAvailabilities[],5,FALSE)&gt;0,"Y",""),"")</f>
        <v/>
      </c>
      <c r="K56" s="209"/>
      <c r="L56" s="213" t="str">
        <f>IFERROR(VLOOKUP(TableHandbook[[#This Row],[UDC]],TableMCARTS[],7,FALSE),"")</f>
        <v/>
      </c>
      <c r="M56" s="211" t="str">
        <f>IFERROR(VLOOKUP(TableHandbook[[#This Row],[UDC]],TableMJRPCWRIT[],7,FALSE),"")</f>
        <v/>
      </c>
      <c r="N56" s="211" t="str">
        <f>IFERROR(VLOOKUP(TableHandbook[[#This Row],[UDC]],TableMJRPDGCMS[],7,FALSE),"")</f>
        <v/>
      </c>
      <c r="O56" s="211" t="str">
        <f>IFERROR(VLOOKUP(TableHandbook[[#This Row],[UDC]],TableMJRPFINAR[],7,FALSE),"")</f>
        <v/>
      </c>
      <c r="P56" s="211" t="str">
        <f>IFERROR(VLOOKUP(TableHandbook[[#This Row],[UDC]],TableMJRPPWRIT[],7,FALSE),"")</f>
        <v/>
      </c>
      <c r="Q56" s="211" t="str">
        <f>IFERROR(VLOOKUP(TableHandbook[[#This Row],[UDC]],TableMJRPSCRAR[],7,FALSE),"")</f>
        <v/>
      </c>
      <c r="R56" s="213" t="str">
        <f>IFERROR(VLOOKUP(TableHandbook[[#This Row],[UDC]],TableMCMMJRG[],7,FALSE),"")</f>
        <v/>
      </c>
      <c r="S56" s="211" t="str">
        <f>IFERROR(VLOOKUP(TableHandbook[[#This Row],[UDC]],TableMCMMJRN[],7,FALSE),"")</f>
        <v/>
      </c>
      <c r="T56" s="211" t="str">
        <f>IFERROR(VLOOKUP(TableHandbook[[#This Row],[UDC]],TableGDMMJRN[],7,FALSE),"")</f>
        <v/>
      </c>
      <c r="U56" s="211" t="str">
        <f>IFERROR(VLOOKUP(TableHandbook[[#This Row],[UDC]],TableGCMMJRN[],7,FALSE),"")</f>
        <v/>
      </c>
      <c r="V56" s="213" t="str">
        <f>IFERROR(VLOOKUP(TableHandbook[[#This Row],[UDC]],TableMCHRIGLO[],7,FALSE),"")</f>
        <v>Core</v>
      </c>
      <c r="W56" s="211" t="str">
        <f>IFERROR(VLOOKUP(TableHandbook[[#This Row],[UDC]],TableMCHRIGHT[],7,FALSE),"")</f>
        <v/>
      </c>
      <c r="X56" s="211" t="str">
        <f>IFERROR(VLOOKUP(TableHandbook[[#This Row],[UDC]],TableGDHRIGHT[],7,FALSE),"")</f>
        <v/>
      </c>
      <c r="Y56" s="211" t="str">
        <f>IFERROR(VLOOKUP(TableHandbook[[#This Row],[UDC]],TableGCHRIGHT[],7,FALSE),"")</f>
        <v/>
      </c>
      <c r="Z56" s="213" t="str">
        <f>IFERROR(VLOOKUP(TableHandbook[[#This Row],[UDC]],TableMCGLOBL2[],7,FALSE),"")</f>
        <v/>
      </c>
      <c r="AA56" s="211" t="str">
        <f>IFERROR(VLOOKUP(TableHandbook[[#This Row],[UDC]],TableMCGLOBL[],7,FALSE),"")</f>
        <v/>
      </c>
      <c r="AB56" s="211" t="str">
        <f>IFERROR(VLOOKUP(TableHandbook[[#This Row],[UDC]],TableSTRPGLOBL[],7,FALSE),"")</f>
        <v>Core</v>
      </c>
      <c r="AC56" s="211" t="str">
        <f>IFERROR(VLOOKUP(TableHandbook[[#This Row],[UDC]],TableSTRPHRIGT[],7,FALSE),"")</f>
        <v/>
      </c>
      <c r="AD56" s="211" t="str">
        <f>IFERROR(VLOOKUP(TableHandbook[[#This Row],[UDC]],TableSTRPINTRN[],7,FALSE),"")</f>
        <v/>
      </c>
      <c r="AE56" s="211" t="str">
        <f>IFERROR(VLOOKUP(TableHandbook[[#This Row],[UDC]],TableGCGLOBL[],7,FALSE),"")</f>
        <v>Core</v>
      </c>
      <c r="AF56" s="213" t="str">
        <f>IFERROR(VLOOKUP(TableHandbook[[#This Row],[UDC]],TableMCINTREL[],7,FALSE),"")</f>
        <v>Core</v>
      </c>
      <c r="AG56" s="211" t="str">
        <f>IFERROR(VLOOKUP(TableHandbook[[#This Row],[UDC]],TableMCINTSEC[],7,FALSE),"")</f>
        <v/>
      </c>
      <c r="AH56" s="211" t="str">
        <f>IFERROR(VLOOKUP(TableHandbook[[#This Row],[UDC]],TableGDINTSEC[],7,FALSE),"")</f>
        <v/>
      </c>
      <c r="AI56" s="211" t="str">
        <f>IFERROR(VLOOKUP(TableHandbook[[#This Row],[UDC]],TableGCINTSEC[],7,FALSE),"")</f>
        <v/>
      </c>
      <c r="AJ56" s="211" t="str">
        <f>IFERROR(VLOOKUP(TableHandbook[[#This Row],[UDC]],TableGCINTELL[],7,FALSE),"")</f>
        <v/>
      </c>
      <c r="AK56" s="211" t="str">
        <f>IFERROR(VLOOKUP(TableHandbook[[#This Row],[UDC]],TableGCIPCSEC[],7,FALSE),"")</f>
        <v/>
      </c>
    </row>
    <row r="57" spans="1:37" x14ac:dyDescent="0.3">
      <c r="A57" s="2" t="s">
        <v>277</v>
      </c>
      <c r="B57" s="3">
        <v>1</v>
      </c>
      <c r="C57" s="3"/>
      <c r="D57" s="209" t="s">
        <v>467</v>
      </c>
      <c r="E57" s="3">
        <v>25</v>
      </c>
      <c r="F57" s="149" t="s">
        <v>108</v>
      </c>
      <c r="G57" s="96" t="str">
        <f>IFERROR(IF(VLOOKUP(TableHandbook[[#This Row],[UDC]],TableAvailabilities[],2,FALSE)&gt;0,"Y",""),"")</f>
        <v>Y</v>
      </c>
      <c r="H57" s="96" t="str">
        <f>IFERROR(IF(VLOOKUP(TableHandbook[[#This Row],[UDC]],TableAvailabilities[],3,FALSE)&gt;0,"Y",""),"")</f>
        <v>Y</v>
      </c>
      <c r="I57" s="96" t="str">
        <f>IFERROR(IF(VLOOKUP(TableHandbook[[#This Row],[UDC]],TableAvailabilities[],4,FALSE)&gt;0,"Y",""),"")</f>
        <v/>
      </c>
      <c r="J57" s="96" t="str">
        <f>IFERROR(IF(VLOOKUP(TableHandbook[[#This Row],[UDC]],TableAvailabilities[],5,FALSE)&gt;0,"Y",""),"")</f>
        <v/>
      </c>
      <c r="K57" s="209"/>
      <c r="L57" s="213" t="str">
        <f>IFERROR(VLOOKUP(TableHandbook[[#This Row],[UDC]],TableMCARTS[],7,FALSE),"")</f>
        <v/>
      </c>
      <c r="M57" s="211" t="str">
        <f>IFERROR(VLOOKUP(TableHandbook[[#This Row],[UDC]],TableMJRPCWRIT[],7,FALSE),"")</f>
        <v/>
      </c>
      <c r="N57" s="211" t="str">
        <f>IFERROR(VLOOKUP(TableHandbook[[#This Row],[UDC]],TableMJRPDGCMS[],7,FALSE),"")</f>
        <v/>
      </c>
      <c r="O57" s="211" t="str">
        <f>IFERROR(VLOOKUP(TableHandbook[[#This Row],[UDC]],TableMJRPFINAR[],7,FALSE),"")</f>
        <v/>
      </c>
      <c r="P57" s="211" t="str">
        <f>IFERROR(VLOOKUP(TableHandbook[[#This Row],[UDC]],TableMJRPPWRIT[],7,FALSE),"")</f>
        <v/>
      </c>
      <c r="Q57" s="211" t="str">
        <f>IFERROR(VLOOKUP(TableHandbook[[#This Row],[UDC]],TableMJRPSCRAR[],7,FALSE),"")</f>
        <v/>
      </c>
      <c r="R57" s="213" t="str">
        <f>IFERROR(VLOOKUP(TableHandbook[[#This Row],[UDC]],TableMCMMJRG[],7,FALSE),"")</f>
        <v/>
      </c>
      <c r="S57" s="211" t="str">
        <f>IFERROR(VLOOKUP(TableHandbook[[#This Row],[UDC]],TableMCMMJRN[],7,FALSE),"")</f>
        <v/>
      </c>
      <c r="T57" s="211" t="str">
        <f>IFERROR(VLOOKUP(TableHandbook[[#This Row],[UDC]],TableGDMMJRN[],7,FALSE),"")</f>
        <v/>
      </c>
      <c r="U57" s="211" t="str">
        <f>IFERROR(VLOOKUP(TableHandbook[[#This Row],[UDC]],TableGCMMJRN[],7,FALSE),"")</f>
        <v/>
      </c>
      <c r="V57" s="213" t="str">
        <f>IFERROR(VLOOKUP(TableHandbook[[#This Row],[UDC]],TableMCHRIGLO[],7,FALSE),"")</f>
        <v>Core</v>
      </c>
      <c r="W57" s="211" t="str">
        <f>IFERROR(VLOOKUP(TableHandbook[[#This Row],[UDC]],TableMCHRIGHT[],7,FALSE),"")</f>
        <v/>
      </c>
      <c r="X57" s="211" t="str">
        <f>IFERROR(VLOOKUP(TableHandbook[[#This Row],[UDC]],TableGDHRIGHT[],7,FALSE),"")</f>
        <v/>
      </c>
      <c r="Y57" s="211" t="str">
        <f>IFERROR(VLOOKUP(TableHandbook[[#This Row],[UDC]],TableGCHRIGHT[],7,FALSE),"")</f>
        <v/>
      </c>
      <c r="Z57" s="213" t="str">
        <f>IFERROR(VLOOKUP(TableHandbook[[#This Row],[UDC]],TableMCGLOBL2[],7,FALSE),"")</f>
        <v/>
      </c>
      <c r="AA57" s="211" t="str">
        <f>IFERROR(VLOOKUP(TableHandbook[[#This Row],[UDC]],TableMCGLOBL[],7,FALSE),"")</f>
        <v/>
      </c>
      <c r="AB57" s="211" t="str">
        <f>IFERROR(VLOOKUP(TableHandbook[[#This Row],[UDC]],TableSTRPGLOBL[],7,FALSE),"")</f>
        <v>Core</v>
      </c>
      <c r="AC57" s="211" t="str">
        <f>IFERROR(VLOOKUP(TableHandbook[[#This Row],[UDC]],TableSTRPHRIGT[],7,FALSE),"")</f>
        <v/>
      </c>
      <c r="AD57" s="211" t="str">
        <f>IFERROR(VLOOKUP(TableHandbook[[#This Row],[UDC]],TableSTRPINTRN[],7,FALSE),"")</f>
        <v/>
      </c>
      <c r="AE57" s="211" t="str">
        <f>IFERROR(VLOOKUP(TableHandbook[[#This Row],[UDC]],TableGCGLOBL[],7,FALSE),"")</f>
        <v>Core</v>
      </c>
      <c r="AF57" s="213" t="str">
        <f>IFERROR(VLOOKUP(TableHandbook[[#This Row],[UDC]],TableMCINTREL[],7,FALSE),"")</f>
        <v>Core</v>
      </c>
      <c r="AG57" s="211" t="str">
        <f>IFERROR(VLOOKUP(TableHandbook[[#This Row],[UDC]],TableMCINTSEC[],7,FALSE),"")</f>
        <v/>
      </c>
      <c r="AH57" s="211" t="str">
        <f>IFERROR(VLOOKUP(TableHandbook[[#This Row],[UDC]],TableGDINTSEC[],7,FALSE),"")</f>
        <v/>
      </c>
      <c r="AI57" s="211" t="str">
        <f>IFERROR(VLOOKUP(TableHandbook[[#This Row],[UDC]],TableGCINTSEC[],7,FALSE),"")</f>
        <v/>
      </c>
      <c r="AJ57" s="211" t="str">
        <f>IFERROR(VLOOKUP(TableHandbook[[#This Row],[UDC]],TableGCINTELL[],7,FALSE),"")</f>
        <v/>
      </c>
      <c r="AK57" s="211" t="str">
        <f>IFERROR(VLOOKUP(TableHandbook[[#This Row],[UDC]],TableGCIPCSEC[],7,FALSE),"")</f>
        <v/>
      </c>
    </row>
    <row r="58" spans="1:37" x14ac:dyDescent="0.3">
      <c r="A58" s="2" t="s">
        <v>282</v>
      </c>
      <c r="B58" s="3">
        <v>1</v>
      </c>
      <c r="C58" s="3"/>
      <c r="D58" s="209" t="s">
        <v>468</v>
      </c>
      <c r="E58" s="3">
        <v>25</v>
      </c>
      <c r="F58" s="149" t="s">
        <v>108</v>
      </c>
      <c r="G58" s="96" t="str">
        <f>IFERROR(IF(VLOOKUP(TableHandbook[[#This Row],[UDC]],TableAvailabilities[],2,FALSE)&gt;0,"Y",""),"")</f>
        <v>Y</v>
      </c>
      <c r="H58" s="96" t="str">
        <f>IFERROR(IF(VLOOKUP(TableHandbook[[#This Row],[UDC]],TableAvailabilities[],3,FALSE)&gt;0,"Y",""),"")</f>
        <v>Y</v>
      </c>
      <c r="I58" s="96" t="str">
        <f>IFERROR(IF(VLOOKUP(TableHandbook[[#This Row],[UDC]],TableAvailabilities[],4,FALSE)&gt;0,"Y",""),"")</f>
        <v/>
      </c>
      <c r="J58" s="96" t="str">
        <f>IFERROR(IF(VLOOKUP(TableHandbook[[#This Row],[UDC]],TableAvailabilities[],5,FALSE)&gt;0,"Y",""),"")</f>
        <v/>
      </c>
      <c r="K58" s="209"/>
      <c r="L58" s="213" t="str">
        <f>IFERROR(VLOOKUP(TableHandbook[[#This Row],[UDC]],TableMCARTS[],7,FALSE),"")</f>
        <v/>
      </c>
      <c r="M58" s="211" t="str">
        <f>IFERROR(VLOOKUP(TableHandbook[[#This Row],[UDC]],TableMJRPCWRIT[],7,FALSE),"")</f>
        <v/>
      </c>
      <c r="N58" s="211" t="str">
        <f>IFERROR(VLOOKUP(TableHandbook[[#This Row],[UDC]],TableMJRPDGCMS[],7,FALSE),"")</f>
        <v/>
      </c>
      <c r="O58" s="211" t="str">
        <f>IFERROR(VLOOKUP(TableHandbook[[#This Row],[UDC]],TableMJRPFINAR[],7,FALSE),"")</f>
        <v/>
      </c>
      <c r="P58" s="211" t="str">
        <f>IFERROR(VLOOKUP(TableHandbook[[#This Row],[UDC]],TableMJRPPWRIT[],7,FALSE),"")</f>
        <v/>
      </c>
      <c r="Q58" s="211" t="str">
        <f>IFERROR(VLOOKUP(TableHandbook[[#This Row],[UDC]],TableMJRPSCRAR[],7,FALSE),"")</f>
        <v/>
      </c>
      <c r="R58" s="213" t="str">
        <f>IFERROR(VLOOKUP(TableHandbook[[#This Row],[UDC]],TableMCMMJRG[],7,FALSE),"")</f>
        <v/>
      </c>
      <c r="S58" s="211" t="str">
        <f>IFERROR(VLOOKUP(TableHandbook[[#This Row],[UDC]],TableMCMMJRN[],7,FALSE),"")</f>
        <v/>
      </c>
      <c r="T58" s="211" t="str">
        <f>IFERROR(VLOOKUP(TableHandbook[[#This Row],[UDC]],TableGDMMJRN[],7,FALSE),"")</f>
        <v/>
      </c>
      <c r="U58" s="211" t="str">
        <f>IFERROR(VLOOKUP(TableHandbook[[#This Row],[UDC]],TableGCMMJRN[],7,FALSE),"")</f>
        <v/>
      </c>
      <c r="V58" s="213" t="str">
        <f>IFERROR(VLOOKUP(TableHandbook[[#This Row],[UDC]],TableMCHRIGLO[],7,FALSE),"")</f>
        <v>Core</v>
      </c>
      <c r="W58" s="211" t="str">
        <f>IFERROR(VLOOKUP(TableHandbook[[#This Row],[UDC]],TableMCHRIGHT[],7,FALSE),"")</f>
        <v/>
      </c>
      <c r="X58" s="211" t="str">
        <f>IFERROR(VLOOKUP(TableHandbook[[#This Row],[UDC]],TableGDHRIGHT[],7,FALSE),"")</f>
        <v/>
      </c>
      <c r="Y58" s="211" t="str">
        <f>IFERROR(VLOOKUP(TableHandbook[[#This Row],[UDC]],TableGCHRIGHT[],7,FALSE),"")</f>
        <v/>
      </c>
      <c r="Z58" s="213" t="str">
        <f>IFERROR(VLOOKUP(TableHandbook[[#This Row],[UDC]],TableMCGLOBL2[],7,FALSE),"")</f>
        <v/>
      </c>
      <c r="AA58" s="211" t="str">
        <f>IFERROR(VLOOKUP(TableHandbook[[#This Row],[UDC]],TableMCGLOBL[],7,FALSE),"")</f>
        <v/>
      </c>
      <c r="AB58" s="211" t="str">
        <f>IFERROR(VLOOKUP(TableHandbook[[#This Row],[UDC]],TableSTRPGLOBL[],7,FALSE),"")</f>
        <v>Core</v>
      </c>
      <c r="AC58" s="211" t="str">
        <f>IFERROR(VLOOKUP(TableHandbook[[#This Row],[UDC]],TableSTRPHRIGT[],7,FALSE),"")</f>
        <v/>
      </c>
      <c r="AD58" s="211" t="str">
        <f>IFERROR(VLOOKUP(TableHandbook[[#This Row],[UDC]],TableSTRPINTRN[],7,FALSE),"")</f>
        <v/>
      </c>
      <c r="AE58" s="211" t="str">
        <f>IFERROR(VLOOKUP(TableHandbook[[#This Row],[UDC]],TableGCGLOBL[],7,FALSE),"")</f>
        <v>Core</v>
      </c>
      <c r="AF58" s="213" t="str">
        <f>IFERROR(VLOOKUP(TableHandbook[[#This Row],[UDC]],TableMCINTREL[],7,FALSE),"")</f>
        <v>Core</v>
      </c>
      <c r="AG58" s="211" t="str">
        <f>IFERROR(VLOOKUP(TableHandbook[[#This Row],[UDC]],TableMCINTSEC[],7,FALSE),"")</f>
        <v/>
      </c>
      <c r="AH58" s="211" t="str">
        <f>IFERROR(VLOOKUP(TableHandbook[[#This Row],[UDC]],TableGDINTSEC[],7,FALSE),"")</f>
        <v/>
      </c>
      <c r="AI58" s="211" t="str">
        <f>IFERROR(VLOOKUP(TableHandbook[[#This Row],[UDC]],TableGCINTSEC[],7,FALSE),"")</f>
        <v/>
      </c>
      <c r="AJ58" s="211" t="str">
        <f>IFERROR(VLOOKUP(TableHandbook[[#This Row],[UDC]],TableGCINTELL[],7,FALSE),"")</f>
        <v/>
      </c>
      <c r="AK58" s="211" t="str">
        <f>IFERROR(VLOOKUP(TableHandbook[[#This Row],[UDC]],TableGCIPCSEC[],7,FALSE),"")</f>
        <v/>
      </c>
    </row>
    <row r="59" spans="1:37" x14ac:dyDescent="0.3">
      <c r="A59" s="2" t="s">
        <v>283</v>
      </c>
      <c r="B59" s="3">
        <v>1</v>
      </c>
      <c r="C59" s="3"/>
      <c r="D59" s="209" t="s">
        <v>469</v>
      </c>
      <c r="E59" s="3">
        <v>25</v>
      </c>
      <c r="F59" s="149" t="s">
        <v>108</v>
      </c>
      <c r="G59" s="96" t="str">
        <f>IFERROR(IF(VLOOKUP(TableHandbook[[#This Row],[UDC]],TableAvailabilities[],2,FALSE)&gt;0,"Y",""),"")</f>
        <v>Y</v>
      </c>
      <c r="H59" s="96" t="str">
        <f>IFERROR(IF(VLOOKUP(TableHandbook[[#This Row],[UDC]],TableAvailabilities[],3,FALSE)&gt;0,"Y",""),"")</f>
        <v>Y</v>
      </c>
      <c r="I59" s="96" t="str">
        <f>IFERROR(IF(VLOOKUP(TableHandbook[[#This Row],[UDC]],TableAvailabilities[],4,FALSE)&gt;0,"Y",""),"")</f>
        <v/>
      </c>
      <c r="J59" s="96" t="str">
        <f>IFERROR(IF(VLOOKUP(TableHandbook[[#This Row],[UDC]],TableAvailabilities[],5,FALSE)&gt;0,"Y",""),"")</f>
        <v/>
      </c>
      <c r="K59" s="209"/>
      <c r="L59" s="213" t="str">
        <f>IFERROR(VLOOKUP(TableHandbook[[#This Row],[UDC]],TableMCARTS[],7,FALSE),"")</f>
        <v/>
      </c>
      <c r="M59" s="211" t="str">
        <f>IFERROR(VLOOKUP(TableHandbook[[#This Row],[UDC]],TableMJRPCWRIT[],7,FALSE),"")</f>
        <v/>
      </c>
      <c r="N59" s="211" t="str">
        <f>IFERROR(VLOOKUP(TableHandbook[[#This Row],[UDC]],TableMJRPDGCMS[],7,FALSE),"")</f>
        <v/>
      </c>
      <c r="O59" s="211" t="str">
        <f>IFERROR(VLOOKUP(TableHandbook[[#This Row],[UDC]],TableMJRPFINAR[],7,FALSE),"")</f>
        <v/>
      </c>
      <c r="P59" s="211" t="str">
        <f>IFERROR(VLOOKUP(TableHandbook[[#This Row],[UDC]],TableMJRPPWRIT[],7,FALSE),"")</f>
        <v/>
      </c>
      <c r="Q59" s="211" t="str">
        <f>IFERROR(VLOOKUP(TableHandbook[[#This Row],[UDC]],TableMJRPSCRAR[],7,FALSE),"")</f>
        <v/>
      </c>
      <c r="R59" s="213" t="str">
        <f>IFERROR(VLOOKUP(TableHandbook[[#This Row],[UDC]],TableMCMMJRG[],7,FALSE),"")</f>
        <v/>
      </c>
      <c r="S59" s="211" t="str">
        <f>IFERROR(VLOOKUP(TableHandbook[[#This Row],[UDC]],TableMCMMJRN[],7,FALSE),"")</f>
        <v/>
      </c>
      <c r="T59" s="211" t="str">
        <f>IFERROR(VLOOKUP(TableHandbook[[#This Row],[UDC]],TableGDMMJRN[],7,FALSE),"")</f>
        <v/>
      </c>
      <c r="U59" s="211" t="str">
        <f>IFERROR(VLOOKUP(TableHandbook[[#This Row],[UDC]],TableGCMMJRN[],7,FALSE),"")</f>
        <v/>
      </c>
      <c r="V59" s="213" t="str">
        <f>IFERROR(VLOOKUP(TableHandbook[[#This Row],[UDC]],TableMCHRIGLO[],7,FALSE),"")</f>
        <v>Core</v>
      </c>
      <c r="W59" s="211" t="str">
        <f>IFERROR(VLOOKUP(TableHandbook[[#This Row],[UDC]],TableMCHRIGHT[],7,FALSE),"")</f>
        <v/>
      </c>
      <c r="X59" s="211" t="str">
        <f>IFERROR(VLOOKUP(TableHandbook[[#This Row],[UDC]],TableGDHRIGHT[],7,FALSE),"")</f>
        <v/>
      </c>
      <c r="Y59" s="211" t="str">
        <f>IFERROR(VLOOKUP(TableHandbook[[#This Row],[UDC]],TableGCHRIGHT[],7,FALSE),"")</f>
        <v/>
      </c>
      <c r="Z59" s="213" t="str">
        <f>IFERROR(VLOOKUP(TableHandbook[[#This Row],[UDC]],TableMCGLOBL2[],7,FALSE),"")</f>
        <v/>
      </c>
      <c r="AA59" s="211" t="str">
        <f>IFERROR(VLOOKUP(TableHandbook[[#This Row],[UDC]],TableMCGLOBL[],7,FALSE),"")</f>
        <v/>
      </c>
      <c r="AB59" s="211" t="str">
        <f>IFERROR(VLOOKUP(TableHandbook[[#This Row],[UDC]],TableSTRPGLOBL[],7,FALSE),"")</f>
        <v>Core</v>
      </c>
      <c r="AC59" s="211" t="str">
        <f>IFERROR(VLOOKUP(TableHandbook[[#This Row],[UDC]],TableSTRPHRIGT[],7,FALSE),"")</f>
        <v/>
      </c>
      <c r="AD59" s="211" t="str">
        <f>IFERROR(VLOOKUP(TableHandbook[[#This Row],[UDC]],TableSTRPINTRN[],7,FALSE),"")</f>
        <v/>
      </c>
      <c r="AE59" s="211" t="str">
        <f>IFERROR(VLOOKUP(TableHandbook[[#This Row],[UDC]],TableGCGLOBL[],7,FALSE),"")</f>
        <v>Core</v>
      </c>
      <c r="AF59" s="213" t="str">
        <f>IFERROR(VLOOKUP(TableHandbook[[#This Row],[UDC]],TableMCINTREL[],7,FALSE),"")</f>
        <v>Core</v>
      </c>
      <c r="AG59" s="211" t="str">
        <f>IFERROR(VLOOKUP(TableHandbook[[#This Row],[UDC]],TableMCINTSEC[],7,FALSE),"")</f>
        <v/>
      </c>
      <c r="AH59" s="211" t="str">
        <f>IFERROR(VLOOKUP(TableHandbook[[#This Row],[UDC]],TableGDINTSEC[],7,FALSE),"")</f>
        <v/>
      </c>
      <c r="AI59" s="211" t="str">
        <f>IFERROR(VLOOKUP(TableHandbook[[#This Row],[UDC]],TableGCINTSEC[],7,FALSE),"")</f>
        <v/>
      </c>
      <c r="AJ59" s="211" t="str">
        <f>IFERROR(VLOOKUP(TableHandbook[[#This Row],[UDC]],TableGCINTELL[],7,FALSE),"")</f>
        <v/>
      </c>
      <c r="AK59" s="211" t="str">
        <f>IFERROR(VLOOKUP(TableHandbook[[#This Row],[UDC]],TableGCIPCSEC[],7,FALSE),"")</f>
        <v/>
      </c>
    </row>
    <row r="60" spans="1:37" x14ac:dyDescent="0.3">
      <c r="A60" s="2" t="s">
        <v>248</v>
      </c>
      <c r="B60" s="3">
        <v>2</v>
      </c>
      <c r="C60" s="3"/>
      <c r="D60" s="209" t="s">
        <v>470</v>
      </c>
      <c r="E60" s="3">
        <v>25</v>
      </c>
      <c r="F60" s="149" t="s">
        <v>108</v>
      </c>
      <c r="G60" s="96" t="str">
        <f>IFERROR(IF(VLOOKUP(TableHandbook[[#This Row],[UDC]],TableAvailabilities[],2,FALSE)&gt;0,"Y",""),"")</f>
        <v/>
      </c>
      <c r="H60" s="96" t="str">
        <f>IFERROR(IF(VLOOKUP(TableHandbook[[#This Row],[UDC]],TableAvailabilities[],3,FALSE)&gt;0,"Y",""),"")</f>
        <v/>
      </c>
      <c r="I60" s="96" t="str">
        <f>IFERROR(IF(VLOOKUP(TableHandbook[[#This Row],[UDC]],TableAvailabilities[],4,FALSE)&gt;0,"Y",""),"")</f>
        <v/>
      </c>
      <c r="J60" s="96" t="str">
        <f>IFERROR(IF(VLOOKUP(TableHandbook[[#This Row],[UDC]],TableAvailabilities[],5,FALSE)&gt;0,"Y",""),"")</f>
        <v/>
      </c>
      <c r="K60" s="209" t="s">
        <v>471</v>
      </c>
      <c r="L60" s="213" t="str">
        <f>IFERROR(VLOOKUP(TableHandbook[[#This Row],[UDC]],TableMCARTS[],7,FALSE),"")</f>
        <v/>
      </c>
      <c r="M60" s="211" t="str">
        <f>IFERROR(VLOOKUP(TableHandbook[[#This Row],[UDC]],TableMJRPCWRIT[],7,FALSE),"")</f>
        <v/>
      </c>
      <c r="N60" s="211" t="str">
        <f>IFERROR(VLOOKUP(TableHandbook[[#This Row],[UDC]],TableMJRPDGCMS[],7,FALSE),"")</f>
        <v/>
      </c>
      <c r="O60" s="211" t="str">
        <f>IFERROR(VLOOKUP(TableHandbook[[#This Row],[UDC]],TableMJRPFINAR[],7,FALSE),"")</f>
        <v/>
      </c>
      <c r="P60" s="211" t="str">
        <f>IFERROR(VLOOKUP(TableHandbook[[#This Row],[UDC]],TableMJRPPWRIT[],7,FALSE),"")</f>
        <v>Option</v>
      </c>
      <c r="Q60" s="211" t="str">
        <f>IFERROR(VLOOKUP(TableHandbook[[#This Row],[UDC]],TableMJRPSCRAR[],7,FALSE),"")</f>
        <v/>
      </c>
      <c r="R60" s="213" t="str">
        <f>IFERROR(VLOOKUP(TableHandbook[[#This Row],[UDC]],TableMCMMJRG[],7,FALSE),"")</f>
        <v/>
      </c>
      <c r="S60" s="211" t="str">
        <f>IFERROR(VLOOKUP(TableHandbook[[#This Row],[UDC]],TableMCMMJRN[],7,FALSE),"")</f>
        <v/>
      </c>
      <c r="T60" s="211" t="str">
        <f>IFERROR(VLOOKUP(TableHandbook[[#This Row],[UDC]],TableGDMMJRN[],7,FALSE),"")</f>
        <v/>
      </c>
      <c r="U60" s="211" t="str">
        <f>IFERROR(VLOOKUP(TableHandbook[[#This Row],[UDC]],TableGCMMJRN[],7,FALSE),"")</f>
        <v/>
      </c>
      <c r="V60" s="213" t="str">
        <f>IFERROR(VLOOKUP(TableHandbook[[#This Row],[UDC]],TableMCHRIGLO[],7,FALSE),"")</f>
        <v/>
      </c>
      <c r="W60" s="211" t="str">
        <f>IFERROR(VLOOKUP(TableHandbook[[#This Row],[UDC]],TableMCHRIGHT[],7,FALSE),"")</f>
        <v/>
      </c>
      <c r="X60" s="211" t="str">
        <f>IFERROR(VLOOKUP(TableHandbook[[#This Row],[UDC]],TableGDHRIGHT[],7,FALSE),"")</f>
        <v/>
      </c>
      <c r="Y60" s="211" t="str">
        <f>IFERROR(VLOOKUP(TableHandbook[[#This Row],[UDC]],TableGCHRIGHT[],7,FALSE),"")</f>
        <v/>
      </c>
      <c r="Z60" s="213" t="str">
        <f>IFERROR(VLOOKUP(TableHandbook[[#This Row],[UDC]],TableMCGLOBL2[],7,FALSE),"")</f>
        <v/>
      </c>
      <c r="AA60" s="211" t="str">
        <f>IFERROR(VLOOKUP(TableHandbook[[#This Row],[UDC]],TableMCGLOBL[],7,FALSE),"")</f>
        <v/>
      </c>
      <c r="AB60" s="211" t="str">
        <f>IFERROR(VLOOKUP(TableHandbook[[#This Row],[UDC]],TableSTRPGLOBL[],7,FALSE),"")</f>
        <v/>
      </c>
      <c r="AC60" s="211" t="str">
        <f>IFERROR(VLOOKUP(TableHandbook[[#This Row],[UDC]],TableSTRPHRIGT[],7,FALSE),"")</f>
        <v/>
      </c>
      <c r="AD60" s="211" t="str">
        <f>IFERROR(VLOOKUP(TableHandbook[[#This Row],[UDC]],TableSTRPINTRN[],7,FALSE),"")</f>
        <v/>
      </c>
      <c r="AE60" s="211" t="str">
        <f>IFERROR(VLOOKUP(TableHandbook[[#This Row],[UDC]],TableGCGLOBL[],7,FALSE),"")</f>
        <v/>
      </c>
      <c r="AF60" s="213" t="str">
        <f>IFERROR(VLOOKUP(TableHandbook[[#This Row],[UDC]],TableMCINTREL[],7,FALSE),"")</f>
        <v/>
      </c>
      <c r="AG60" s="211" t="str">
        <f>IFERROR(VLOOKUP(TableHandbook[[#This Row],[UDC]],TableMCINTSEC[],7,FALSE),"")</f>
        <v/>
      </c>
      <c r="AH60" s="211" t="str">
        <f>IFERROR(VLOOKUP(TableHandbook[[#This Row],[UDC]],TableGDINTSEC[],7,FALSE),"")</f>
        <v/>
      </c>
      <c r="AI60" s="211" t="str">
        <f>IFERROR(VLOOKUP(TableHandbook[[#This Row],[UDC]],TableGCINTSEC[],7,FALSE),"")</f>
        <v/>
      </c>
      <c r="AJ60" s="211" t="str">
        <f>IFERROR(VLOOKUP(TableHandbook[[#This Row],[UDC]],TableGCINTELL[],7,FALSE),"")</f>
        <v/>
      </c>
      <c r="AK60" s="211" t="str">
        <f>IFERROR(VLOOKUP(TableHandbook[[#This Row],[UDC]],TableGCIPCSEC[],7,FALSE),"")</f>
        <v/>
      </c>
    </row>
    <row r="61" spans="1:37" x14ac:dyDescent="0.3">
      <c r="A61" s="2" t="s">
        <v>249</v>
      </c>
      <c r="B61" s="3">
        <v>1</v>
      </c>
      <c r="C61" s="3"/>
      <c r="D61" s="209" t="s">
        <v>472</v>
      </c>
      <c r="E61" s="3">
        <v>25</v>
      </c>
      <c r="F61" s="149" t="s">
        <v>108</v>
      </c>
      <c r="G61" s="96" t="str">
        <f>IFERROR(IF(VLOOKUP(TableHandbook[[#This Row],[UDC]],TableAvailabilities[],2,FALSE)&gt;0,"Y",""),"")</f>
        <v/>
      </c>
      <c r="H61" s="96" t="str">
        <f>IFERROR(IF(VLOOKUP(TableHandbook[[#This Row],[UDC]],TableAvailabilities[],3,FALSE)&gt;0,"Y",""),"")</f>
        <v/>
      </c>
      <c r="I61" s="96" t="str">
        <f>IFERROR(IF(VLOOKUP(TableHandbook[[#This Row],[UDC]],TableAvailabilities[],4,FALSE)&gt;0,"Y",""),"")</f>
        <v/>
      </c>
      <c r="J61" s="96" t="str">
        <f>IFERROR(IF(VLOOKUP(TableHandbook[[#This Row],[UDC]],TableAvailabilities[],5,FALSE)&gt;0,"Y",""),"")</f>
        <v/>
      </c>
      <c r="K61" s="209" t="s">
        <v>471</v>
      </c>
      <c r="L61" s="213" t="str">
        <f>IFERROR(VLOOKUP(TableHandbook[[#This Row],[UDC]],TableMCARTS[],7,FALSE),"")</f>
        <v/>
      </c>
      <c r="M61" s="211" t="str">
        <f>IFERROR(VLOOKUP(TableHandbook[[#This Row],[UDC]],TableMJRPCWRIT[],7,FALSE),"")</f>
        <v/>
      </c>
      <c r="N61" s="211" t="str">
        <f>IFERROR(VLOOKUP(TableHandbook[[#This Row],[UDC]],TableMJRPDGCMS[],7,FALSE),"")</f>
        <v/>
      </c>
      <c r="O61" s="211" t="str">
        <f>IFERROR(VLOOKUP(TableHandbook[[#This Row],[UDC]],TableMJRPFINAR[],7,FALSE),"")</f>
        <v/>
      </c>
      <c r="P61" s="211" t="str">
        <f>IFERROR(VLOOKUP(TableHandbook[[#This Row],[UDC]],TableMJRPPWRIT[],7,FALSE),"")</f>
        <v>Option</v>
      </c>
      <c r="Q61" s="211" t="str">
        <f>IFERROR(VLOOKUP(TableHandbook[[#This Row],[UDC]],TableMJRPSCRAR[],7,FALSE),"")</f>
        <v/>
      </c>
      <c r="R61" s="213" t="str">
        <f>IFERROR(VLOOKUP(TableHandbook[[#This Row],[UDC]],TableMCMMJRG[],7,FALSE),"")</f>
        <v/>
      </c>
      <c r="S61" s="211" t="str">
        <f>IFERROR(VLOOKUP(TableHandbook[[#This Row],[UDC]],TableMCMMJRN[],7,FALSE),"")</f>
        <v/>
      </c>
      <c r="T61" s="211" t="str">
        <f>IFERROR(VLOOKUP(TableHandbook[[#This Row],[UDC]],TableGDMMJRN[],7,FALSE),"")</f>
        <v/>
      </c>
      <c r="U61" s="211" t="str">
        <f>IFERROR(VLOOKUP(TableHandbook[[#This Row],[UDC]],TableGCMMJRN[],7,FALSE),"")</f>
        <v/>
      </c>
      <c r="V61" s="213" t="str">
        <f>IFERROR(VLOOKUP(TableHandbook[[#This Row],[UDC]],TableMCHRIGLO[],7,FALSE),"")</f>
        <v/>
      </c>
      <c r="W61" s="211" t="str">
        <f>IFERROR(VLOOKUP(TableHandbook[[#This Row],[UDC]],TableMCHRIGHT[],7,FALSE),"")</f>
        <v/>
      </c>
      <c r="X61" s="211" t="str">
        <f>IFERROR(VLOOKUP(TableHandbook[[#This Row],[UDC]],TableGDHRIGHT[],7,FALSE),"")</f>
        <v/>
      </c>
      <c r="Y61" s="211" t="str">
        <f>IFERROR(VLOOKUP(TableHandbook[[#This Row],[UDC]],TableGCHRIGHT[],7,FALSE),"")</f>
        <v/>
      </c>
      <c r="Z61" s="213" t="str">
        <f>IFERROR(VLOOKUP(TableHandbook[[#This Row],[UDC]],TableMCGLOBL2[],7,FALSE),"")</f>
        <v/>
      </c>
      <c r="AA61" s="211" t="str">
        <f>IFERROR(VLOOKUP(TableHandbook[[#This Row],[UDC]],TableMCGLOBL[],7,FALSE),"")</f>
        <v/>
      </c>
      <c r="AB61" s="211" t="str">
        <f>IFERROR(VLOOKUP(TableHandbook[[#This Row],[UDC]],TableSTRPGLOBL[],7,FALSE),"")</f>
        <v/>
      </c>
      <c r="AC61" s="211" t="str">
        <f>IFERROR(VLOOKUP(TableHandbook[[#This Row],[UDC]],TableSTRPHRIGT[],7,FALSE),"")</f>
        <v/>
      </c>
      <c r="AD61" s="211" t="str">
        <f>IFERROR(VLOOKUP(TableHandbook[[#This Row],[UDC]],TableSTRPINTRN[],7,FALSE),"")</f>
        <v/>
      </c>
      <c r="AE61" s="211" t="str">
        <f>IFERROR(VLOOKUP(TableHandbook[[#This Row],[UDC]],TableGCGLOBL[],7,FALSE),"")</f>
        <v/>
      </c>
      <c r="AF61" s="213" t="str">
        <f>IFERROR(VLOOKUP(TableHandbook[[#This Row],[UDC]],TableMCINTREL[],7,FALSE),"")</f>
        <v/>
      </c>
      <c r="AG61" s="211" t="str">
        <f>IFERROR(VLOOKUP(TableHandbook[[#This Row],[UDC]],TableMCINTSEC[],7,FALSE),"")</f>
        <v/>
      </c>
      <c r="AH61" s="211" t="str">
        <f>IFERROR(VLOOKUP(TableHandbook[[#This Row],[UDC]],TableGDINTSEC[],7,FALSE),"")</f>
        <v/>
      </c>
      <c r="AI61" s="211" t="str">
        <f>IFERROR(VLOOKUP(TableHandbook[[#This Row],[UDC]],TableGCINTSEC[],7,FALSE),"")</f>
        <v/>
      </c>
      <c r="AJ61" s="211" t="str">
        <f>IFERROR(VLOOKUP(TableHandbook[[#This Row],[UDC]],TableGCINTELL[],7,FALSE),"")</f>
        <v/>
      </c>
      <c r="AK61" s="211" t="str">
        <f>IFERROR(VLOOKUP(TableHandbook[[#This Row],[UDC]],TableGCIPCSEC[],7,FALSE),"")</f>
        <v/>
      </c>
    </row>
    <row r="62" spans="1:37" x14ac:dyDescent="0.3">
      <c r="A62" s="2" t="s">
        <v>272</v>
      </c>
      <c r="B62" s="3">
        <v>2</v>
      </c>
      <c r="C62" s="3"/>
      <c r="D62" s="209" t="s">
        <v>473</v>
      </c>
      <c r="E62" s="3">
        <v>25</v>
      </c>
      <c r="F62" s="149" t="s">
        <v>108</v>
      </c>
      <c r="G62" s="96" t="str">
        <f>IFERROR(IF(VLOOKUP(TableHandbook[[#This Row],[UDC]],TableAvailabilities[],2,FALSE)&gt;0,"Y",""),"")</f>
        <v/>
      </c>
      <c r="H62" s="96" t="str">
        <f>IFERROR(IF(VLOOKUP(TableHandbook[[#This Row],[UDC]],TableAvailabilities[],3,FALSE)&gt;0,"Y",""),"")</f>
        <v/>
      </c>
      <c r="I62" s="96" t="str">
        <f>IFERROR(IF(VLOOKUP(TableHandbook[[#This Row],[UDC]],TableAvailabilities[],4,FALSE)&gt;0,"Y",""),"")</f>
        <v>Y</v>
      </c>
      <c r="J62" s="96" t="str">
        <f>IFERROR(IF(VLOOKUP(TableHandbook[[#This Row],[UDC]],TableAvailabilities[],5,FALSE)&gt;0,"Y",""),"")</f>
        <v>Y</v>
      </c>
      <c r="K62" s="209"/>
      <c r="L62" s="213" t="str">
        <f>IFERROR(VLOOKUP(TableHandbook[[#This Row],[UDC]],TableMCARTS[],7,FALSE),"")</f>
        <v/>
      </c>
      <c r="M62" s="211" t="str">
        <f>IFERROR(VLOOKUP(TableHandbook[[#This Row],[UDC]],TableMJRPCWRIT[],7,FALSE),"")</f>
        <v/>
      </c>
      <c r="N62" s="211" t="str">
        <f>IFERROR(VLOOKUP(TableHandbook[[#This Row],[UDC]],TableMJRPDGCMS[],7,FALSE),"")</f>
        <v/>
      </c>
      <c r="O62" s="211" t="str">
        <f>IFERROR(VLOOKUP(TableHandbook[[#This Row],[UDC]],TableMJRPFINAR[],7,FALSE),"")</f>
        <v/>
      </c>
      <c r="P62" s="211" t="str">
        <f>IFERROR(VLOOKUP(TableHandbook[[#This Row],[UDC]],TableMJRPPWRIT[],7,FALSE),"")</f>
        <v/>
      </c>
      <c r="Q62" s="211" t="str">
        <f>IFERROR(VLOOKUP(TableHandbook[[#This Row],[UDC]],TableMJRPSCRAR[],7,FALSE),"")</f>
        <v/>
      </c>
      <c r="R62" s="213" t="str">
        <f>IFERROR(VLOOKUP(TableHandbook[[#This Row],[UDC]],TableMCMMJRG[],7,FALSE),"")</f>
        <v/>
      </c>
      <c r="S62" s="211" t="str">
        <f>IFERROR(VLOOKUP(TableHandbook[[#This Row],[UDC]],TableMCMMJRN[],7,FALSE),"")</f>
        <v/>
      </c>
      <c r="T62" s="211" t="str">
        <f>IFERROR(VLOOKUP(TableHandbook[[#This Row],[UDC]],TableGDMMJRN[],7,FALSE),"")</f>
        <v/>
      </c>
      <c r="U62" s="211" t="str">
        <f>IFERROR(VLOOKUP(TableHandbook[[#This Row],[UDC]],TableGCMMJRN[],7,FALSE),"")</f>
        <v/>
      </c>
      <c r="V62" s="213" t="str">
        <f>IFERROR(VLOOKUP(TableHandbook[[#This Row],[UDC]],TableMCHRIGLO[],7,FALSE),"")</f>
        <v>Core</v>
      </c>
      <c r="W62" s="211" t="str">
        <f>IFERROR(VLOOKUP(TableHandbook[[#This Row],[UDC]],TableMCHRIGHT[],7,FALSE),"")</f>
        <v>Core</v>
      </c>
      <c r="X62" s="211" t="str">
        <f>IFERROR(VLOOKUP(TableHandbook[[#This Row],[UDC]],TableGDHRIGHT[],7,FALSE),"")</f>
        <v>Core</v>
      </c>
      <c r="Y62" s="211" t="str">
        <f>IFERROR(VLOOKUP(TableHandbook[[#This Row],[UDC]],TableGCHRIGHT[],7,FALSE),"")</f>
        <v>Option</v>
      </c>
      <c r="Z62" s="213" t="str">
        <f>IFERROR(VLOOKUP(TableHandbook[[#This Row],[UDC]],TableMCGLOBL2[],7,FALSE),"")</f>
        <v/>
      </c>
      <c r="AA62" s="211" t="str">
        <f>IFERROR(VLOOKUP(TableHandbook[[#This Row],[UDC]],TableMCGLOBL[],7,FALSE),"")</f>
        <v/>
      </c>
      <c r="AB62" s="211" t="str">
        <f>IFERROR(VLOOKUP(TableHandbook[[#This Row],[UDC]],TableSTRPGLOBL[],7,FALSE),"")</f>
        <v/>
      </c>
      <c r="AC62" s="211" t="str">
        <f>IFERROR(VLOOKUP(TableHandbook[[#This Row],[UDC]],TableSTRPHRIGT[],7,FALSE),"")</f>
        <v>Option</v>
      </c>
      <c r="AD62" s="211" t="str">
        <f>IFERROR(VLOOKUP(TableHandbook[[#This Row],[UDC]],TableSTRPINTRN[],7,FALSE),"")</f>
        <v/>
      </c>
      <c r="AE62" s="211" t="str">
        <f>IFERROR(VLOOKUP(TableHandbook[[#This Row],[UDC]],TableGCGLOBL[],7,FALSE),"")</f>
        <v/>
      </c>
      <c r="AF62" s="213" t="str">
        <f>IFERROR(VLOOKUP(TableHandbook[[#This Row],[UDC]],TableMCINTREL[],7,FALSE),"")</f>
        <v/>
      </c>
      <c r="AG62" s="211" t="str">
        <f>IFERROR(VLOOKUP(TableHandbook[[#This Row],[UDC]],TableMCINTSEC[],7,FALSE),"")</f>
        <v/>
      </c>
      <c r="AH62" s="211" t="str">
        <f>IFERROR(VLOOKUP(TableHandbook[[#This Row],[UDC]],TableGDINTSEC[],7,FALSE),"")</f>
        <v/>
      </c>
      <c r="AI62" s="211" t="str">
        <f>IFERROR(VLOOKUP(TableHandbook[[#This Row],[UDC]],TableGCINTSEC[],7,FALSE),"")</f>
        <v/>
      </c>
      <c r="AJ62" s="211" t="str">
        <f>IFERROR(VLOOKUP(TableHandbook[[#This Row],[UDC]],TableGCINTELL[],7,FALSE),"")</f>
        <v/>
      </c>
      <c r="AK62" s="211" t="str">
        <f>IFERROR(VLOOKUP(TableHandbook[[#This Row],[UDC]],TableGCIPCSEC[],7,FALSE),"")</f>
        <v/>
      </c>
    </row>
    <row r="63" spans="1:37" x14ac:dyDescent="0.3">
      <c r="A63" s="2" t="s">
        <v>273</v>
      </c>
      <c r="B63" s="3">
        <v>2</v>
      </c>
      <c r="C63" s="3"/>
      <c r="D63" s="209" t="s">
        <v>474</v>
      </c>
      <c r="E63" s="3">
        <v>25</v>
      </c>
      <c r="F63" s="149" t="s">
        <v>108</v>
      </c>
      <c r="G63" s="96" t="str">
        <f>IFERROR(IF(VLOOKUP(TableHandbook[[#This Row],[UDC]],TableAvailabilities[],2,FALSE)&gt;0,"Y",""),"")</f>
        <v>Y</v>
      </c>
      <c r="H63" s="96" t="str">
        <f>IFERROR(IF(VLOOKUP(TableHandbook[[#This Row],[UDC]],TableAvailabilities[],3,FALSE)&gt;0,"Y",""),"")</f>
        <v>Y</v>
      </c>
      <c r="I63" s="96" t="str">
        <f>IFERROR(IF(VLOOKUP(TableHandbook[[#This Row],[UDC]],TableAvailabilities[],4,FALSE)&gt;0,"Y",""),"")</f>
        <v/>
      </c>
      <c r="J63" s="96" t="str">
        <f>IFERROR(IF(VLOOKUP(TableHandbook[[#This Row],[UDC]],TableAvailabilities[],5,FALSE)&gt;0,"Y",""),"")</f>
        <v/>
      </c>
      <c r="K63" s="209"/>
      <c r="L63" s="213" t="str">
        <f>IFERROR(VLOOKUP(TableHandbook[[#This Row],[UDC]],TableMCARTS[],7,FALSE),"")</f>
        <v/>
      </c>
      <c r="M63" s="211" t="str">
        <f>IFERROR(VLOOKUP(TableHandbook[[#This Row],[UDC]],TableMJRPCWRIT[],7,FALSE),"")</f>
        <v/>
      </c>
      <c r="N63" s="211" t="str">
        <f>IFERROR(VLOOKUP(TableHandbook[[#This Row],[UDC]],TableMJRPDGCMS[],7,FALSE),"")</f>
        <v/>
      </c>
      <c r="O63" s="211" t="str">
        <f>IFERROR(VLOOKUP(TableHandbook[[#This Row],[UDC]],TableMJRPFINAR[],7,FALSE),"")</f>
        <v/>
      </c>
      <c r="P63" s="211" t="str">
        <f>IFERROR(VLOOKUP(TableHandbook[[#This Row],[UDC]],TableMJRPPWRIT[],7,FALSE),"")</f>
        <v/>
      </c>
      <c r="Q63" s="211" t="str">
        <f>IFERROR(VLOOKUP(TableHandbook[[#This Row],[UDC]],TableMJRPSCRAR[],7,FALSE),"")</f>
        <v/>
      </c>
      <c r="R63" s="213" t="str">
        <f>IFERROR(VLOOKUP(TableHandbook[[#This Row],[UDC]],TableMCMMJRG[],7,FALSE),"")</f>
        <v/>
      </c>
      <c r="S63" s="211" t="str">
        <f>IFERROR(VLOOKUP(TableHandbook[[#This Row],[UDC]],TableMCMMJRN[],7,FALSE),"")</f>
        <v/>
      </c>
      <c r="T63" s="211" t="str">
        <f>IFERROR(VLOOKUP(TableHandbook[[#This Row],[UDC]],TableGDMMJRN[],7,FALSE),"")</f>
        <v/>
      </c>
      <c r="U63" s="211" t="str">
        <f>IFERROR(VLOOKUP(TableHandbook[[#This Row],[UDC]],TableGCMMJRN[],7,FALSE),"")</f>
        <v/>
      </c>
      <c r="V63" s="213" t="str">
        <f>IFERROR(VLOOKUP(TableHandbook[[#This Row],[UDC]],TableMCHRIGLO[],7,FALSE),"")</f>
        <v>Core</v>
      </c>
      <c r="W63" s="211" t="str">
        <f>IFERROR(VLOOKUP(TableHandbook[[#This Row],[UDC]],TableMCHRIGHT[],7,FALSE),"")</f>
        <v>Core</v>
      </c>
      <c r="X63" s="211" t="str">
        <f>IFERROR(VLOOKUP(TableHandbook[[#This Row],[UDC]],TableGDHRIGHT[],7,FALSE),"")</f>
        <v>Core</v>
      </c>
      <c r="Y63" s="211" t="str">
        <f>IFERROR(VLOOKUP(TableHandbook[[#This Row],[UDC]],TableGCHRIGHT[],7,FALSE),"")</f>
        <v>Option</v>
      </c>
      <c r="Z63" s="213" t="str">
        <f>IFERROR(VLOOKUP(TableHandbook[[#This Row],[UDC]],TableMCGLOBL2[],7,FALSE),"")</f>
        <v/>
      </c>
      <c r="AA63" s="211" t="str">
        <f>IFERROR(VLOOKUP(TableHandbook[[#This Row],[UDC]],TableMCGLOBL[],7,FALSE),"")</f>
        <v/>
      </c>
      <c r="AB63" s="211" t="str">
        <f>IFERROR(VLOOKUP(TableHandbook[[#This Row],[UDC]],TableSTRPGLOBL[],7,FALSE),"")</f>
        <v/>
      </c>
      <c r="AC63" s="211" t="str">
        <f>IFERROR(VLOOKUP(TableHandbook[[#This Row],[UDC]],TableSTRPHRIGT[],7,FALSE),"")</f>
        <v>Option</v>
      </c>
      <c r="AD63" s="211" t="str">
        <f>IFERROR(VLOOKUP(TableHandbook[[#This Row],[UDC]],TableSTRPINTRN[],7,FALSE),"")</f>
        <v/>
      </c>
      <c r="AE63" s="211" t="str">
        <f>IFERROR(VLOOKUP(TableHandbook[[#This Row],[UDC]],TableGCGLOBL[],7,FALSE),"")</f>
        <v/>
      </c>
      <c r="AF63" s="213" t="str">
        <f>IFERROR(VLOOKUP(TableHandbook[[#This Row],[UDC]],TableMCINTREL[],7,FALSE),"")</f>
        <v/>
      </c>
      <c r="AG63" s="211" t="str">
        <f>IFERROR(VLOOKUP(TableHandbook[[#This Row],[UDC]],TableMCINTSEC[],7,FALSE),"")</f>
        <v/>
      </c>
      <c r="AH63" s="211" t="str">
        <f>IFERROR(VLOOKUP(TableHandbook[[#This Row],[UDC]],TableGDINTSEC[],7,FALSE),"")</f>
        <v/>
      </c>
      <c r="AI63" s="211" t="str">
        <f>IFERROR(VLOOKUP(TableHandbook[[#This Row],[UDC]],TableGCINTSEC[],7,FALSE),"")</f>
        <v/>
      </c>
      <c r="AJ63" s="211" t="str">
        <f>IFERROR(VLOOKUP(TableHandbook[[#This Row],[UDC]],TableGCINTELL[],7,FALSE),"")</f>
        <v/>
      </c>
      <c r="AK63" s="211" t="str">
        <f>IFERROR(VLOOKUP(TableHandbook[[#This Row],[UDC]],TableGCIPCSEC[],7,FALSE),"")</f>
        <v/>
      </c>
    </row>
    <row r="64" spans="1:37" x14ac:dyDescent="0.3">
      <c r="A64" s="2" t="s">
        <v>281</v>
      </c>
      <c r="B64" s="3">
        <v>2</v>
      </c>
      <c r="C64" s="3"/>
      <c r="D64" s="209" t="s">
        <v>475</v>
      </c>
      <c r="E64" s="3">
        <v>25</v>
      </c>
      <c r="F64" s="149" t="s">
        <v>108</v>
      </c>
      <c r="G64" s="96" t="str">
        <f>IFERROR(IF(VLOOKUP(TableHandbook[[#This Row],[UDC]],TableAvailabilities[],2,FALSE)&gt;0,"Y",""),"")</f>
        <v/>
      </c>
      <c r="H64" s="96" t="str">
        <f>IFERROR(IF(VLOOKUP(TableHandbook[[#This Row],[UDC]],TableAvailabilities[],3,FALSE)&gt;0,"Y",""),"")</f>
        <v/>
      </c>
      <c r="I64" s="96" t="str">
        <f>IFERROR(IF(VLOOKUP(TableHandbook[[#This Row],[UDC]],TableAvailabilities[],4,FALSE)&gt;0,"Y",""),"")</f>
        <v>Y</v>
      </c>
      <c r="J64" s="96" t="str">
        <f>IFERROR(IF(VLOOKUP(TableHandbook[[#This Row],[UDC]],TableAvailabilities[],5,FALSE)&gt;0,"Y",""),"")</f>
        <v>Y</v>
      </c>
      <c r="K64" s="209"/>
      <c r="L64" s="213" t="str">
        <f>IFERROR(VLOOKUP(TableHandbook[[#This Row],[UDC]],TableMCARTS[],7,FALSE),"")</f>
        <v/>
      </c>
      <c r="M64" s="211" t="str">
        <f>IFERROR(VLOOKUP(TableHandbook[[#This Row],[UDC]],TableMJRPCWRIT[],7,FALSE),"")</f>
        <v/>
      </c>
      <c r="N64" s="211" t="str">
        <f>IFERROR(VLOOKUP(TableHandbook[[#This Row],[UDC]],TableMJRPDGCMS[],7,FALSE),"")</f>
        <v/>
      </c>
      <c r="O64" s="211" t="str">
        <f>IFERROR(VLOOKUP(TableHandbook[[#This Row],[UDC]],TableMJRPFINAR[],7,FALSE),"")</f>
        <v/>
      </c>
      <c r="P64" s="211" t="str">
        <f>IFERROR(VLOOKUP(TableHandbook[[#This Row],[UDC]],TableMJRPPWRIT[],7,FALSE),"")</f>
        <v/>
      </c>
      <c r="Q64" s="211" t="str">
        <f>IFERROR(VLOOKUP(TableHandbook[[#This Row],[UDC]],TableMJRPSCRAR[],7,FALSE),"")</f>
        <v/>
      </c>
      <c r="R64" s="213" t="str">
        <f>IFERROR(VLOOKUP(TableHandbook[[#This Row],[UDC]],TableMCMMJRG[],7,FALSE),"")</f>
        <v>Option</v>
      </c>
      <c r="S64" s="211" t="str">
        <f>IFERROR(VLOOKUP(TableHandbook[[#This Row],[UDC]],TableMCMMJRN[],7,FALSE),"")</f>
        <v/>
      </c>
      <c r="T64" s="211" t="str">
        <f>IFERROR(VLOOKUP(TableHandbook[[#This Row],[UDC]],TableGDMMJRN[],7,FALSE),"")</f>
        <v/>
      </c>
      <c r="U64" s="211" t="str">
        <f>IFERROR(VLOOKUP(TableHandbook[[#This Row],[UDC]],TableGCMMJRN[],7,FALSE),"")</f>
        <v/>
      </c>
      <c r="V64" s="213" t="str">
        <f>IFERROR(VLOOKUP(TableHandbook[[#This Row],[UDC]],TableMCHRIGLO[],7,FALSE),"")</f>
        <v>Core</v>
      </c>
      <c r="W64" s="211" t="str">
        <f>IFERROR(VLOOKUP(TableHandbook[[#This Row],[UDC]],TableMCHRIGHT[],7,FALSE),"")</f>
        <v>Core</v>
      </c>
      <c r="X64" s="211" t="str">
        <f>IFERROR(VLOOKUP(TableHandbook[[#This Row],[UDC]],TableGDHRIGHT[],7,FALSE),"")</f>
        <v>Core</v>
      </c>
      <c r="Y64" s="211" t="str">
        <f>IFERROR(VLOOKUP(TableHandbook[[#This Row],[UDC]],TableGCHRIGHT[],7,FALSE),"")</f>
        <v>Option</v>
      </c>
      <c r="Z64" s="213" t="str">
        <f>IFERROR(VLOOKUP(TableHandbook[[#This Row],[UDC]],TableMCGLOBL2[],7,FALSE),"")</f>
        <v/>
      </c>
      <c r="AA64" s="211" t="str">
        <f>IFERROR(VLOOKUP(TableHandbook[[#This Row],[UDC]],TableMCGLOBL[],7,FALSE),"")</f>
        <v/>
      </c>
      <c r="AB64" s="211" t="str">
        <f>IFERROR(VLOOKUP(TableHandbook[[#This Row],[UDC]],TableSTRPGLOBL[],7,FALSE),"")</f>
        <v/>
      </c>
      <c r="AC64" s="211" t="str">
        <f>IFERROR(VLOOKUP(TableHandbook[[#This Row],[UDC]],TableSTRPHRIGT[],7,FALSE),"")</f>
        <v>Option</v>
      </c>
      <c r="AD64" s="211" t="str">
        <f>IFERROR(VLOOKUP(TableHandbook[[#This Row],[UDC]],TableSTRPINTRN[],7,FALSE),"")</f>
        <v/>
      </c>
      <c r="AE64" s="211" t="str">
        <f>IFERROR(VLOOKUP(TableHandbook[[#This Row],[UDC]],TableGCGLOBL[],7,FALSE),"")</f>
        <v/>
      </c>
      <c r="AF64" s="213" t="str">
        <f>IFERROR(VLOOKUP(TableHandbook[[#This Row],[UDC]],TableMCINTREL[],7,FALSE),"")</f>
        <v/>
      </c>
      <c r="AG64" s="211" t="str">
        <f>IFERROR(VLOOKUP(TableHandbook[[#This Row],[UDC]],TableMCINTSEC[],7,FALSE),"")</f>
        <v/>
      </c>
      <c r="AH64" s="211" t="str">
        <f>IFERROR(VLOOKUP(TableHandbook[[#This Row],[UDC]],TableGDINTSEC[],7,FALSE),"")</f>
        <v/>
      </c>
      <c r="AI64" s="211" t="str">
        <f>IFERROR(VLOOKUP(TableHandbook[[#This Row],[UDC]],TableGCINTSEC[],7,FALSE),"")</f>
        <v/>
      </c>
      <c r="AJ64" s="211" t="str">
        <f>IFERROR(VLOOKUP(TableHandbook[[#This Row],[UDC]],TableGCINTELL[],7,FALSE),"")</f>
        <v/>
      </c>
      <c r="AK64" s="211" t="str">
        <f>IFERROR(VLOOKUP(TableHandbook[[#This Row],[UDC]],TableGCIPCSEC[],7,FALSE),"")</f>
        <v/>
      </c>
    </row>
    <row r="65" spans="1:37" x14ac:dyDescent="0.3">
      <c r="A65" s="2" t="s">
        <v>274</v>
      </c>
      <c r="B65" s="3">
        <v>2</v>
      </c>
      <c r="C65" s="3"/>
      <c r="D65" s="209" t="s">
        <v>476</v>
      </c>
      <c r="E65" s="3">
        <v>25</v>
      </c>
      <c r="F65" s="149" t="s">
        <v>108</v>
      </c>
      <c r="G65" s="96" t="str">
        <f>IFERROR(IF(VLOOKUP(TableHandbook[[#This Row],[UDC]],TableAvailabilities[],2,FALSE)&gt;0,"Y",""),"")</f>
        <v/>
      </c>
      <c r="H65" s="96" t="str">
        <f>IFERROR(IF(VLOOKUP(TableHandbook[[#This Row],[UDC]],TableAvailabilities[],3,FALSE)&gt;0,"Y",""),"")</f>
        <v/>
      </c>
      <c r="I65" s="96" t="str">
        <f>IFERROR(IF(VLOOKUP(TableHandbook[[#This Row],[UDC]],TableAvailabilities[],4,FALSE)&gt;0,"Y",""),"")</f>
        <v>Y</v>
      </c>
      <c r="J65" s="96" t="str">
        <f>IFERROR(IF(VLOOKUP(TableHandbook[[#This Row],[UDC]],TableAvailabilities[],5,FALSE)&gt;0,"Y",""),"")</f>
        <v>Y</v>
      </c>
      <c r="K65" s="209"/>
      <c r="L65" s="213" t="str">
        <f>IFERROR(VLOOKUP(TableHandbook[[#This Row],[UDC]],TableMCARTS[],7,FALSE),"")</f>
        <v/>
      </c>
      <c r="M65" s="211" t="str">
        <f>IFERROR(VLOOKUP(TableHandbook[[#This Row],[UDC]],TableMJRPCWRIT[],7,FALSE),"")</f>
        <v/>
      </c>
      <c r="N65" s="211" t="str">
        <f>IFERROR(VLOOKUP(TableHandbook[[#This Row],[UDC]],TableMJRPDGCMS[],7,FALSE),"")</f>
        <v/>
      </c>
      <c r="O65" s="211" t="str">
        <f>IFERROR(VLOOKUP(TableHandbook[[#This Row],[UDC]],TableMJRPFINAR[],7,FALSE),"")</f>
        <v/>
      </c>
      <c r="P65" s="211" t="str">
        <f>IFERROR(VLOOKUP(TableHandbook[[#This Row],[UDC]],TableMJRPPWRIT[],7,FALSE),"")</f>
        <v/>
      </c>
      <c r="Q65" s="211" t="str">
        <f>IFERROR(VLOOKUP(TableHandbook[[#This Row],[UDC]],TableMJRPSCRAR[],7,FALSE),"")</f>
        <v/>
      </c>
      <c r="R65" s="213" t="str">
        <f>IFERROR(VLOOKUP(TableHandbook[[#This Row],[UDC]],TableMCMMJRG[],7,FALSE),"")</f>
        <v>Option</v>
      </c>
      <c r="S65" s="211" t="str">
        <f>IFERROR(VLOOKUP(TableHandbook[[#This Row],[UDC]],TableMCMMJRN[],7,FALSE),"")</f>
        <v/>
      </c>
      <c r="T65" s="211" t="str">
        <f>IFERROR(VLOOKUP(TableHandbook[[#This Row],[UDC]],TableGDMMJRN[],7,FALSE),"")</f>
        <v/>
      </c>
      <c r="U65" s="211" t="str">
        <f>IFERROR(VLOOKUP(TableHandbook[[#This Row],[UDC]],TableGCMMJRN[],7,FALSE),"")</f>
        <v/>
      </c>
      <c r="V65" s="213" t="str">
        <f>IFERROR(VLOOKUP(TableHandbook[[#This Row],[UDC]],TableMCHRIGLO[],7,FALSE),"")</f>
        <v>Core</v>
      </c>
      <c r="W65" s="211" t="str">
        <f>IFERROR(VLOOKUP(TableHandbook[[#This Row],[UDC]],TableMCHRIGHT[],7,FALSE),"")</f>
        <v>Core</v>
      </c>
      <c r="X65" s="211" t="str">
        <f>IFERROR(VLOOKUP(TableHandbook[[#This Row],[UDC]],TableGDHRIGHT[],7,FALSE),"")</f>
        <v>Core</v>
      </c>
      <c r="Y65" s="211" t="str">
        <f>IFERROR(VLOOKUP(TableHandbook[[#This Row],[UDC]],TableGCHRIGHT[],7,FALSE),"")</f>
        <v>Option</v>
      </c>
      <c r="Z65" s="213" t="str">
        <f>IFERROR(VLOOKUP(TableHandbook[[#This Row],[UDC]],TableMCGLOBL2[],7,FALSE),"")</f>
        <v/>
      </c>
      <c r="AA65" s="211" t="str">
        <f>IFERROR(VLOOKUP(TableHandbook[[#This Row],[UDC]],TableMCGLOBL[],7,FALSE),"")</f>
        <v/>
      </c>
      <c r="AB65" s="211" t="str">
        <f>IFERROR(VLOOKUP(TableHandbook[[#This Row],[UDC]],TableSTRPGLOBL[],7,FALSE),"")</f>
        <v/>
      </c>
      <c r="AC65" s="211" t="str">
        <f>IFERROR(VLOOKUP(TableHandbook[[#This Row],[UDC]],TableSTRPHRIGT[],7,FALSE),"")</f>
        <v>Option</v>
      </c>
      <c r="AD65" s="211" t="str">
        <f>IFERROR(VLOOKUP(TableHandbook[[#This Row],[UDC]],TableSTRPINTRN[],7,FALSE),"")</f>
        <v/>
      </c>
      <c r="AE65" s="211" t="str">
        <f>IFERROR(VLOOKUP(TableHandbook[[#This Row],[UDC]],TableGCGLOBL[],7,FALSE),"")</f>
        <v/>
      </c>
      <c r="AF65" s="213" t="str">
        <f>IFERROR(VLOOKUP(TableHandbook[[#This Row],[UDC]],TableMCINTREL[],7,FALSE),"")</f>
        <v/>
      </c>
      <c r="AG65" s="211" t="str">
        <f>IFERROR(VLOOKUP(TableHandbook[[#This Row],[UDC]],TableMCINTSEC[],7,FALSE),"")</f>
        <v/>
      </c>
      <c r="AH65" s="211" t="str">
        <f>IFERROR(VLOOKUP(TableHandbook[[#This Row],[UDC]],TableGDINTSEC[],7,FALSE),"")</f>
        <v/>
      </c>
      <c r="AI65" s="211" t="str">
        <f>IFERROR(VLOOKUP(TableHandbook[[#This Row],[UDC]],TableGCINTSEC[],7,FALSE),"")</f>
        <v/>
      </c>
      <c r="AJ65" s="211" t="str">
        <f>IFERROR(VLOOKUP(TableHandbook[[#This Row],[UDC]],TableGCINTELL[],7,FALSE),"")</f>
        <v/>
      </c>
      <c r="AK65" s="211" t="str">
        <f>IFERROR(VLOOKUP(TableHandbook[[#This Row],[UDC]],TableGCIPCSEC[],7,FALSE),"")</f>
        <v/>
      </c>
    </row>
    <row r="66" spans="1:37" x14ac:dyDescent="0.3">
      <c r="A66" s="2" t="s">
        <v>290</v>
      </c>
      <c r="B66" s="3">
        <v>3</v>
      </c>
      <c r="C66" s="3"/>
      <c r="D66" s="209" t="s">
        <v>477</v>
      </c>
      <c r="E66" s="3">
        <v>25</v>
      </c>
      <c r="F66" s="149" t="s">
        <v>108</v>
      </c>
      <c r="G66" s="96" t="str">
        <f>IFERROR(IF(VLOOKUP(TableHandbook[[#This Row],[UDC]],TableAvailabilities[],2,FALSE)&gt;0,"Y",""),"")</f>
        <v/>
      </c>
      <c r="H66" s="96" t="str">
        <f>IFERROR(IF(VLOOKUP(TableHandbook[[#This Row],[UDC]],TableAvailabilities[],3,FALSE)&gt;0,"Y",""),"")</f>
        <v/>
      </c>
      <c r="I66" s="96" t="str">
        <f>IFERROR(IF(VLOOKUP(TableHandbook[[#This Row],[UDC]],TableAvailabilities[],4,FALSE)&gt;0,"Y",""),"")</f>
        <v/>
      </c>
      <c r="J66" s="96" t="str">
        <f>IFERROR(IF(VLOOKUP(TableHandbook[[#This Row],[UDC]],TableAvailabilities[],5,FALSE)&gt;0,"Y",""),"")</f>
        <v/>
      </c>
      <c r="K66" s="209"/>
      <c r="L66" s="213" t="str">
        <f>IFERROR(VLOOKUP(TableHandbook[[#This Row],[UDC]],TableMCARTS[],7,FALSE),"")</f>
        <v/>
      </c>
      <c r="M66" s="211" t="str">
        <f>IFERROR(VLOOKUP(TableHandbook[[#This Row],[UDC]],TableMJRPCWRIT[],7,FALSE),"")</f>
        <v/>
      </c>
      <c r="N66" s="211" t="str">
        <f>IFERROR(VLOOKUP(TableHandbook[[#This Row],[UDC]],TableMJRPDGCMS[],7,FALSE),"")</f>
        <v/>
      </c>
      <c r="O66" s="211" t="str">
        <f>IFERROR(VLOOKUP(TableHandbook[[#This Row],[UDC]],TableMJRPFINAR[],7,FALSE),"")</f>
        <v/>
      </c>
      <c r="P66" s="211" t="str">
        <f>IFERROR(VLOOKUP(TableHandbook[[#This Row],[UDC]],TableMJRPPWRIT[],7,FALSE),"")</f>
        <v/>
      </c>
      <c r="Q66" s="211" t="str">
        <f>IFERROR(VLOOKUP(TableHandbook[[#This Row],[UDC]],TableMJRPSCRAR[],7,FALSE),"")</f>
        <v/>
      </c>
      <c r="R66" s="213" t="str">
        <f>IFERROR(VLOOKUP(TableHandbook[[#This Row],[UDC]],TableMCMMJRG[],7,FALSE),"")</f>
        <v/>
      </c>
      <c r="S66" s="211" t="str">
        <f>IFERROR(VLOOKUP(TableHandbook[[#This Row],[UDC]],TableMCMMJRN[],7,FALSE),"")</f>
        <v/>
      </c>
      <c r="T66" s="211" t="str">
        <f>IFERROR(VLOOKUP(TableHandbook[[#This Row],[UDC]],TableGDMMJRN[],7,FALSE),"")</f>
        <v/>
      </c>
      <c r="U66" s="211" t="str">
        <f>IFERROR(VLOOKUP(TableHandbook[[#This Row],[UDC]],TableGCMMJRN[],7,FALSE),"")</f>
        <v/>
      </c>
      <c r="V66" s="213" t="str">
        <f>IFERROR(VLOOKUP(TableHandbook[[#This Row],[UDC]],TableMCHRIGLO[],7,FALSE),"")</f>
        <v/>
      </c>
      <c r="W66" s="211" t="str">
        <f>IFERROR(VLOOKUP(TableHandbook[[#This Row],[UDC]],TableMCHRIGHT[],7,FALSE),"")</f>
        <v/>
      </c>
      <c r="X66" s="211" t="str">
        <f>IFERROR(VLOOKUP(TableHandbook[[#This Row],[UDC]],TableGDHRIGHT[],7,FALSE),"")</f>
        <v/>
      </c>
      <c r="Y66" s="211" t="str">
        <f>IFERROR(VLOOKUP(TableHandbook[[#This Row],[UDC]],TableGCHRIGHT[],7,FALSE),"")</f>
        <v>Option</v>
      </c>
      <c r="Z66" s="213" t="str">
        <f>IFERROR(VLOOKUP(TableHandbook[[#This Row],[UDC]],TableMCGLOBL2[],7,FALSE),"")</f>
        <v/>
      </c>
      <c r="AA66" s="211" t="str">
        <f>IFERROR(VLOOKUP(TableHandbook[[#This Row],[UDC]],TableMCGLOBL[],7,FALSE),"")</f>
        <v/>
      </c>
      <c r="AB66" s="211" t="str">
        <f>IFERROR(VLOOKUP(TableHandbook[[#This Row],[UDC]],TableSTRPGLOBL[],7,FALSE),"")</f>
        <v/>
      </c>
      <c r="AC66" s="211" t="str">
        <f>IFERROR(VLOOKUP(TableHandbook[[#This Row],[UDC]],TableSTRPHRIGT[],7,FALSE),"")</f>
        <v>Option</v>
      </c>
      <c r="AD66" s="211" t="str">
        <f>IFERROR(VLOOKUP(TableHandbook[[#This Row],[UDC]],TableSTRPINTRN[],7,FALSE),"")</f>
        <v/>
      </c>
      <c r="AE66" s="211" t="str">
        <f>IFERROR(VLOOKUP(TableHandbook[[#This Row],[UDC]],TableGCGLOBL[],7,FALSE),"")</f>
        <v/>
      </c>
      <c r="AF66" s="213" t="str">
        <f>IFERROR(VLOOKUP(TableHandbook[[#This Row],[UDC]],TableMCINTREL[],7,FALSE),"")</f>
        <v/>
      </c>
      <c r="AG66" s="211" t="str">
        <f>IFERROR(VLOOKUP(TableHandbook[[#This Row],[UDC]],TableMCINTSEC[],7,FALSE),"")</f>
        <v/>
      </c>
      <c r="AH66" s="211" t="str">
        <f>IFERROR(VLOOKUP(TableHandbook[[#This Row],[UDC]],TableGDINTSEC[],7,FALSE),"")</f>
        <v/>
      </c>
      <c r="AI66" s="211" t="str">
        <f>IFERROR(VLOOKUP(TableHandbook[[#This Row],[UDC]],TableGCINTSEC[],7,FALSE),"")</f>
        <v/>
      </c>
      <c r="AJ66" s="211" t="str">
        <f>IFERROR(VLOOKUP(TableHandbook[[#This Row],[UDC]],TableGCINTELL[],7,FALSE),"")</f>
        <v/>
      </c>
      <c r="AK66" s="211" t="str">
        <f>IFERROR(VLOOKUP(TableHandbook[[#This Row],[UDC]],TableGCIPCSEC[],7,FALSE),"")</f>
        <v/>
      </c>
    </row>
    <row r="67" spans="1:37" x14ac:dyDescent="0.3">
      <c r="A67" s="2" t="s">
        <v>319</v>
      </c>
      <c r="B67" s="3">
        <v>4</v>
      </c>
      <c r="C67" s="3"/>
      <c r="D67" s="209" t="s">
        <v>478</v>
      </c>
      <c r="E67" s="3">
        <v>25</v>
      </c>
      <c r="F67" s="149" t="s">
        <v>108</v>
      </c>
      <c r="G67" s="96" t="str">
        <f>IFERROR(IF(VLOOKUP(TableHandbook[[#This Row],[UDC]],TableAvailabilities[],2,FALSE)&gt;0,"Y",""),"")</f>
        <v/>
      </c>
      <c r="H67" s="96" t="str">
        <f>IFERROR(IF(VLOOKUP(TableHandbook[[#This Row],[UDC]],TableAvailabilities[],3,FALSE)&gt;0,"Y",""),"")</f>
        <v/>
      </c>
      <c r="I67" s="96" t="str">
        <f>IFERROR(IF(VLOOKUP(TableHandbook[[#This Row],[UDC]],TableAvailabilities[],4,FALSE)&gt;0,"Y",""),"")</f>
        <v/>
      </c>
      <c r="J67" s="96" t="str">
        <f>IFERROR(IF(VLOOKUP(TableHandbook[[#This Row],[UDC]],TableAvailabilities[],5,FALSE)&gt;0,"Y",""),"")</f>
        <v/>
      </c>
      <c r="K67" s="209"/>
      <c r="L67" s="213" t="str">
        <f>IFERROR(VLOOKUP(TableHandbook[[#This Row],[UDC]],TableMCARTS[],7,FALSE),"")</f>
        <v/>
      </c>
      <c r="M67" s="211" t="str">
        <f>IFERROR(VLOOKUP(TableHandbook[[#This Row],[UDC]],TableMJRPCWRIT[],7,FALSE),"")</f>
        <v/>
      </c>
      <c r="N67" s="211" t="str">
        <f>IFERROR(VLOOKUP(TableHandbook[[#This Row],[UDC]],TableMJRPDGCMS[],7,FALSE),"")</f>
        <v/>
      </c>
      <c r="O67" s="211" t="str">
        <f>IFERROR(VLOOKUP(TableHandbook[[#This Row],[UDC]],TableMJRPFINAR[],7,FALSE),"")</f>
        <v/>
      </c>
      <c r="P67" s="211" t="str">
        <f>IFERROR(VLOOKUP(TableHandbook[[#This Row],[UDC]],TableMJRPPWRIT[],7,FALSE),"")</f>
        <v/>
      </c>
      <c r="Q67" s="211" t="str">
        <f>IFERROR(VLOOKUP(TableHandbook[[#This Row],[UDC]],TableMJRPSCRAR[],7,FALSE),"")</f>
        <v/>
      </c>
      <c r="R67" s="213" t="str">
        <f>IFERROR(VLOOKUP(TableHandbook[[#This Row],[UDC]],TableMCMMJRG[],7,FALSE),"")</f>
        <v>Option</v>
      </c>
      <c r="S67" s="211" t="str">
        <f>IFERROR(VLOOKUP(TableHandbook[[#This Row],[UDC]],TableMCMMJRN[],7,FALSE),"")</f>
        <v/>
      </c>
      <c r="T67" s="211" t="str">
        <f>IFERROR(VLOOKUP(TableHandbook[[#This Row],[UDC]],TableGDMMJRN[],7,FALSE),"")</f>
        <v/>
      </c>
      <c r="U67" s="211" t="str">
        <f>IFERROR(VLOOKUP(TableHandbook[[#This Row],[UDC]],TableGCMMJRN[],7,FALSE),"")</f>
        <v/>
      </c>
      <c r="V67" s="213" t="str">
        <f>IFERROR(VLOOKUP(TableHandbook[[#This Row],[UDC]],TableMCHRIGLO[],7,FALSE),"")</f>
        <v/>
      </c>
      <c r="W67" s="211" t="str">
        <f>IFERROR(VLOOKUP(TableHandbook[[#This Row],[UDC]],TableMCHRIGHT[],7,FALSE),"")</f>
        <v/>
      </c>
      <c r="X67" s="211" t="str">
        <f>IFERROR(VLOOKUP(TableHandbook[[#This Row],[UDC]],TableGDHRIGHT[],7,FALSE),"")</f>
        <v/>
      </c>
      <c r="Y67" s="211" t="str">
        <f>IFERROR(VLOOKUP(TableHandbook[[#This Row],[UDC]],TableGCHRIGHT[],7,FALSE),"")</f>
        <v/>
      </c>
      <c r="Z67" s="213" t="str">
        <f>IFERROR(VLOOKUP(TableHandbook[[#This Row],[UDC]],TableMCGLOBL2[],7,FALSE),"")</f>
        <v/>
      </c>
      <c r="AA67" s="211" t="str">
        <f>IFERROR(VLOOKUP(TableHandbook[[#This Row],[UDC]],TableMCGLOBL[],7,FALSE),"")</f>
        <v/>
      </c>
      <c r="AB67" s="211" t="str">
        <f>IFERROR(VLOOKUP(TableHandbook[[#This Row],[UDC]],TableSTRPGLOBL[],7,FALSE),"")</f>
        <v/>
      </c>
      <c r="AC67" s="211" t="str">
        <f>IFERROR(VLOOKUP(TableHandbook[[#This Row],[UDC]],TableSTRPHRIGT[],7,FALSE),"")</f>
        <v/>
      </c>
      <c r="AD67" s="211" t="str">
        <f>IFERROR(VLOOKUP(TableHandbook[[#This Row],[UDC]],TableSTRPINTRN[],7,FALSE),"")</f>
        <v/>
      </c>
      <c r="AE67" s="211" t="str">
        <f>IFERROR(VLOOKUP(TableHandbook[[#This Row],[UDC]],TableGCGLOBL[],7,FALSE),"")</f>
        <v/>
      </c>
      <c r="AF67" s="213" t="str">
        <f>IFERROR(VLOOKUP(TableHandbook[[#This Row],[UDC]],TableMCINTREL[],7,FALSE),"")</f>
        <v/>
      </c>
      <c r="AG67" s="211" t="str">
        <f>IFERROR(VLOOKUP(TableHandbook[[#This Row],[UDC]],TableMCINTSEC[],7,FALSE),"")</f>
        <v/>
      </c>
      <c r="AH67" s="211" t="str">
        <f>IFERROR(VLOOKUP(TableHandbook[[#This Row],[UDC]],TableGDINTSEC[],7,FALSE),"")</f>
        <v/>
      </c>
      <c r="AI67" s="211" t="str">
        <f>IFERROR(VLOOKUP(TableHandbook[[#This Row],[UDC]],TableGCINTSEC[],7,FALSE),"")</f>
        <v/>
      </c>
      <c r="AJ67" s="211" t="str">
        <f>IFERROR(VLOOKUP(TableHandbook[[#This Row],[UDC]],TableGCINTELL[],7,FALSE),"")</f>
        <v/>
      </c>
      <c r="AK67" s="211" t="str">
        <f>IFERROR(VLOOKUP(TableHandbook[[#This Row],[UDC]],TableGCIPCSEC[],7,FALSE),"")</f>
        <v/>
      </c>
    </row>
    <row r="68" spans="1:37" x14ac:dyDescent="0.3">
      <c r="A68" s="2" t="s">
        <v>271</v>
      </c>
      <c r="B68" s="3">
        <v>2</v>
      </c>
      <c r="C68" s="3"/>
      <c r="D68" s="209" t="s">
        <v>479</v>
      </c>
      <c r="E68" s="3">
        <v>25</v>
      </c>
      <c r="F68" s="149" t="s">
        <v>108</v>
      </c>
      <c r="G68" s="96" t="str">
        <f>IFERROR(IF(VLOOKUP(TableHandbook[[#This Row],[UDC]],TableAvailabilities[],2,FALSE)&gt;0,"Y",""),"")</f>
        <v>Y</v>
      </c>
      <c r="H68" s="96" t="str">
        <f>IFERROR(IF(VLOOKUP(TableHandbook[[#This Row],[UDC]],TableAvailabilities[],3,FALSE)&gt;0,"Y",""),"")</f>
        <v>Y</v>
      </c>
      <c r="I68" s="96" t="str">
        <f>IFERROR(IF(VLOOKUP(TableHandbook[[#This Row],[UDC]],TableAvailabilities[],4,FALSE)&gt;0,"Y",""),"")</f>
        <v/>
      </c>
      <c r="J68" s="96" t="str">
        <f>IFERROR(IF(VLOOKUP(TableHandbook[[#This Row],[UDC]],TableAvailabilities[],5,FALSE)&gt;0,"Y",""),"")</f>
        <v/>
      </c>
      <c r="K68" s="209"/>
      <c r="L68" s="213" t="str">
        <f>IFERROR(VLOOKUP(TableHandbook[[#This Row],[UDC]],TableMCARTS[],7,FALSE),"")</f>
        <v/>
      </c>
      <c r="M68" s="211" t="str">
        <f>IFERROR(VLOOKUP(TableHandbook[[#This Row],[UDC]],TableMJRPCWRIT[],7,FALSE),"")</f>
        <v/>
      </c>
      <c r="N68" s="211" t="str">
        <f>IFERROR(VLOOKUP(TableHandbook[[#This Row],[UDC]],TableMJRPDGCMS[],7,FALSE),"")</f>
        <v/>
      </c>
      <c r="O68" s="211" t="str">
        <f>IFERROR(VLOOKUP(TableHandbook[[#This Row],[UDC]],TableMJRPFINAR[],7,FALSE),"")</f>
        <v/>
      </c>
      <c r="P68" s="211" t="str">
        <f>IFERROR(VLOOKUP(TableHandbook[[#This Row],[UDC]],TableMJRPPWRIT[],7,FALSE),"")</f>
        <v/>
      </c>
      <c r="Q68" s="211" t="str">
        <f>IFERROR(VLOOKUP(TableHandbook[[#This Row],[UDC]],TableMJRPSCRAR[],7,FALSE),"")</f>
        <v/>
      </c>
      <c r="R68" s="213" t="str">
        <f>IFERROR(VLOOKUP(TableHandbook[[#This Row],[UDC]],TableMCMMJRG[],7,FALSE),"")</f>
        <v/>
      </c>
      <c r="S68" s="211" t="str">
        <f>IFERROR(VLOOKUP(TableHandbook[[#This Row],[UDC]],TableMCMMJRN[],7,FALSE),"")</f>
        <v/>
      </c>
      <c r="T68" s="211" t="str">
        <f>IFERROR(VLOOKUP(TableHandbook[[#This Row],[UDC]],TableGDMMJRN[],7,FALSE),"")</f>
        <v/>
      </c>
      <c r="U68" s="211" t="str">
        <f>IFERROR(VLOOKUP(TableHandbook[[#This Row],[UDC]],TableGCMMJRN[],7,FALSE),"")</f>
        <v/>
      </c>
      <c r="V68" s="213" t="str">
        <f>IFERROR(VLOOKUP(TableHandbook[[#This Row],[UDC]],TableMCHRIGLO[],7,FALSE),"")</f>
        <v>Core</v>
      </c>
      <c r="W68" s="211" t="str">
        <f>IFERROR(VLOOKUP(TableHandbook[[#This Row],[UDC]],TableMCHRIGHT[],7,FALSE),"")</f>
        <v>Core</v>
      </c>
      <c r="X68" s="211" t="str">
        <f>IFERROR(VLOOKUP(TableHandbook[[#This Row],[UDC]],TableGDHRIGHT[],7,FALSE),"")</f>
        <v>Core</v>
      </c>
      <c r="Y68" s="211" t="str">
        <f>IFERROR(VLOOKUP(TableHandbook[[#This Row],[UDC]],TableGCHRIGHT[],7,FALSE),"")</f>
        <v/>
      </c>
      <c r="Z68" s="213" t="str">
        <f>IFERROR(VLOOKUP(TableHandbook[[#This Row],[UDC]],TableMCGLOBL2[],7,FALSE),"")</f>
        <v/>
      </c>
      <c r="AA68" s="211" t="str">
        <f>IFERROR(VLOOKUP(TableHandbook[[#This Row],[UDC]],TableMCGLOBL[],7,FALSE),"")</f>
        <v/>
      </c>
      <c r="AB68" s="211" t="str">
        <f>IFERROR(VLOOKUP(TableHandbook[[#This Row],[UDC]],TableSTRPGLOBL[],7,FALSE),"")</f>
        <v/>
      </c>
      <c r="AC68" s="211" t="str">
        <f>IFERROR(VLOOKUP(TableHandbook[[#This Row],[UDC]],TableSTRPHRIGT[],7,FALSE),"")</f>
        <v/>
      </c>
      <c r="AD68" s="211" t="str">
        <f>IFERROR(VLOOKUP(TableHandbook[[#This Row],[UDC]],TableSTRPINTRN[],7,FALSE),"")</f>
        <v/>
      </c>
      <c r="AE68" s="211" t="str">
        <f>IFERROR(VLOOKUP(TableHandbook[[#This Row],[UDC]],TableGCGLOBL[],7,FALSE),"")</f>
        <v/>
      </c>
      <c r="AF68" s="213" t="str">
        <f>IFERROR(VLOOKUP(TableHandbook[[#This Row],[UDC]],TableMCINTREL[],7,FALSE),"")</f>
        <v/>
      </c>
      <c r="AG68" s="211" t="str">
        <f>IFERROR(VLOOKUP(TableHandbook[[#This Row],[UDC]],TableMCINTSEC[],7,FALSE),"")</f>
        <v/>
      </c>
      <c r="AH68" s="211" t="str">
        <f>IFERROR(VLOOKUP(TableHandbook[[#This Row],[UDC]],TableGDINTSEC[],7,FALSE),"")</f>
        <v/>
      </c>
      <c r="AI68" s="211" t="str">
        <f>IFERROR(VLOOKUP(TableHandbook[[#This Row],[UDC]],TableGCINTSEC[],7,FALSE),"")</f>
        <v/>
      </c>
      <c r="AJ68" s="211" t="str">
        <f>IFERROR(VLOOKUP(TableHandbook[[#This Row],[UDC]],TableGCINTELL[],7,FALSE),"")</f>
        <v/>
      </c>
      <c r="AK68" s="211" t="str">
        <f>IFERROR(VLOOKUP(TableHandbook[[#This Row],[UDC]],TableGCIPCSEC[],7,FALSE),"")</f>
        <v/>
      </c>
    </row>
    <row r="69" spans="1:37" x14ac:dyDescent="0.3">
      <c r="A69" s="2" t="s">
        <v>270</v>
      </c>
      <c r="B69" s="3">
        <v>2</v>
      </c>
      <c r="C69" s="3"/>
      <c r="D69" s="209" t="s">
        <v>480</v>
      </c>
      <c r="E69" s="3">
        <v>25</v>
      </c>
      <c r="F69" s="149" t="s">
        <v>108</v>
      </c>
      <c r="G69" s="96" t="str">
        <f>IFERROR(IF(VLOOKUP(TableHandbook[[#This Row],[UDC]],TableAvailabilities[],2,FALSE)&gt;0,"Y",""),"")</f>
        <v/>
      </c>
      <c r="H69" s="96" t="str">
        <f>IFERROR(IF(VLOOKUP(TableHandbook[[#This Row],[UDC]],TableAvailabilities[],3,FALSE)&gt;0,"Y",""),"")</f>
        <v/>
      </c>
      <c r="I69" s="96" t="str">
        <f>IFERROR(IF(VLOOKUP(TableHandbook[[#This Row],[UDC]],TableAvailabilities[],4,FALSE)&gt;0,"Y",""),"")</f>
        <v>Y</v>
      </c>
      <c r="J69" s="96" t="str">
        <f>IFERROR(IF(VLOOKUP(TableHandbook[[#This Row],[UDC]],TableAvailabilities[],5,FALSE)&gt;0,"Y",""),"")</f>
        <v>Y</v>
      </c>
      <c r="K69" s="209"/>
      <c r="L69" s="213" t="str">
        <f>IFERROR(VLOOKUP(TableHandbook[[#This Row],[UDC]],TableMCARTS[],7,FALSE),"")</f>
        <v/>
      </c>
      <c r="M69" s="211" t="str">
        <f>IFERROR(VLOOKUP(TableHandbook[[#This Row],[UDC]],TableMJRPCWRIT[],7,FALSE),"")</f>
        <v/>
      </c>
      <c r="N69" s="211" t="str">
        <f>IFERROR(VLOOKUP(TableHandbook[[#This Row],[UDC]],TableMJRPDGCMS[],7,FALSE),"")</f>
        <v/>
      </c>
      <c r="O69" s="211" t="str">
        <f>IFERROR(VLOOKUP(TableHandbook[[#This Row],[UDC]],TableMJRPFINAR[],7,FALSE),"")</f>
        <v/>
      </c>
      <c r="P69" s="211" t="str">
        <f>IFERROR(VLOOKUP(TableHandbook[[#This Row],[UDC]],TableMJRPPWRIT[],7,FALSE),"")</f>
        <v/>
      </c>
      <c r="Q69" s="211" t="str">
        <f>IFERROR(VLOOKUP(TableHandbook[[#This Row],[UDC]],TableMJRPSCRAR[],7,FALSE),"")</f>
        <v/>
      </c>
      <c r="R69" s="213" t="str">
        <f>IFERROR(VLOOKUP(TableHandbook[[#This Row],[UDC]],TableMCMMJRG[],7,FALSE),"")</f>
        <v>Option</v>
      </c>
      <c r="S69" s="211" t="str">
        <f>IFERROR(VLOOKUP(TableHandbook[[#This Row],[UDC]],TableMCMMJRN[],7,FALSE),"")</f>
        <v/>
      </c>
      <c r="T69" s="211" t="str">
        <f>IFERROR(VLOOKUP(TableHandbook[[#This Row],[UDC]],TableGDMMJRN[],7,FALSE),"")</f>
        <v/>
      </c>
      <c r="U69" s="211" t="str">
        <f>IFERROR(VLOOKUP(TableHandbook[[#This Row],[UDC]],TableGCMMJRN[],7,FALSE),"")</f>
        <v/>
      </c>
      <c r="V69" s="213" t="str">
        <f>IFERROR(VLOOKUP(TableHandbook[[#This Row],[UDC]],TableMCHRIGLO[],7,FALSE),"")</f>
        <v>Core</v>
      </c>
      <c r="W69" s="211" t="str">
        <f>IFERROR(VLOOKUP(TableHandbook[[#This Row],[UDC]],TableMCHRIGHT[],7,FALSE),"")</f>
        <v>Core</v>
      </c>
      <c r="X69" s="211" t="str">
        <f>IFERROR(VLOOKUP(TableHandbook[[#This Row],[UDC]],TableGDHRIGHT[],7,FALSE),"")</f>
        <v>Core</v>
      </c>
      <c r="Y69" s="211" t="str">
        <f>IFERROR(VLOOKUP(TableHandbook[[#This Row],[UDC]],TableGCHRIGHT[],7,FALSE),"")</f>
        <v>Option</v>
      </c>
      <c r="Z69" s="213" t="str">
        <f>IFERROR(VLOOKUP(TableHandbook[[#This Row],[UDC]],TableMCGLOBL2[],7,FALSE),"")</f>
        <v/>
      </c>
      <c r="AA69" s="211" t="str">
        <f>IFERROR(VLOOKUP(TableHandbook[[#This Row],[UDC]],TableMCGLOBL[],7,FALSE),"")</f>
        <v/>
      </c>
      <c r="AB69" s="211" t="str">
        <f>IFERROR(VLOOKUP(TableHandbook[[#This Row],[UDC]],TableSTRPGLOBL[],7,FALSE),"")</f>
        <v/>
      </c>
      <c r="AC69" s="211" t="str">
        <f>IFERROR(VLOOKUP(TableHandbook[[#This Row],[UDC]],TableSTRPHRIGT[],7,FALSE),"")</f>
        <v>Option</v>
      </c>
      <c r="AD69" s="211" t="str">
        <f>IFERROR(VLOOKUP(TableHandbook[[#This Row],[UDC]],TableSTRPINTRN[],7,FALSE),"")</f>
        <v/>
      </c>
      <c r="AE69" s="211" t="str">
        <f>IFERROR(VLOOKUP(TableHandbook[[#This Row],[UDC]],TableGCGLOBL[],7,FALSE),"")</f>
        <v/>
      </c>
      <c r="AF69" s="213" t="str">
        <f>IFERROR(VLOOKUP(TableHandbook[[#This Row],[UDC]],TableMCINTREL[],7,FALSE),"")</f>
        <v/>
      </c>
      <c r="AG69" s="211" t="str">
        <f>IFERROR(VLOOKUP(TableHandbook[[#This Row],[UDC]],TableMCINTSEC[],7,FALSE),"")</f>
        <v/>
      </c>
      <c r="AH69" s="211" t="str">
        <f>IFERROR(VLOOKUP(TableHandbook[[#This Row],[UDC]],TableGDINTSEC[],7,FALSE),"")</f>
        <v/>
      </c>
      <c r="AI69" s="211" t="str">
        <f>IFERROR(VLOOKUP(TableHandbook[[#This Row],[UDC]],TableGCINTSEC[],7,FALSE),"")</f>
        <v/>
      </c>
      <c r="AJ69" s="211" t="str">
        <f>IFERROR(VLOOKUP(TableHandbook[[#This Row],[UDC]],TableGCINTELL[],7,FALSE),"")</f>
        <v/>
      </c>
      <c r="AK69" s="211" t="str">
        <f>IFERROR(VLOOKUP(TableHandbook[[#This Row],[UDC]],TableGCIPCSEC[],7,FALSE),"")</f>
        <v/>
      </c>
    </row>
    <row r="70" spans="1:37" x14ac:dyDescent="0.3">
      <c r="A70" s="2" t="s">
        <v>181</v>
      </c>
      <c r="B70" s="3">
        <v>1</v>
      </c>
      <c r="C70" s="3"/>
      <c r="D70" s="209" t="s">
        <v>481</v>
      </c>
      <c r="E70" s="3">
        <v>50</v>
      </c>
      <c r="F70" s="245" t="s">
        <v>438</v>
      </c>
      <c r="G70" s="96" t="str">
        <f>IFERROR(IF(VLOOKUP(TableHandbook[[#This Row],[UDC]],TableAvailabilities[],2,FALSE)&gt;0,"Y",""),"")</f>
        <v>Y</v>
      </c>
      <c r="H70" s="96" t="str">
        <f>IFERROR(IF(VLOOKUP(TableHandbook[[#This Row],[UDC]],TableAvailabilities[],3,FALSE)&gt;0,"Y",""),"")</f>
        <v>Y</v>
      </c>
      <c r="I70" s="96" t="str">
        <f>IFERROR(IF(VLOOKUP(TableHandbook[[#This Row],[UDC]],TableAvailabilities[],4,FALSE)&gt;0,"Y",""),"")</f>
        <v>Y</v>
      </c>
      <c r="J70" s="96" t="str">
        <f>IFERROR(IF(VLOOKUP(TableHandbook[[#This Row],[UDC]],TableAvailabilities[],5,FALSE)&gt;0,"Y",""),"")</f>
        <v>Y</v>
      </c>
      <c r="K70" s="209"/>
      <c r="L70" s="213" t="str">
        <f>IFERROR(VLOOKUP(TableHandbook[[#This Row],[UDC]],TableMCARTS[],7,FALSE),"")</f>
        <v/>
      </c>
      <c r="M70" s="211" t="str">
        <f>IFERROR(VLOOKUP(TableHandbook[[#This Row],[UDC]],TableMJRPCWRIT[],7,FALSE),"")</f>
        <v>Option</v>
      </c>
      <c r="N70" s="211" t="str">
        <f>IFERROR(VLOOKUP(TableHandbook[[#This Row],[UDC]],TableMJRPDGCMS[],7,FALSE),"")</f>
        <v>Option</v>
      </c>
      <c r="O70" s="211" t="str">
        <f>IFERROR(VLOOKUP(TableHandbook[[#This Row],[UDC]],TableMJRPFINAR[],7,FALSE),"")</f>
        <v>Option</v>
      </c>
      <c r="P70" s="211" t="str">
        <f>IFERROR(VLOOKUP(TableHandbook[[#This Row],[UDC]],TableMJRPPWRIT[],7,FALSE),"")</f>
        <v>Option</v>
      </c>
      <c r="Q70" s="211" t="str">
        <f>IFERROR(VLOOKUP(TableHandbook[[#This Row],[UDC]],TableMJRPSCRAR[],7,FALSE),"")</f>
        <v>Option</v>
      </c>
      <c r="R70" s="213" t="str">
        <f>IFERROR(VLOOKUP(TableHandbook[[#This Row],[UDC]],TableMCMMJRG[],7,FALSE),"")</f>
        <v/>
      </c>
      <c r="S70" s="211" t="str">
        <f>IFERROR(VLOOKUP(TableHandbook[[#This Row],[UDC]],TableMCMMJRN[],7,FALSE),"")</f>
        <v/>
      </c>
      <c r="T70" s="211" t="str">
        <f>IFERROR(VLOOKUP(TableHandbook[[#This Row],[UDC]],TableGDMMJRN[],7,FALSE),"")</f>
        <v/>
      </c>
      <c r="U70" s="211" t="str">
        <f>IFERROR(VLOOKUP(TableHandbook[[#This Row],[UDC]],TableGCMMJRN[],7,FALSE),"")</f>
        <v/>
      </c>
      <c r="V70" s="213" t="str">
        <f>IFERROR(VLOOKUP(TableHandbook[[#This Row],[UDC]],TableMCHRIGLO[],7,FALSE),"")</f>
        <v>Core</v>
      </c>
      <c r="W70" s="211" t="str">
        <f>IFERROR(VLOOKUP(TableHandbook[[#This Row],[UDC]],TableMCHRIGHT[],7,FALSE),"")</f>
        <v>AltCore</v>
      </c>
      <c r="X70" s="211" t="str">
        <f>IFERROR(VLOOKUP(TableHandbook[[#This Row],[UDC]],TableGDHRIGHT[],7,FALSE),"")</f>
        <v/>
      </c>
      <c r="Y70" s="211" t="str">
        <f>IFERROR(VLOOKUP(TableHandbook[[#This Row],[UDC]],TableGCHRIGHT[],7,FALSE),"")</f>
        <v/>
      </c>
      <c r="Z70" s="213" t="str">
        <f>IFERROR(VLOOKUP(TableHandbook[[#This Row],[UDC]],TableMCGLOBL2[],7,FALSE),"")</f>
        <v>AltCore</v>
      </c>
      <c r="AA70" s="211" t="str">
        <f>IFERROR(VLOOKUP(TableHandbook[[#This Row],[UDC]],TableMCGLOBL[],7,FALSE),"")</f>
        <v>AltCore</v>
      </c>
      <c r="AB70" s="211" t="str">
        <f>IFERROR(VLOOKUP(TableHandbook[[#This Row],[UDC]],TableSTRPGLOBL[],7,FALSE),"")</f>
        <v/>
      </c>
      <c r="AC70" s="211" t="str">
        <f>IFERROR(VLOOKUP(TableHandbook[[#This Row],[UDC]],TableSTRPHRIGT[],7,FALSE),"")</f>
        <v/>
      </c>
      <c r="AD70" s="211" t="str">
        <f>IFERROR(VLOOKUP(TableHandbook[[#This Row],[UDC]],TableSTRPINTRN[],7,FALSE),"")</f>
        <v/>
      </c>
      <c r="AE70" s="211" t="str">
        <f>IFERROR(VLOOKUP(TableHandbook[[#This Row],[UDC]],TableGCGLOBL[],7,FALSE),"")</f>
        <v/>
      </c>
      <c r="AF70" s="213" t="str">
        <f>IFERROR(VLOOKUP(TableHandbook[[#This Row],[UDC]],TableMCINTREL[],7,FALSE),"")</f>
        <v>AltCore</v>
      </c>
      <c r="AG70" s="211" t="str">
        <f>IFERROR(VLOOKUP(TableHandbook[[#This Row],[UDC]],TableMCINTSEC[],7,FALSE),"")</f>
        <v>AltCore</v>
      </c>
      <c r="AH70" s="211" t="str">
        <f>IFERROR(VLOOKUP(TableHandbook[[#This Row],[UDC]],TableGDINTSEC[],7,FALSE),"")</f>
        <v/>
      </c>
      <c r="AI70" s="211" t="str">
        <f>IFERROR(VLOOKUP(TableHandbook[[#This Row],[UDC]],TableGCINTSEC[],7,FALSE),"")</f>
        <v/>
      </c>
      <c r="AJ70" s="211" t="str">
        <f>IFERROR(VLOOKUP(TableHandbook[[#This Row],[UDC]],TableGCINTELL[],7,FALSE),"")</f>
        <v/>
      </c>
      <c r="AK70" s="211" t="str">
        <f>IFERROR(VLOOKUP(TableHandbook[[#This Row],[UDC]],TableGCIPCSEC[],7,FALSE),"")</f>
        <v/>
      </c>
    </row>
    <row r="71" spans="1:37" x14ac:dyDescent="0.3">
      <c r="A71" s="2" t="s">
        <v>161</v>
      </c>
      <c r="B71" s="3">
        <v>1</v>
      </c>
      <c r="C71" s="3"/>
      <c r="D71" s="209" t="s">
        <v>482</v>
      </c>
      <c r="E71" s="3">
        <v>50</v>
      </c>
      <c r="F71" s="245" t="s">
        <v>181</v>
      </c>
      <c r="G71" s="96" t="str">
        <f>IFERROR(IF(VLOOKUP(TableHandbook[[#This Row],[UDC]],TableAvailabilities[],2,FALSE)&gt;0,"Y",""),"")</f>
        <v>Y</v>
      </c>
      <c r="H71" s="96" t="str">
        <f>IFERROR(IF(VLOOKUP(TableHandbook[[#This Row],[UDC]],TableAvailabilities[],3,FALSE)&gt;0,"Y",""),"")</f>
        <v>Y</v>
      </c>
      <c r="I71" s="96" t="str">
        <f>IFERROR(IF(VLOOKUP(TableHandbook[[#This Row],[UDC]],TableAvailabilities[],4,FALSE)&gt;0,"Y",""),"")</f>
        <v>Y</v>
      </c>
      <c r="J71" s="96" t="str">
        <f>IFERROR(IF(VLOOKUP(TableHandbook[[#This Row],[UDC]],TableAvailabilities[],5,FALSE)&gt;0,"Y",""),"")</f>
        <v>Y</v>
      </c>
      <c r="K71" s="209"/>
      <c r="L71" s="213" t="str">
        <f>IFERROR(VLOOKUP(TableHandbook[[#This Row],[UDC]],TableMCARTS[],7,FALSE),"")</f>
        <v/>
      </c>
      <c r="M71" s="211" t="str">
        <f>IFERROR(VLOOKUP(TableHandbook[[#This Row],[UDC]],TableMJRPCWRIT[],7,FALSE),"")</f>
        <v>AltCore</v>
      </c>
      <c r="N71" s="211" t="str">
        <f>IFERROR(VLOOKUP(TableHandbook[[#This Row],[UDC]],TableMJRPDGCMS[],7,FALSE),"")</f>
        <v>AltCore</v>
      </c>
      <c r="O71" s="211" t="str">
        <f>IFERROR(VLOOKUP(TableHandbook[[#This Row],[UDC]],TableMJRPFINAR[],7,FALSE),"")</f>
        <v>AltCore</v>
      </c>
      <c r="P71" s="211" t="str">
        <f>IFERROR(VLOOKUP(TableHandbook[[#This Row],[UDC]],TableMJRPPWRIT[],7,FALSE),"")</f>
        <v>AltCore</v>
      </c>
      <c r="Q71" s="211" t="str">
        <f>IFERROR(VLOOKUP(TableHandbook[[#This Row],[UDC]],TableMJRPSCRAR[],7,FALSE),"")</f>
        <v>AltCore</v>
      </c>
      <c r="R71" s="213" t="str">
        <f>IFERROR(VLOOKUP(TableHandbook[[#This Row],[UDC]],TableMCMMJRG[],7,FALSE),"")</f>
        <v/>
      </c>
      <c r="S71" s="211" t="str">
        <f>IFERROR(VLOOKUP(TableHandbook[[#This Row],[UDC]],TableMCMMJRN[],7,FALSE),"")</f>
        <v/>
      </c>
      <c r="T71" s="211" t="str">
        <f>IFERROR(VLOOKUP(TableHandbook[[#This Row],[UDC]],TableGDMMJRN[],7,FALSE),"")</f>
        <v/>
      </c>
      <c r="U71" s="211" t="str">
        <f>IFERROR(VLOOKUP(TableHandbook[[#This Row],[UDC]],TableGCMMJRN[],7,FALSE),"")</f>
        <v/>
      </c>
      <c r="V71" s="213" t="str">
        <f>IFERROR(VLOOKUP(TableHandbook[[#This Row],[UDC]],TableMCHRIGLO[],7,FALSE),"")</f>
        <v>AltCore</v>
      </c>
      <c r="W71" s="211" t="str">
        <f>IFERROR(VLOOKUP(TableHandbook[[#This Row],[UDC]],TableMCHRIGHT[],7,FALSE),"")</f>
        <v>AltCore</v>
      </c>
      <c r="X71" s="211" t="str">
        <f>IFERROR(VLOOKUP(TableHandbook[[#This Row],[UDC]],TableGDHRIGHT[],7,FALSE),"")</f>
        <v/>
      </c>
      <c r="Y71" s="211" t="str">
        <f>IFERROR(VLOOKUP(TableHandbook[[#This Row],[UDC]],TableGCHRIGHT[],7,FALSE),"")</f>
        <v/>
      </c>
      <c r="Z71" s="213" t="str">
        <f>IFERROR(VLOOKUP(TableHandbook[[#This Row],[UDC]],TableMCGLOBL2[],7,FALSE),"")</f>
        <v>AltCore</v>
      </c>
      <c r="AA71" s="211" t="str">
        <f>IFERROR(VLOOKUP(TableHandbook[[#This Row],[UDC]],TableMCGLOBL[],7,FALSE),"")</f>
        <v>AltCore</v>
      </c>
      <c r="AB71" s="211" t="str">
        <f>IFERROR(VLOOKUP(TableHandbook[[#This Row],[UDC]],TableSTRPGLOBL[],7,FALSE),"")</f>
        <v/>
      </c>
      <c r="AC71" s="211" t="str">
        <f>IFERROR(VLOOKUP(TableHandbook[[#This Row],[UDC]],TableSTRPHRIGT[],7,FALSE),"")</f>
        <v/>
      </c>
      <c r="AD71" s="211" t="str">
        <f>IFERROR(VLOOKUP(TableHandbook[[#This Row],[UDC]],TableSTRPINTRN[],7,FALSE),"")</f>
        <v/>
      </c>
      <c r="AE71" s="211" t="str">
        <f>IFERROR(VLOOKUP(TableHandbook[[#This Row],[UDC]],TableGCGLOBL[],7,FALSE),"")</f>
        <v/>
      </c>
      <c r="AF71" s="213" t="str">
        <f>IFERROR(VLOOKUP(TableHandbook[[#This Row],[UDC]],TableMCINTREL[],7,FALSE),"")</f>
        <v>AltCore</v>
      </c>
      <c r="AG71" s="211" t="str">
        <f>IFERROR(VLOOKUP(TableHandbook[[#This Row],[UDC]],TableMCINTSEC[],7,FALSE),"")</f>
        <v>AltCore</v>
      </c>
      <c r="AH71" s="211" t="str">
        <f>IFERROR(VLOOKUP(TableHandbook[[#This Row],[UDC]],TableGDINTSEC[],7,FALSE),"")</f>
        <v/>
      </c>
      <c r="AI71" s="211" t="str">
        <f>IFERROR(VLOOKUP(TableHandbook[[#This Row],[UDC]],TableGCINTSEC[],7,FALSE),"")</f>
        <v/>
      </c>
      <c r="AJ71" s="211" t="str">
        <f>IFERROR(VLOOKUP(TableHandbook[[#This Row],[UDC]],TableGCINTELL[],7,FALSE),"")</f>
        <v/>
      </c>
      <c r="AK71" s="211" t="str">
        <f>IFERROR(VLOOKUP(TableHandbook[[#This Row],[UDC]],TableGCIPCSEC[],7,FALSE),"")</f>
        <v/>
      </c>
    </row>
    <row r="72" spans="1:37" x14ac:dyDescent="0.3">
      <c r="A72" s="2" t="s">
        <v>199</v>
      </c>
      <c r="B72" s="3">
        <v>1</v>
      </c>
      <c r="C72" s="3"/>
      <c r="D72" s="209" t="s">
        <v>483</v>
      </c>
      <c r="E72" s="3">
        <v>25</v>
      </c>
      <c r="F72" s="149" t="s">
        <v>108</v>
      </c>
      <c r="G72" s="96" t="str">
        <f>IFERROR(IF(VLOOKUP(TableHandbook[[#This Row],[UDC]],TableAvailabilities[],2,FALSE)&gt;0,"Y",""),"")</f>
        <v/>
      </c>
      <c r="H72" s="96" t="str">
        <f>IFERROR(IF(VLOOKUP(TableHandbook[[#This Row],[UDC]],TableAvailabilities[],3,FALSE)&gt;0,"Y",""),"")</f>
        <v/>
      </c>
      <c r="I72" s="96" t="str">
        <f>IFERROR(IF(VLOOKUP(TableHandbook[[#This Row],[UDC]],TableAvailabilities[],4,FALSE)&gt;0,"Y",""),"")</f>
        <v>Y</v>
      </c>
      <c r="J72" s="96" t="str">
        <f>IFERROR(IF(VLOOKUP(TableHandbook[[#This Row],[UDC]],TableAvailabilities[],5,FALSE)&gt;0,"Y",""),"")</f>
        <v>Y</v>
      </c>
      <c r="K72" s="209"/>
      <c r="L72" s="213" t="str">
        <f>IFERROR(VLOOKUP(TableHandbook[[#This Row],[UDC]],TableMCARTS[],7,FALSE),"")</f>
        <v/>
      </c>
      <c r="M72" s="211" t="str">
        <f>IFERROR(VLOOKUP(TableHandbook[[#This Row],[UDC]],TableMJRPCWRIT[],7,FALSE),"")</f>
        <v>Option</v>
      </c>
      <c r="N72" s="211" t="str">
        <f>IFERROR(VLOOKUP(TableHandbook[[#This Row],[UDC]],TableMJRPDGCMS[],7,FALSE),"")</f>
        <v/>
      </c>
      <c r="O72" s="211" t="str">
        <f>IFERROR(VLOOKUP(TableHandbook[[#This Row],[UDC]],TableMJRPFINAR[],7,FALSE),"")</f>
        <v>Option</v>
      </c>
      <c r="P72" s="211" t="str">
        <f>IFERROR(VLOOKUP(TableHandbook[[#This Row],[UDC]],TableMJRPPWRIT[],7,FALSE),"")</f>
        <v>Option</v>
      </c>
      <c r="Q72" s="211" t="str">
        <f>IFERROR(VLOOKUP(TableHandbook[[#This Row],[UDC]],TableMJRPSCRAR[],7,FALSE),"")</f>
        <v>Option</v>
      </c>
      <c r="R72" s="213" t="str">
        <f>IFERROR(VLOOKUP(TableHandbook[[#This Row],[UDC]],TableMCMMJRG[],7,FALSE),"")</f>
        <v/>
      </c>
      <c r="S72" s="211" t="str">
        <f>IFERROR(VLOOKUP(TableHandbook[[#This Row],[UDC]],TableMCMMJRN[],7,FALSE),"")</f>
        <v/>
      </c>
      <c r="T72" s="211" t="str">
        <f>IFERROR(VLOOKUP(TableHandbook[[#This Row],[UDC]],TableGDMMJRN[],7,FALSE),"")</f>
        <v/>
      </c>
      <c r="U72" s="211" t="str">
        <f>IFERROR(VLOOKUP(TableHandbook[[#This Row],[UDC]],TableGCMMJRN[],7,FALSE),"")</f>
        <v/>
      </c>
      <c r="V72" s="213" t="str">
        <f>IFERROR(VLOOKUP(TableHandbook[[#This Row],[UDC]],TableMCHRIGLO[],7,FALSE),"")</f>
        <v/>
      </c>
      <c r="W72" s="211" t="str">
        <f>IFERROR(VLOOKUP(TableHandbook[[#This Row],[UDC]],TableMCHRIGHT[],7,FALSE),"")</f>
        <v/>
      </c>
      <c r="X72" s="211" t="str">
        <f>IFERROR(VLOOKUP(TableHandbook[[#This Row],[UDC]],TableGDHRIGHT[],7,FALSE),"")</f>
        <v/>
      </c>
      <c r="Y72" s="211" t="str">
        <f>IFERROR(VLOOKUP(TableHandbook[[#This Row],[UDC]],TableGCHRIGHT[],7,FALSE),"")</f>
        <v/>
      </c>
      <c r="Z72" s="213" t="str">
        <f>IFERROR(VLOOKUP(TableHandbook[[#This Row],[UDC]],TableMCGLOBL2[],7,FALSE),"")</f>
        <v/>
      </c>
      <c r="AA72" s="211" t="str">
        <f>IFERROR(VLOOKUP(TableHandbook[[#This Row],[UDC]],TableMCGLOBL[],7,FALSE),"")</f>
        <v/>
      </c>
      <c r="AB72" s="211" t="str">
        <f>IFERROR(VLOOKUP(TableHandbook[[#This Row],[UDC]],TableSTRPGLOBL[],7,FALSE),"")</f>
        <v/>
      </c>
      <c r="AC72" s="211" t="str">
        <f>IFERROR(VLOOKUP(TableHandbook[[#This Row],[UDC]],TableSTRPHRIGT[],7,FALSE),"")</f>
        <v/>
      </c>
      <c r="AD72" s="211" t="str">
        <f>IFERROR(VLOOKUP(TableHandbook[[#This Row],[UDC]],TableSTRPINTRN[],7,FALSE),"")</f>
        <v/>
      </c>
      <c r="AE72" s="211" t="str">
        <f>IFERROR(VLOOKUP(TableHandbook[[#This Row],[UDC]],TableGCGLOBL[],7,FALSE),"")</f>
        <v/>
      </c>
      <c r="AF72" s="213" t="str">
        <f>IFERROR(VLOOKUP(TableHandbook[[#This Row],[UDC]],TableMCINTREL[],7,FALSE),"")</f>
        <v/>
      </c>
      <c r="AG72" s="211" t="str">
        <f>IFERROR(VLOOKUP(TableHandbook[[#This Row],[UDC]],TableMCINTSEC[],7,FALSE),"")</f>
        <v/>
      </c>
      <c r="AH72" s="211" t="str">
        <f>IFERROR(VLOOKUP(TableHandbook[[#This Row],[UDC]],TableGDINTSEC[],7,FALSE),"")</f>
        <v/>
      </c>
      <c r="AI72" s="211" t="str">
        <f>IFERROR(VLOOKUP(TableHandbook[[#This Row],[UDC]],TableGCINTSEC[],7,FALSE),"")</f>
        <v/>
      </c>
      <c r="AJ72" s="211" t="str">
        <f>IFERROR(VLOOKUP(TableHandbook[[#This Row],[UDC]],TableGCINTELL[],7,FALSE),"")</f>
        <v/>
      </c>
      <c r="AK72" s="211" t="str">
        <f>IFERROR(VLOOKUP(TableHandbook[[#This Row],[UDC]],TableGCIPCSEC[],7,FALSE),"")</f>
        <v/>
      </c>
    </row>
    <row r="73" spans="1:37" x14ac:dyDescent="0.3">
      <c r="A73" s="2" t="s">
        <v>178</v>
      </c>
      <c r="B73" s="3">
        <v>1</v>
      </c>
      <c r="C73" s="3"/>
      <c r="D73" s="209" t="s">
        <v>484</v>
      </c>
      <c r="E73" s="3">
        <v>25</v>
      </c>
      <c r="F73" s="149" t="s">
        <v>108</v>
      </c>
      <c r="G73" s="96" t="str">
        <f>IFERROR(IF(VLOOKUP(TableHandbook[[#This Row],[UDC]],TableAvailabilities[],2,FALSE)&gt;0,"Y",""),"")</f>
        <v>Y</v>
      </c>
      <c r="H73" s="96" t="str">
        <f>IFERROR(IF(VLOOKUP(TableHandbook[[#This Row],[UDC]],TableAvailabilities[],3,FALSE)&gt;0,"Y",""),"")</f>
        <v>Y</v>
      </c>
      <c r="I73" s="96" t="str">
        <f>IFERROR(IF(VLOOKUP(TableHandbook[[#This Row],[UDC]],TableAvailabilities[],4,FALSE)&gt;0,"Y",""),"")</f>
        <v/>
      </c>
      <c r="J73" s="96" t="str">
        <f>IFERROR(IF(VLOOKUP(TableHandbook[[#This Row],[UDC]],TableAvailabilities[],5,FALSE)&gt;0,"Y",""),"")</f>
        <v/>
      </c>
      <c r="K73" s="209"/>
      <c r="L73" s="213" t="str">
        <f>IFERROR(VLOOKUP(TableHandbook[[#This Row],[UDC]],TableMCARTS[],7,FALSE),"")</f>
        <v/>
      </c>
      <c r="M73" s="211" t="str">
        <f>IFERROR(VLOOKUP(TableHandbook[[#This Row],[UDC]],TableMJRPCWRIT[],7,FALSE),"")</f>
        <v/>
      </c>
      <c r="N73" s="211" t="str">
        <f>IFERROR(VLOOKUP(TableHandbook[[#This Row],[UDC]],TableMJRPDGCMS[],7,FALSE),"")</f>
        <v/>
      </c>
      <c r="O73" s="211" t="str">
        <f>IFERROR(VLOOKUP(TableHandbook[[#This Row],[UDC]],TableMJRPFINAR[],7,FALSE),"")</f>
        <v>Option</v>
      </c>
      <c r="P73" s="211" t="str">
        <f>IFERROR(VLOOKUP(TableHandbook[[#This Row],[UDC]],TableMJRPPWRIT[],7,FALSE),"")</f>
        <v/>
      </c>
      <c r="Q73" s="211" t="str">
        <f>IFERROR(VLOOKUP(TableHandbook[[#This Row],[UDC]],TableMJRPSCRAR[],7,FALSE),"")</f>
        <v/>
      </c>
      <c r="R73" s="213" t="str">
        <f>IFERROR(VLOOKUP(TableHandbook[[#This Row],[UDC]],TableMCMMJRG[],7,FALSE),"")</f>
        <v/>
      </c>
      <c r="S73" s="211" t="str">
        <f>IFERROR(VLOOKUP(TableHandbook[[#This Row],[UDC]],TableMCMMJRN[],7,FALSE),"")</f>
        <v/>
      </c>
      <c r="T73" s="211" t="str">
        <f>IFERROR(VLOOKUP(TableHandbook[[#This Row],[UDC]],TableGDMMJRN[],7,FALSE),"")</f>
        <v/>
      </c>
      <c r="U73" s="211" t="str">
        <f>IFERROR(VLOOKUP(TableHandbook[[#This Row],[UDC]],TableGCMMJRN[],7,FALSE),"")</f>
        <v/>
      </c>
      <c r="V73" s="213" t="str">
        <f>IFERROR(VLOOKUP(TableHandbook[[#This Row],[UDC]],TableMCHRIGLO[],7,FALSE),"")</f>
        <v/>
      </c>
      <c r="W73" s="211" t="str">
        <f>IFERROR(VLOOKUP(TableHandbook[[#This Row],[UDC]],TableMCHRIGHT[],7,FALSE),"")</f>
        <v/>
      </c>
      <c r="X73" s="211" t="str">
        <f>IFERROR(VLOOKUP(TableHandbook[[#This Row],[UDC]],TableGDHRIGHT[],7,FALSE),"")</f>
        <v/>
      </c>
      <c r="Y73" s="211" t="str">
        <f>IFERROR(VLOOKUP(TableHandbook[[#This Row],[UDC]],TableGCHRIGHT[],7,FALSE),"")</f>
        <v/>
      </c>
      <c r="Z73" s="213" t="str">
        <f>IFERROR(VLOOKUP(TableHandbook[[#This Row],[UDC]],TableMCGLOBL2[],7,FALSE),"")</f>
        <v/>
      </c>
      <c r="AA73" s="211" t="str">
        <f>IFERROR(VLOOKUP(TableHandbook[[#This Row],[UDC]],TableMCGLOBL[],7,FALSE),"")</f>
        <v/>
      </c>
      <c r="AB73" s="211" t="str">
        <f>IFERROR(VLOOKUP(TableHandbook[[#This Row],[UDC]],TableSTRPGLOBL[],7,FALSE),"")</f>
        <v/>
      </c>
      <c r="AC73" s="211" t="str">
        <f>IFERROR(VLOOKUP(TableHandbook[[#This Row],[UDC]],TableSTRPHRIGT[],7,FALSE),"")</f>
        <v/>
      </c>
      <c r="AD73" s="211" t="str">
        <f>IFERROR(VLOOKUP(TableHandbook[[#This Row],[UDC]],TableSTRPINTRN[],7,FALSE),"")</f>
        <v/>
      </c>
      <c r="AE73" s="211" t="str">
        <f>IFERROR(VLOOKUP(TableHandbook[[#This Row],[UDC]],TableGCGLOBL[],7,FALSE),"")</f>
        <v/>
      </c>
      <c r="AF73" s="213" t="str">
        <f>IFERROR(VLOOKUP(TableHandbook[[#This Row],[UDC]],TableMCINTREL[],7,FALSE),"")</f>
        <v/>
      </c>
      <c r="AG73" s="211" t="str">
        <f>IFERROR(VLOOKUP(TableHandbook[[#This Row],[UDC]],TableMCINTSEC[],7,FALSE),"")</f>
        <v/>
      </c>
      <c r="AH73" s="211" t="str">
        <f>IFERROR(VLOOKUP(TableHandbook[[#This Row],[UDC]],TableGDINTSEC[],7,FALSE),"")</f>
        <v/>
      </c>
      <c r="AI73" s="211" t="str">
        <f>IFERROR(VLOOKUP(TableHandbook[[#This Row],[UDC]],TableGCINTSEC[],7,FALSE),"")</f>
        <v/>
      </c>
      <c r="AJ73" s="211" t="str">
        <f>IFERROR(VLOOKUP(TableHandbook[[#This Row],[UDC]],TableGCINTELL[],7,FALSE),"")</f>
        <v/>
      </c>
      <c r="AK73" s="211" t="str">
        <f>IFERROR(VLOOKUP(TableHandbook[[#This Row],[UDC]],TableGCIPCSEC[],7,FALSE),"")</f>
        <v/>
      </c>
    </row>
    <row r="74" spans="1:37" x14ac:dyDescent="0.3">
      <c r="A74" s="231" t="s">
        <v>190</v>
      </c>
      <c r="B74" s="3">
        <v>2</v>
      </c>
      <c r="C74" s="3"/>
      <c r="D74" s="209" t="s">
        <v>485</v>
      </c>
      <c r="E74" s="3">
        <v>25</v>
      </c>
      <c r="F74" s="245" t="s">
        <v>108</v>
      </c>
      <c r="G74" s="96" t="str">
        <f>IFERROR(IF(VLOOKUP(TableHandbook[[#This Row],[UDC]],TableAvailabilities[],2,FALSE)&gt;0,"Y",""),"")</f>
        <v/>
      </c>
      <c r="H74" s="96" t="str">
        <f>IFERROR(IF(VLOOKUP(TableHandbook[[#This Row],[UDC]],TableAvailabilities[],3,FALSE)&gt;0,"Y",""),"")</f>
        <v/>
      </c>
      <c r="I74" s="96" t="str">
        <f>IFERROR(IF(VLOOKUP(TableHandbook[[#This Row],[UDC]],TableAvailabilities[],4,FALSE)&gt;0,"Y",""),"")</f>
        <v/>
      </c>
      <c r="J74" s="96" t="str">
        <f>IFERROR(IF(VLOOKUP(TableHandbook[[#This Row],[UDC]],TableAvailabilities[],5,FALSE)&gt;0,"Y",""),"")</f>
        <v/>
      </c>
      <c r="K74" s="209"/>
      <c r="L74" s="213" t="str">
        <f>IFERROR(VLOOKUP(TableHandbook[[#This Row],[UDC]],TableMCARTS[],7,FALSE),"")</f>
        <v/>
      </c>
      <c r="M74" s="211" t="str">
        <f>IFERROR(VLOOKUP(TableHandbook[[#This Row],[UDC]],TableMJRPCWRIT[],7,FALSE),"")</f>
        <v/>
      </c>
      <c r="N74" s="211" t="str">
        <f>IFERROR(VLOOKUP(TableHandbook[[#This Row],[UDC]],TableMJRPDGCMS[],7,FALSE),"")</f>
        <v>Option</v>
      </c>
      <c r="O74" s="211" t="str">
        <f>IFERROR(VLOOKUP(TableHandbook[[#This Row],[UDC]],TableMJRPFINAR[],7,FALSE),"")</f>
        <v/>
      </c>
      <c r="P74" s="211" t="str">
        <f>IFERROR(VLOOKUP(TableHandbook[[#This Row],[UDC]],TableMJRPPWRIT[],7,FALSE),"")</f>
        <v/>
      </c>
      <c r="Q74" s="211" t="str">
        <f>IFERROR(VLOOKUP(TableHandbook[[#This Row],[UDC]],TableMJRPSCRAR[],7,FALSE),"")</f>
        <v/>
      </c>
      <c r="R74" s="213" t="str">
        <f>IFERROR(VLOOKUP(TableHandbook[[#This Row],[UDC]],TableMCMMJRG[],7,FALSE),"")</f>
        <v/>
      </c>
      <c r="S74" s="211" t="str">
        <f>IFERROR(VLOOKUP(TableHandbook[[#This Row],[UDC]],TableMCMMJRN[],7,FALSE),"")</f>
        <v/>
      </c>
      <c r="T74" s="211" t="str">
        <f>IFERROR(VLOOKUP(TableHandbook[[#This Row],[UDC]],TableGDMMJRN[],7,FALSE),"")</f>
        <v/>
      </c>
      <c r="U74" s="211" t="str">
        <f>IFERROR(VLOOKUP(TableHandbook[[#This Row],[UDC]],TableGCMMJRN[],7,FALSE),"")</f>
        <v/>
      </c>
      <c r="V74" s="213" t="str">
        <f>IFERROR(VLOOKUP(TableHandbook[[#This Row],[UDC]],TableMCHRIGLO[],7,FALSE),"")</f>
        <v/>
      </c>
      <c r="W74" s="211" t="str">
        <f>IFERROR(VLOOKUP(TableHandbook[[#This Row],[UDC]],TableMCHRIGHT[],7,FALSE),"")</f>
        <v/>
      </c>
      <c r="X74" s="211" t="str">
        <f>IFERROR(VLOOKUP(TableHandbook[[#This Row],[UDC]],TableGDHRIGHT[],7,FALSE),"")</f>
        <v/>
      </c>
      <c r="Y74" s="211" t="str">
        <f>IFERROR(VLOOKUP(TableHandbook[[#This Row],[UDC]],TableGCHRIGHT[],7,FALSE),"")</f>
        <v/>
      </c>
      <c r="Z74" s="213" t="str">
        <f>IFERROR(VLOOKUP(TableHandbook[[#This Row],[UDC]],TableMCGLOBL2[],7,FALSE),"")</f>
        <v/>
      </c>
      <c r="AA74" s="211" t="str">
        <f>IFERROR(VLOOKUP(TableHandbook[[#This Row],[UDC]],TableMCGLOBL[],7,FALSE),"")</f>
        <v/>
      </c>
      <c r="AB74" s="211" t="str">
        <f>IFERROR(VLOOKUP(TableHandbook[[#This Row],[UDC]],TableSTRPGLOBL[],7,FALSE),"")</f>
        <v/>
      </c>
      <c r="AC74" s="211" t="str">
        <f>IFERROR(VLOOKUP(TableHandbook[[#This Row],[UDC]],TableSTRPHRIGT[],7,FALSE),"")</f>
        <v/>
      </c>
      <c r="AD74" s="211" t="str">
        <f>IFERROR(VLOOKUP(TableHandbook[[#This Row],[UDC]],TableSTRPINTRN[],7,FALSE),"")</f>
        <v/>
      </c>
      <c r="AE74" s="211" t="str">
        <f>IFERROR(VLOOKUP(TableHandbook[[#This Row],[UDC]],TableGCGLOBL[],7,FALSE),"")</f>
        <v/>
      </c>
      <c r="AF74" s="213" t="str">
        <f>IFERROR(VLOOKUP(TableHandbook[[#This Row],[UDC]],TableMCINTREL[],7,FALSE),"")</f>
        <v/>
      </c>
      <c r="AG74" s="211" t="str">
        <f>IFERROR(VLOOKUP(TableHandbook[[#This Row],[UDC]],TableMCINTSEC[],7,FALSE),"")</f>
        <v/>
      </c>
      <c r="AH74" s="211" t="str">
        <f>IFERROR(VLOOKUP(TableHandbook[[#This Row],[UDC]],TableGDINTSEC[],7,FALSE),"")</f>
        <v/>
      </c>
      <c r="AI74" s="211" t="str">
        <f>IFERROR(VLOOKUP(TableHandbook[[#This Row],[UDC]],TableGCINTSEC[],7,FALSE),"")</f>
        <v/>
      </c>
      <c r="AJ74" s="211" t="str">
        <f>IFERROR(VLOOKUP(TableHandbook[[#This Row],[UDC]],TableGCINTELL[],7,FALSE),"")</f>
        <v/>
      </c>
      <c r="AK74" s="211" t="str">
        <f>IFERROR(VLOOKUP(TableHandbook[[#This Row],[UDC]],TableGCIPCSEC[],7,FALSE),"")</f>
        <v/>
      </c>
    </row>
    <row r="75" spans="1:37" x14ac:dyDescent="0.3">
      <c r="A75" s="231" t="s">
        <v>369</v>
      </c>
      <c r="B75" s="3">
        <v>2</v>
      </c>
      <c r="C75" s="3"/>
      <c r="D75" s="209" t="s">
        <v>486</v>
      </c>
      <c r="E75" s="3">
        <v>25</v>
      </c>
      <c r="F75" s="245" t="s">
        <v>108</v>
      </c>
      <c r="G75" s="96" t="str">
        <f>IFERROR(IF(VLOOKUP(TableHandbook[[#This Row],[UDC]],TableAvailabilities[],2,FALSE)&gt;0,"Y",""),"")</f>
        <v>Y</v>
      </c>
      <c r="H75" s="96" t="str">
        <f>IFERROR(IF(VLOOKUP(TableHandbook[[#This Row],[UDC]],TableAvailabilities[],3,FALSE)&gt;0,"Y",""),"")</f>
        <v>Y</v>
      </c>
      <c r="I75" s="96" t="str">
        <f>IFERROR(IF(VLOOKUP(TableHandbook[[#This Row],[UDC]],TableAvailabilities[],4,FALSE)&gt;0,"Y",""),"")</f>
        <v/>
      </c>
      <c r="J75" s="96" t="str">
        <f>IFERROR(IF(VLOOKUP(TableHandbook[[#This Row],[UDC]],TableAvailabilities[],5,FALSE)&gt;0,"Y",""),"")</f>
        <v/>
      </c>
      <c r="K75" s="209"/>
      <c r="L75" s="213" t="str">
        <f>IFERROR(VLOOKUP(TableHandbook[[#This Row],[UDC]],TableMCARTS[],7,FALSE),"")</f>
        <v/>
      </c>
      <c r="M75" s="211" t="str">
        <f>IFERROR(VLOOKUP(TableHandbook[[#This Row],[UDC]],TableMJRPCWRIT[],7,FALSE),"")</f>
        <v/>
      </c>
      <c r="N75" s="211" t="str">
        <f>IFERROR(VLOOKUP(TableHandbook[[#This Row],[UDC]],TableMJRPDGCMS[],7,FALSE),"")</f>
        <v/>
      </c>
      <c r="O75" s="211" t="str">
        <f>IFERROR(VLOOKUP(TableHandbook[[#This Row],[UDC]],TableMJRPFINAR[],7,FALSE),"")</f>
        <v/>
      </c>
      <c r="P75" s="211" t="str">
        <f>IFERROR(VLOOKUP(TableHandbook[[#This Row],[UDC]],TableMJRPPWRIT[],7,FALSE),"")</f>
        <v/>
      </c>
      <c r="Q75" s="211" t="str">
        <f>IFERROR(VLOOKUP(TableHandbook[[#This Row],[UDC]],TableMJRPSCRAR[],7,FALSE),"")</f>
        <v/>
      </c>
      <c r="R75" s="213" t="str">
        <f>IFERROR(VLOOKUP(TableHandbook[[#This Row],[UDC]],TableMCMMJRG[],7,FALSE),"")</f>
        <v>Option</v>
      </c>
      <c r="S75" s="211" t="str">
        <f>IFERROR(VLOOKUP(TableHandbook[[#This Row],[UDC]],TableMCMMJRN[],7,FALSE),"")</f>
        <v/>
      </c>
      <c r="T75" s="211" t="str">
        <f>IFERROR(VLOOKUP(TableHandbook[[#This Row],[UDC]],TableGDMMJRN[],7,FALSE),"")</f>
        <v/>
      </c>
      <c r="U75" s="211" t="str">
        <f>IFERROR(VLOOKUP(TableHandbook[[#This Row],[UDC]],TableGCMMJRN[],7,FALSE),"")</f>
        <v/>
      </c>
      <c r="V75" s="213" t="str">
        <f>IFERROR(VLOOKUP(TableHandbook[[#This Row],[UDC]],TableMCHRIGLO[],7,FALSE),"")</f>
        <v/>
      </c>
      <c r="W75" s="211" t="str">
        <f>IFERROR(VLOOKUP(TableHandbook[[#This Row],[UDC]],TableMCHRIGHT[],7,FALSE),"")</f>
        <v/>
      </c>
      <c r="X75" s="211" t="str">
        <f>IFERROR(VLOOKUP(TableHandbook[[#This Row],[UDC]],TableGDHRIGHT[],7,FALSE),"")</f>
        <v/>
      </c>
      <c r="Y75" s="211" t="str">
        <f>IFERROR(VLOOKUP(TableHandbook[[#This Row],[UDC]],TableGCHRIGHT[],7,FALSE),"")</f>
        <v/>
      </c>
      <c r="Z75" s="213" t="str">
        <f>IFERROR(VLOOKUP(TableHandbook[[#This Row],[UDC]],TableMCGLOBL2[],7,FALSE),"")</f>
        <v/>
      </c>
      <c r="AA75" s="211" t="str">
        <f>IFERROR(VLOOKUP(TableHandbook[[#This Row],[UDC]],TableMCGLOBL[],7,FALSE),"")</f>
        <v/>
      </c>
      <c r="AB75" s="211" t="str">
        <f>IFERROR(VLOOKUP(TableHandbook[[#This Row],[UDC]],TableSTRPGLOBL[],7,FALSE),"")</f>
        <v/>
      </c>
      <c r="AC75" s="211" t="str">
        <f>IFERROR(VLOOKUP(TableHandbook[[#This Row],[UDC]],TableSTRPHRIGT[],7,FALSE),"")</f>
        <v/>
      </c>
      <c r="AD75" s="211" t="str">
        <f>IFERROR(VLOOKUP(TableHandbook[[#This Row],[UDC]],TableSTRPINTRN[],7,FALSE),"")</f>
        <v>AltCore</v>
      </c>
      <c r="AE75" s="211" t="str">
        <f>IFERROR(VLOOKUP(TableHandbook[[#This Row],[UDC]],TableGCGLOBL[],7,FALSE),"")</f>
        <v/>
      </c>
      <c r="AF75" s="213" t="str">
        <f>IFERROR(VLOOKUP(TableHandbook[[#This Row],[UDC]],TableMCINTREL[],7,FALSE),"")</f>
        <v>Option</v>
      </c>
      <c r="AG75" s="211" t="str">
        <f>IFERROR(VLOOKUP(TableHandbook[[#This Row],[UDC]],TableMCINTSEC[],7,FALSE),"")</f>
        <v>Option</v>
      </c>
      <c r="AH75" s="211" t="str">
        <f>IFERROR(VLOOKUP(TableHandbook[[#This Row],[UDC]],TableGDINTSEC[],7,FALSE),"")</f>
        <v>Option</v>
      </c>
      <c r="AI75" s="211" t="str">
        <f>IFERROR(VLOOKUP(TableHandbook[[#This Row],[UDC]],TableGCINTSEC[],7,FALSE),"")</f>
        <v>Option</v>
      </c>
      <c r="AJ75" s="211" t="str">
        <f>IFERROR(VLOOKUP(TableHandbook[[#This Row],[UDC]],TableGCINTELL[],7,FALSE),"")</f>
        <v/>
      </c>
      <c r="AK75" s="211" t="str">
        <f>IFERROR(VLOOKUP(TableHandbook[[#This Row],[UDC]],TableGCIPCSEC[],7,FALSE),"")</f>
        <v/>
      </c>
    </row>
    <row r="76" spans="1:37" x14ac:dyDescent="0.3">
      <c r="A76" s="231" t="s">
        <v>320</v>
      </c>
      <c r="B76" s="3">
        <v>2</v>
      </c>
      <c r="C76" s="3"/>
      <c r="D76" s="209" t="s">
        <v>487</v>
      </c>
      <c r="E76" s="3">
        <v>25</v>
      </c>
      <c r="F76" s="245" t="s">
        <v>108</v>
      </c>
      <c r="G76" s="96" t="str">
        <f>IFERROR(IF(VLOOKUP(TableHandbook[[#This Row],[UDC]],TableAvailabilities[],2,FALSE)&gt;0,"Y",""),"")</f>
        <v/>
      </c>
      <c r="H76" s="96" t="str">
        <f>IFERROR(IF(VLOOKUP(TableHandbook[[#This Row],[UDC]],TableAvailabilities[],3,FALSE)&gt;0,"Y",""),"")</f>
        <v/>
      </c>
      <c r="I76" s="96" t="str">
        <f>IFERROR(IF(VLOOKUP(TableHandbook[[#This Row],[UDC]],TableAvailabilities[],4,FALSE)&gt;0,"Y",""),"")</f>
        <v>Y</v>
      </c>
      <c r="J76" s="96" t="str">
        <f>IFERROR(IF(VLOOKUP(TableHandbook[[#This Row],[UDC]],TableAvailabilities[],5,FALSE)&gt;0,"Y",""),"")</f>
        <v>Y</v>
      </c>
      <c r="K76" s="209" t="s">
        <v>433</v>
      </c>
      <c r="L76" s="213" t="str">
        <f>IFERROR(VLOOKUP(TableHandbook[[#This Row],[UDC]],TableMCARTS[],7,FALSE),"")</f>
        <v/>
      </c>
      <c r="M76" s="211" t="str">
        <f>IFERROR(VLOOKUP(TableHandbook[[#This Row],[UDC]],TableMJRPCWRIT[],7,FALSE),"")</f>
        <v/>
      </c>
      <c r="N76" s="211" t="str">
        <f>IFERROR(VLOOKUP(TableHandbook[[#This Row],[UDC]],TableMJRPDGCMS[],7,FALSE),"")</f>
        <v/>
      </c>
      <c r="O76" s="211" t="str">
        <f>IFERROR(VLOOKUP(TableHandbook[[#This Row],[UDC]],TableMJRPFINAR[],7,FALSE),"")</f>
        <v/>
      </c>
      <c r="P76" s="211" t="str">
        <f>IFERROR(VLOOKUP(TableHandbook[[#This Row],[UDC]],TableMJRPPWRIT[],7,FALSE),"")</f>
        <v/>
      </c>
      <c r="Q76" s="211" t="str">
        <f>IFERROR(VLOOKUP(TableHandbook[[#This Row],[UDC]],TableMJRPSCRAR[],7,FALSE),"")</f>
        <v/>
      </c>
      <c r="R76" s="213" t="str">
        <f>IFERROR(VLOOKUP(TableHandbook[[#This Row],[UDC]],TableMCMMJRG[],7,FALSE),"")</f>
        <v>Option</v>
      </c>
      <c r="S76" s="211" t="str">
        <f>IFERROR(VLOOKUP(TableHandbook[[#This Row],[UDC]],TableMCMMJRN[],7,FALSE),"")</f>
        <v/>
      </c>
      <c r="T76" s="211" t="str">
        <f>IFERROR(VLOOKUP(TableHandbook[[#This Row],[UDC]],TableGDMMJRN[],7,FALSE),"")</f>
        <v/>
      </c>
      <c r="U76" s="211" t="str">
        <f>IFERROR(VLOOKUP(TableHandbook[[#This Row],[UDC]],TableGCMMJRN[],7,FALSE),"")</f>
        <v/>
      </c>
      <c r="V76" s="213" t="str">
        <f>IFERROR(VLOOKUP(TableHandbook[[#This Row],[UDC]],TableMCHRIGLO[],7,FALSE),"")</f>
        <v/>
      </c>
      <c r="W76" s="211" t="str">
        <f>IFERROR(VLOOKUP(TableHandbook[[#This Row],[UDC]],TableMCHRIGHT[],7,FALSE),"")</f>
        <v/>
      </c>
      <c r="X76" s="211" t="str">
        <f>IFERROR(VLOOKUP(TableHandbook[[#This Row],[UDC]],TableGDHRIGHT[],7,FALSE),"")</f>
        <v/>
      </c>
      <c r="Y76" s="211" t="str">
        <f>IFERROR(VLOOKUP(TableHandbook[[#This Row],[UDC]],TableGCHRIGHT[],7,FALSE),"")</f>
        <v/>
      </c>
      <c r="Z76" s="213" t="str">
        <f>IFERROR(VLOOKUP(TableHandbook[[#This Row],[UDC]],TableMCGLOBL2[],7,FALSE),"")</f>
        <v/>
      </c>
      <c r="AA76" s="211" t="str">
        <f>IFERROR(VLOOKUP(TableHandbook[[#This Row],[UDC]],TableMCGLOBL[],7,FALSE),"")</f>
        <v/>
      </c>
      <c r="AB76" s="211" t="str">
        <f>IFERROR(VLOOKUP(TableHandbook[[#This Row],[UDC]],TableSTRPGLOBL[],7,FALSE),"")</f>
        <v/>
      </c>
      <c r="AC76" s="211" t="str">
        <f>IFERROR(VLOOKUP(TableHandbook[[#This Row],[UDC]],TableSTRPHRIGT[],7,FALSE),"")</f>
        <v/>
      </c>
      <c r="AD76" s="211" t="str">
        <f>IFERROR(VLOOKUP(TableHandbook[[#This Row],[UDC]],TableSTRPINTRN[],7,FALSE),"")</f>
        <v>Option</v>
      </c>
      <c r="AE76" s="211" t="str">
        <f>IFERROR(VLOOKUP(TableHandbook[[#This Row],[UDC]],TableGCGLOBL[],7,FALSE),"")</f>
        <v/>
      </c>
      <c r="AF76" s="213" t="str">
        <f>IFERROR(VLOOKUP(TableHandbook[[#This Row],[UDC]],TableMCINTREL[],7,FALSE),"")</f>
        <v>Option</v>
      </c>
      <c r="AG76" s="211" t="str">
        <f>IFERROR(VLOOKUP(TableHandbook[[#This Row],[UDC]],TableMCINTSEC[],7,FALSE),"")</f>
        <v>Option</v>
      </c>
      <c r="AH76" s="211" t="str">
        <f>IFERROR(VLOOKUP(TableHandbook[[#This Row],[UDC]],TableGDINTSEC[],7,FALSE),"")</f>
        <v>Option</v>
      </c>
      <c r="AI76" s="211" t="str">
        <f>IFERROR(VLOOKUP(TableHandbook[[#This Row],[UDC]],TableGCINTSEC[],7,FALSE),"")</f>
        <v>Option</v>
      </c>
      <c r="AJ76" s="211" t="str">
        <f>IFERROR(VLOOKUP(TableHandbook[[#This Row],[UDC]],TableGCINTELL[],7,FALSE),"")</f>
        <v/>
      </c>
      <c r="AK76" s="211" t="str">
        <f>IFERROR(VLOOKUP(TableHandbook[[#This Row],[UDC]],TableGCIPCSEC[],7,FALSE),"")</f>
        <v>Core</v>
      </c>
    </row>
    <row r="77" spans="1:37" x14ac:dyDescent="0.3">
      <c r="A77" s="2" t="s">
        <v>488</v>
      </c>
      <c r="B77" s="3">
        <v>1</v>
      </c>
      <c r="C77" s="3"/>
      <c r="D77" s="209" t="s">
        <v>489</v>
      </c>
      <c r="E77" s="3">
        <v>25</v>
      </c>
      <c r="F77" s="149" t="s">
        <v>108</v>
      </c>
      <c r="G77" s="96" t="str">
        <f>IFERROR(IF(VLOOKUP(TableHandbook[[#This Row],[UDC]],TableAvailabilities[],2,FALSE)&gt;0,"Y",""),"")</f>
        <v/>
      </c>
      <c r="H77" s="96" t="str">
        <f>IFERROR(IF(VLOOKUP(TableHandbook[[#This Row],[UDC]],TableAvailabilities[],3,FALSE)&gt;0,"Y",""),"")</f>
        <v/>
      </c>
      <c r="I77" s="96" t="str">
        <f>IFERROR(IF(VLOOKUP(TableHandbook[[#This Row],[UDC]],TableAvailabilities[],4,FALSE)&gt;0,"Y",""),"")</f>
        <v/>
      </c>
      <c r="J77" s="96" t="str">
        <f>IFERROR(IF(VLOOKUP(TableHandbook[[#This Row],[UDC]],TableAvailabilities[],5,FALSE)&gt;0,"Y",""),"")</f>
        <v/>
      </c>
      <c r="K77" s="209" t="s">
        <v>436</v>
      </c>
      <c r="L77" s="213" t="str">
        <f>IFERROR(VLOOKUP(TableHandbook[[#This Row],[UDC]],TableMCARTS[],7,FALSE),"")</f>
        <v/>
      </c>
      <c r="M77" s="211" t="str">
        <f>IFERROR(VLOOKUP(TableHandbook[[#This Row],[UDC]],TableMJRPCWRIT[],7,FALSE),"")</f>
        <v/>
      </c>
      <c r="N77" s="211" t="str">
        <f>IFERROR(VLOOKUP(TableHandbook[[#This Row],[UDC]],TableMJRPDGCMS[],7,FALSE),"")</f>
        <v/>
      </c>
      <c r="O77" s="211" t="str">
        <f>IFERROR(VLOOKUP(TableHandbook[[#This Row],[UDC]],TableMJRPFINAR[],7,FALSE),"")</f>
        <v/>
      </c>
      <c r="P77" s="211" t="str">
        <f>IFERROR(VLOOKUP(TableHandbook[[#This Row],[UDC]],TableMJRPPWRIT[],7,FALSE),"")</f>
        <v/>
      </c>
      <c r="Q77" s="211" t="str">
        <f>IFERROR(VLOOKUP(TableHandbook[[#This Row],[UDC]],TableMJRPSCRAR[],7,FALSE),"")</f>
        <v/>
      </c>
      <c r="R77" s="213" t="str">
        <f>IFERROR(VLOOKUP(TableHandbook[[#This Row],[UDC]],TableMCMMJRG[],7,FALSE),"")</f>
        <v/>
      </c>
      <c r="S77" s="211" t="str">
        <f>IFERROR(VLOOKUP(TableHandbook[[#This Row],[UDC]],TableMCMMJRN[],7,FALSE),"")</f>
        <v/>
      </c>
      <c r="T77" s="211" t="str">
        <f>IFERROR(VLOOKUP(TableHandbook[[#This Row],[UDC]],TableGDMMJRN[],7,FALSE),"")</f>
        <v/>
      </c>
      <c r="U77" s="211" t="str">
        <f>IFERROR(VLOOKUP(TableHandbook[[#This Row],[UDC]],TableGCMMJRN[],7,FALSE),"")</f>
        <v/>
      </c>
      <c r="V77" s="213" t="str">
        <f>IFERROR(VLOOKUP(TableHandbook[[#This Row],[UDC]],TableMCHRIGLO[],7,FALSE),"")</f>
        <v/>
      </c>
      <c r="W77" s="211" t="str">
        <f>IFERROR(VLOOKUP(TableHandbook[[#This Row],[UDC]],TableMCHRIGHT[],7,FALSE),"")</f>
        <v/>
      </c>
      <c r="X77" s="211" t="str">
        <f>IFERROR(VLOOKUP(TableHandbook[[#This Row],[UDC]],TableGDHRIGHT[],7,FALSE),"")</f>
        <v/>
      </c>
      <c r="Y77" s="211" t="str">
        <f>IFERROR(VLOOKUP(TableHandbook[[#This Row],[UDC]],TableGCHRIGHT[],7,FALSE),"")</f>
        <v/>
      </c>
      <c r="Z77" s="213" t="str">
        <f>IFERROR(VLOOKUP(TableHandbook[[#This Row],[UDC]],TableMCGLOBL2[],7,FALSE),"")</f>
        <v/>
      </c>
      <c r="AA77" s="211" t="str">
        <f>IFERROR(VLOOKUP(TableHandbook[[#This Row],[UDC]],TableMCGLOBL[],7,FALSE),"")</f>
        <v/>
      </c>
      <c r="AB77" s="211" t="str">
        <f>IFERROR(VLOOKUP(TableHandbook[[#This Row],[UDC]],TableSTRPGLOBL[],7,FALSE),"")</f>
        <v/>
      </c>
      <c r="AC77" s="211" t="str">
        <f>IFERROR(VLOOKUP(TableHandbook[[#This Row],[UDC]],TableSTRPHRIGT[],7,FALSE),"")</f>
        <v/>
      </c>
      <c r="AD77" s="211" t="str">
        <f>IFERROR(VLOOKUP(TableHandbook[[#This Row],[UDC]],TableSTRPINTRN[],7,FALSE),"")</f>
        <v/>
      </c>
      <c r="AE77" s="211" t="str">
        <f>IFERROR(VLOOKUP(TableHandbook[[#This Row],[UDC]],TableGCGLOBL[],7,FALSE),"")</f>
        <v/>
      </c>
      <c r="AF77" s="213" t="str">
        <f>IFERROR(VLOOKUP(TableHandbook[[#This Row],[UDC]],TableMCINTREL[],7,FALSE),"")</f>
        <v/>
      </c>
      <c r="AG77" s="211" t="str">
        <f>IFERROR(VLOOKUP(TableHandbook[[#This Row],[UDC]],TableMCINTSEC[],7,FALSE),"")</f>
        <v/>
      </c>
      <c r="AH77" s="211" t="str">
        <f>IFERROR(VLOOKUP(TableHandbook[[#This Row],[UDC]],TableGDINTSEC[],7,FALSE),"")</f>
        <v/>
      </c>
      <c r="AI77" s="211" t="str">
        <f>IFERROR(VLOOKUP(TableHandbook[[#This Row],[UDC]],TableGCINTSEC[],7,FALSE),"")</f>
        <v/>
      </c>
      <c r="AJ77" s="211" t="str">
        <f>IFERROR(VLOOKUP(TableHandbook[[#This Row],[UDC]],TableGCINTELL[],7,FALSE),"")</f>
        <v/>
      </c>
      <c r="AK77" s="211" t="str">
        <f>IFERROR(VLOOKUP(TableHandbook[[#This Row],[UDC]],TableGCIPCSEC[],7,FALSE),"")</f>
        <v/>
      </c>
    </row>
    <row r="78" spans="1:37" x14ac:dyDescent="0.3">
      <c r="A78" s="231" t="s">
        <v>372</v>
      </c>
      <c r="B78" s="3">
        <v>2</v>
      </c>
      <c r="C78" s="3"/>
      <c r="D78" s="209" t="s">
        <v>490</v>
      </c>
      <c r="E78" s="3">
        <v>25</v>
      </c>
      <c r="F78" s="245" t="s">
        <v>108</v>
      </c>
      <c r="G78" s="96" t="str">
        <f>IFERROR(IF(VLOOKUP(TableHandbook[[#This Row],[UDC]],TableAvailabilities[],2,FALSE)&gt;0,"Y",""),"")</f>
        <v/>
      </c>
      <c r="H78" s="96" t="str">
        <f>IFERROR(IF(VLOOKUP(TableHandbook[[#This Row],[UDC]],TableAvailabilities[],3,FALSE)&gt;0,"Y",""),"")</f>
        <v/>
      </c>
      <c r="I78" s="96" t="str">
        <f>IFERROR(IF(VLOOKUP(TableHandbook[[#This Row],[UDC]],TableAvailabilities[],4,FALSE)&gt;0,"Y",""),"")</f>
        <v>Y</v>
      </c>
      <c r="J78" s="96" t="str">
        <f>IFERROR(IF(VLOOKUP(TableHandbook[[#This Row],[UDC]],TableAvailabilities[],5,FALSE)&gt;0,"Y",""),"")</f>
        <v>Y</v>
      </c>
      <c r="K78" s="209" t="s">
        <v>433</v>
      </c>
      <c r="L78" s="213" t="str">
        <f>IFERROR(VLOOKUP(TableHandbook[[#This Row],[UDC]],TableMCARTS[],7,FALSE),"")</f>
        <v/>
      </c>
      <c r="M78" s="211" t="str">
        <f>IFERROR(VLOOKUP(TableHandbook[[#This Row],[UDC]],TableMJRPCWRIT[],7,FALSE),"")</f>
        <v/>
      </c>
      <c r="N78" s="211" t="str">
        <f>IFERROR(VLOOKUP(TableHandbook[[#This Row],[UDC]],TableMJRPDGCMS[],7,FALSE),"")</f>
        <v/>
      </c>
      <c r="O78" s="211" t="str">
        <f>IFERROR(VLOOKUP(TableHandbook[[#This Row],[UDC]],TableMJRPFINAR[],7,FALSE),"")</f>
        <v/>
      </c>
      <c r="P78" s="211" t="str">
        <f>IFERROR(VLOOKUP(TableHandbook[[#This Row],[UDC]],TableMJRPPWRIT[],7,FALSE),"")</f>
        <v/>
      </c>
      <c r="Q78" s="211" t="str">
        <f>IFERROR(VLOOKUP(TableHandbook[[#This Row],[UDC]],TableMJRPSCRAR[],7,FALSE),"")</f>
        <v/>
      </c>
      <c r="R78" s="213" t="str">
        <f>IFERROR(VLOOKUP(TableHandbook[[#This Row],[UDC]],TableMCMMJRG[],7,FALSE),"")</f>
        <v/>
      </c>
      <c r="S78" s="211" t="str">
        <f>IFERROR(VLOOKUP(TableHandbook[[#This Row],[UDC]],TableMCMMJRN[],7,FALSE),"")</f>
        <v/>
      </c>
      <c r="T78" s="211" t="str">
        <f>IFERROR(VLOOKUP(TableHandbook[[#This Row],[UDC]],TableGDMMJRN[],7,FALSE),"")</f>
        <v/>
      </c>
      <c r="U78" s="211" t="str">
        <f>IFERROR(VLOOKUP(TableHandbook[[#This Row],[UDC]],TableGCMMJRN[],7,FALSE),"")</f>
        <v/>
      </c>
      <c r="V78" s="213" t="str">
        <f>IFERROR(VLOOKUP(TableHandbook[[#This Row],[UDC]],TableMCHRIGLO[],7,FALSE),"")</f>
        <v/>
      </c>
      <c r="W78" s="211" t="str">
        <f>IFERROR(VLOOKUP(TableHandbook[[#This Row],[UDC]],TableMCHRIGHT[],7,FALSE),"")</f>
        <v/>
      </c>
      <c r="X78" s="211" t="str">
        <f>IFERROR(VLOOKUP(TableHandbook[[#This Row],[UDC]],TableGDHRIGHT[],7,FALSE),"")</f>
        <v/>
      </c>
      <c r="Y78" s="211" t="str">
        <f>IFERROR(VLOOKUP(TableHandbook[[#This Row],[UDC]],TableGCHRIGHT[],7,FALSE),"")</f>
        <v/>
      </c>
      <c r="Z78" s="213" t="str">
        <f>IFERROR(VLOOKUP(TableHandbook[[#This Row],[UDC]],TableMCGLOBL2[],7,FALSE),"")</f>
        <v/>
      </c>
      <c r="AA78" s="211" t="str">
        <f>IFERROR(VLOOKUP(TableHandbook[[#This Row],[UDC]],TableMCGLOBL[],7,FALSE),"")</f>
        <v/>
      </c>
      <c r="AB78" s="211" t="str">
        <f>IFERROR(VLOOKUP(TableHandbook[[#This Row],[UDC]],TableSTRPGLOBL[],7,FALSE),"")</f>
        <v/>
      </c>
      <c r="AC78" s="211" t="str">
        <f>IFERROR(VLOOKUP(TableHandbook[[#This Row],[UDC]],TableSTRPHRIGT[],7,FALSE),"")</f>
        <v/>
      </c>
      <c r="AD78" s="211" t="str">
        <f>IFERROR(VLOOKUP(TableHandbook[[#This Row],[UDC]],TableSTRPINTRN[],7,FALSE),"")</f>
        <v>Option</v>
      </c>
      <c r="AE78" s="211" t="str">
        <f>IFERROR(VLOOKUP(TableHandbook[[#This Row],[UDC]],TableGCGLOBL[],7,FALSE),"")</f>
        <v/>
      </c>
      <c r="AF78" s="213" t="str">
        <f>IFERROR(VLOOKUP(TableHandbook[[#This Row],[UDC]],TableMCINTREL[],7,FALSE),"")</f>
        <v>Option</v>
      </c>
      <c r="AG78" s="211" t="str">
        <f>IFERROR(VLOOKUP(TableHandbook[[#This Row],[UDC]],TableMCINTSEC[],7,FALSE),"")</f>
        <v>Option</v>
      </c>
      <c r="AH78" s="211" t="str">
        <f>IFERROR(VLOOKUP(TableHandbook[[#This Row],[UDC]],TableGDINTSEC[],7,FALSE),"")</f>
        <v>Option</v>
      </c>
      <c r="AI78" s="211" t="str">
        <f>IFERROR(VLOOKUP(TableHandbook[[#This Row],[UDC]],TableGCINTSEC[],7,FALSE),"")</f>
        <v>Option</v>
      </c>
      <c r="AJ78" s="211" t="str">
        <f>IFERROR(VLOOKUP(TableHandbook[[#This Row],[UDC]],TableGCINTELL[],7,FALSE),"")</f>
        <v/>
      </c>
      <c r="AK78" s="211" t="str">
        <f>IFERROR(VLOOKUP(TableHandbook[[#This Row],[UDC]],TableGCIPCSEC[],7,FALSE),"")</f>
        <v/>
      </c>
    </row>
    <row r="79" spans="1:37" x14ac:dyDescent="0.3">
      <c r="A79" s="2" t="s">
        <v>491</v>
      </c>
      <c r="B79" s="3">
        <v>1</v>
      </c>
      <c r="C79" s="3"/>
      <c r="D79" s="209" t="s">
        <v>492</v>
      </c>
      <c r="E79" s="3">
        <v>25</v>
      </c>
      <c r="F79" s="149" t="s">
        <v>108</v>
      </c>
      <c r="G79" s="96" t="str">
        <f>IFERROR(IF(VLOOKUP(TableHandbook[[#This Row],[UDC]],TableAvailabilities[],2,FALSE)&gt;0,"Y",""),"")</f>
        <v/>
      </c>
      <c r="H79" s="96" t="str">
        <f>IFERROR(IF(VLOOKUP(TableHandbook[[#This Row],[UDC]],TableAvailabilities[],3,FALSE)&gt;0,"Y",""),"")</f>
        <v/>
      </c>
      <c r="I79" s="96" t="str">
        <f>IFERROR(IF(VLOOKUP(TableHandbook[[#This Row],[UDC]],TableAvailabilities[],4,FALSE)&gt;0,"Y",""),"")</f>
        <v/>
      </c>
      <c r="J79" s="96" t="str">
        <f>IFERROR(IF(VLOOKUP(TableHandbook[[#This Row],[UDC]],TableAvailabilities[],5,FALSE)&gt;0,"Y",""),"")</f>
        <v/>
      </c>
      <c r="K79" s="209" t="s">
        <v>436</v>
      </c>
      <c r="L79" s="213" t="str">
        <f>IFERROR(VLOOKUP(TableHandbook[[#This Row],[UDC]],TableMCARTS[],7,FALSE),"")</f>
        <v/>
      </c>
      <c r="M79" s="211" t="str">
        <f>IFERROR(VLOOKUP(TableHandbook[[#This Row],[UDC]],TableMJRPCWRIT[],7,FALSE),"")</f>
        <v/>
      </c>
      <c r="N79" s="211" t="str">
        <f>IFERROR(VLOOKUP(TableHandbook[[#This Row],[UDC]],TableMJRPDGCMS[],7,FALSE),"")</f>
        <v/>
      </c>
      <c r="O79" s="211" t="str">
        <f>IFERROR(VLOOKUP(TableHandbook[[#This Row],[UDC]],TableMJRPFINAR[],7,FALSE),"")</f>
        <v/>
      </c>
      <c r="P79" s="211" t="str">
        <f>IFERROR(VLOOKUP(TableHandbook[[#This Row],[UDC]],TableMJRPPWRIT[],7,FALSE),"")</f>
        <v/>
      </c>
      <c r="Q79" s="211" t="str">
        <f>IFERROR(VLOOKUP(TableHandbook[[#This Row],[UDC]],TableMJRPSCRAR[],7,FALSE),"")</f>
        <v/>
      </c>
      <c r="R79" s="213" t="str">
        <f>IFERROR(VLOOKUP(TableHandbook[[#This Row],[UDC]],TableMCMMJRG[],7,FALSE),"")</f>
        <v/>
      </c>
      <c r="S79" s="211" t="str">
        <f>IFERROR(VLOOKUP(TableHandbook[[#This Row],[UDC]],TableMCMMJRN[],7,FALSE),"")</f>
        <v/>
      </c>
      <c r="T79" s="211" t="str">
        <f>IFERROR(VLOOKUP(TableHandbook[[#This Row],[UDC]],TableGDMMJRN[],7,FALSE),"")</f>
        <v/>
      </c>
      <c r="U79" s="211" t="str">
        <f>IFERROR(VLOOKUP(TableHandbook[[#This Row],[UDC]],TableGCMMJRN[],7,FALSE),"")</f>
        <v/>
      </c>
      <c r="V79" s="213" t="str">
        <f>IFERROR(VLOOKUP(TableHandbook[[#This Row],[UDC]],TableMCHRIGLO[],7,FALSE),"")</f>
        <v/>
      </c>
      <c r="W79" s="211" t="str">
        <f>IFERROR(VLOOKUP(TableHandbook[[#This Row],[UDC]],TableMCHRIGHT[],7,FALSE),"")</f>
        <v/>
      </c>
      <c r="X79" s="211" t="str">
        <f>IFERROR(VLOOKUP(TableHandbook[[#This Row],[UDC]],TableGDHRIGHT[],7,FALSE),"")</f>
        <v/>
      </c>
      <c r="Y79" s="211" t="str">
        <f>IFERROR(VLOOKUP(TableHandbook[[#This Row],[UDC]],TableGCHRIGHT[],7,FALSE),"")</f>
        <v/>
      </c>
      <c r="Z79" s="213" t="str">
        <f>IFERROR(VLOOKUP(TableHandbook[[#This Row],[UDC]],TableMCGLOBL2[],7,FALSE),"")</f>
        <v/>
      </c>
      <c r="AA79" s="211" t="str">
        <f>IFERROR(VLOOKUP(TableHandbook[[#This Row],[UDC]],TableMCGLOBL[],7,FALSE),"")</f>
        <v/>
      </c>
      <c r="AB79" s="211" t="str">
        <f>IFERROR(VLOOKUP(TableHandbook[[#This Row],[UDC]],TableSTRPGLOBL[],7,FALSE),"")</f>
        <v/>
      </c>
      <c r="AC79" s="211" t="str">
        <f>IFERROR(VLOOKUP(TableHandbook[[#This Row],[UDC]],TableSTRPHRIGT[],7,FALSE),"")</f>
        <v/>
      </c>
      <c r="AD79" s="211" t="str">
        <f>IFERROR(VLOOKUP(TableHandbook[[#This Row],[UDC]],TableSTRPINTRN[],7,FALSE),"")</f>
        <v/>
      </c>
      <c r="AE79" s="211" t="str">
        <f>IFERROR(VLOOKUP(TableHandbook[[#This Row],[UDC]],TableGCGLOBL[],7,FALSE),"")</f>
        <v/>
      </c>
      <c r="AF79" s="213" t="str">
        <f>IFERROR(VLOOKUP(TableHandbook[[#This Row],[UDC]],TableMCINTREL[],7,FALSE),"")</f>
        <v/>
      </c>
      <c r="AG79" s="211" t="str">
        <f>IFERROR(VLOOKUP(TableHandbook[[#This Row],[UDC]],TableMCINTSEC[],7,FALSE),"")</f>
        <v/>
      </c>
      <c r="AH79" s="211" t="str">
        <f>IFERROR(VLOOKUP(TableHandbook[[#This Row],[UDC]],TableGDINTSEC[],7,FALSE),"")</f>
        <v/>
      </c>
      <c r="AI79" s="211" t="str">
        <f>IFERROR(VLOOKUP(TableHandbook[[#This Row],[UDC]],TableGCINTSEC[],7,FALSE),"")</f>
        <v/>
      </c>
      <c r="AJ79" s="211" t="str">
        <f>IFERROR(VLOOKUP(TableHandbook[[#This Row],[UDC]],TableGCINTELL[],7,FALSE),"")</f>
        <v/>
      </c>
      <c r="AK79" s="211" t="str">
        <f>IFERROR(VLOOKUP(TableHandbook[[#This Row],[UDC]],TableGCIPCSEC[],7,FALSE),"")</f>
        <v/>
      </c>
    </row>
    <row r="80" spans="1:37" x14ac:dyDescent="0.3">
      <c r="A80" s="2" t="s">
        <v>352</v>
      </c>
      <c r="B80" s="3">
        <v>1</v>
      </c>
      <c r="C80" s="3"/>
      <c r="D80" s="209" t="s">
        <v>493</v>
      </c>
      <c r="E80" s="3">
        <v>25</v>
      </c>
      <c r="F80" s="149" t="s">
        <v>108</v>
      </c>
      <c r="G80" s="96" t="str">
        <f>IFERROR(IF(VLOOKUP(TableHandbook[[#This Row],[UDC]],TableAvailabilities[],2,FALSE)&gt;0,"Y",""),"")</f>
        <v/>
      </c>
      <c r="H80" s="96" t="str">
        <f>IFERROR(IF(VLOOKUP(TableHandbook[[#This Row],[UDC]],TableAvailabilities[],3,FALSE)&gt;0,"Y",""),"")</f>
        <v/>
      </c>
      <c r="I80" s="96" t="str">
        <f>IFERROR(IF(VLOOKUP(TableHandbook[[#This Row],[UDC]],TableAvailabilities[],4,FALSE)&gt;0,"Y",""),"")</f>
        <v>Y</v>
      </c>
      <c r="J80" s="96" t="str">
        <f>IFERROR(IF(VLOOKUP(TableHandbook[[#This Row],[UDC]],TableAvailabilities[],5,FALSE)&gt;0,"Y",""),"")</f>
        <v>Y</v>
      </c>
      <c r="K80" s="209"/>
      <c r="L80" s="213" t="str">
        <f>IFERROR(VLOOKUP(TableHandbook[[#This Row],[UDC]],TableMCARTS[],7,FALSE),"")</f>
        <v/>
      </c>
      <c r="M80" s="211" t="str">
        <f>IFERROR(VLOOKUP(TableHandbook[[#This Row],[UDC]],TableMJRPCWRIT[],7,FALSE),"")</f>
        <v/>
      </c>
      <c r="N80" s="211" t="str">
        <f>IFERROR(VLOOKUP(TableHandbook[[#This Row],[UDC]],TableMJRPDGCMS[],7,FALSE),"")</f>
        <v/>
      </c>
      <c r="O80" s="211" t="str">
        <f>IFERROR(VLOOKUP(TableHandbook[[#This Row],[UDC]],TableMJRPFINAR[],7,FALSE),"")</f>
        <v/>
      </c>
      <c r="P80" s="211" t="str">
        <f>IFERROR(VLOOKUP(TableHandbook[[#This Row],[UDC]],TableMJRPPWRIT[],7,FALSE),"")</f>
        <v/>
      </c>
      <c r="Q80" s="211" t="str">
        <f>IFERROR(VLOOKUP(TableHandbook[[#This Row],[UDC]],TableMJRPSCRAR[],7,FALSE),"")</f>
        <v/>
      </c>
      <c r="R80" s="213" t="str">
        <f>IFERROR(VLOOKUP(TableHandbook[[#This Row],[UDC]],TableMCMMJRG[],7,FALSE),"")</f>
        <v/>
      </c>
      <c r="S80" s="211" t="str">
        <f>IFERROR(VLOOKUP(TableHandbook[[#This Row],[UDC]],TableMCMMJRN[],7,FALSE),"")</f>
        <v/>
      </c>
      <c r="T80" s="211" t="str">
        <f>IFERROR(VLOOKUP(TableHandbook[[#This Row],[UDC]],TableGDMMJRN[],7,FALSE),"")</f>
        <v/>
      </c>
      <c r="U80" s="211" t="str">
        <f>IFERROR(VLOOKUP(TableHandbook[[#This Row],[UDC]],TableGCMMJRN[],7,FALSE),"")</f>
        <v/>
      </c>
      <c r="V80" s="213" t="str">
        <f>IFERROR(VLOOKUP(TableHandbook[[#This Row],[UDC]],TableMCHRIGLO[],7,FALSE),"")</f>
        <v/>
      </c>
      <c r="W80" s="211" t="str">
        <f>IFERROR(VLOOKUP(TableHandbook[[#This Row],[UDC]],TableMCHRIGHT[],7,FALSE),"")</f>
        <v/>
      </c>
      <c r="X80" s="211" t="str">
        <f>IFERROR(VLOOKUP(TableHandbook[[#This Row],[UDC]],TableGDHRIGHT[],7,FALSE),"")</f>
        <v/>
      </c>
      <c r="Y80" s="211" t="str">
        <f>IFERROR(VLOOKUP(TableHandbook[[#This Row],[UDC]],TableGCHRIGHT[],7,FALSE),"")</f>
        <v/>
      </c>
      <c r="Z80" s="213" t="str">
        <f>IFERROR(VLOOKUP(TableHandbook[[#This Row],[UDC]],TableMCGLOBL2[],7,FALSE),"")</f>
        <v/>
      </c>
      <c r="AA80" s="211" t="str">
        <f>IFERROR(VLOOKUP(TableHandbook[[#This Row],[UDC]],TableMCGLOBL[],7,FALSE),"")</f>
        <v/>
      </c>
      <c r="AB80" s="211" t="str">
        <f>IFERROR(VLOOKUP(TableHandbook[[#This Row],[UDC]],TableSTRPGLOBL[],7,FALSE),"")</f>
        <v/>
      </c>
      <c r="AC80" s="211" t="str">
        <f>IFERROR(VLOOKUP(TableHandbook[[#This Row],[UDC]],TableSTRPHRIGT[],7,FALSE),"")</f>
        <v/>
      </c>
      <c r="AD80" s="211" t="str">
        <f>IFERROR(VLOOKUP(TableHandbook[[#This Row],[UDC]],TableSTRPINTRN[],7,FALSE),"")</f>
        <v>Option</v>
      </c>
      <c r="AE80" s="211" t="str">
        <f>IFERROR(VLOOKUP(TableHandbook[[#This Row],[UDC]],TableGCGLOBL[],7,FALSE),"")</f>
        <v/>
      </c>
      <c r="AF80" s="213" t="str">
        <f>IFERROR(VLOOKUP(TableHandbook[[#This Row],[UDC]],TableMCINTREL[],7,FALSE),"")</f>
        <v>Option</v>
      </c>
      <c r="AG80" s="211" t="str">
        <f>IFERROR(VLOOKUP(TableHandbook[[#This Row],[UDC]],TableMCINTSEC[],7,FALSE),"")</f>
        <v>Option</v>
      </c>
      <c r="AH80" s="211" t="str">
        <f>IFERROR(VLOOKUP(TableHandbook[[#This Row],[UDC]],TableGDINTSEC[],7,FALSE),"")</f>
        <v>Option</v>
      </c>
      <c r="AI80" s="211" t="str">
        <f>IFERROR(VLOOKUP(TableHandbook[[#This Row],[UDC]],TableGCINTSEC[],7,FALSE),"")</f>
        <v>Option</v>
      </c>
      <c r="AJ80" s="211" t="str">
        <f>IFERROR(VLOOKUP(TableHandbook[[#This Row],[UDC]],TableGCINTELL[],7,FALSE),"")</f>
        <v/>
      </c>
      <c r="AK80" s="211" t="str">
        <f>IFERROR(VLOOKUP(TableHandbook[[#This Row],[UDC]],TableGCIPCSEC[],7,FALSE),"")</f>
        <v>Core</v>
      </c>
    </row>
    <row r="81" spans="1:37" x14ac:dyDescent="0.3">
      <c r="A81" s="2" t="s">
        <v>376</v>
      </c>
      <c r="B81" s="3">
        <v>1</v>
      </c>
      <c r="C81" s="3"/>
      <c r="D81" s="209" t="s">
        <v>494</v>
      </c>
      <c r="E81" s="3">
        <v>25</v>
      </c>
      <c r="F81" s="149" t="s">
        <v>108</v>
      </c>
      <c r="G81" s="96" t="str">
        <f>IFERROR(IF(VLOOKUP(TableHandbook[[#This Row],[UDC]],TableAvailabilities[],2,FALSE)&gt;0,"Y",""),"")</f>
        <v>Y</v>
      </c>
      <c r="H81" s="96" t="str">
        <f>IFERROR(IF(VLOOKUP(TableHandbook[[#This Row],[UDC]],TableAvailabilities[],3,FALSE)&gt;0,"Y",""),"")</f>
        <v>Y</v>
      </c>
      <c r="I81" s="96" t="str">
        <f>IFERROR(IF(VLOOKUP(TableHandbook[[#This Row],[UDC]],TableAvailabilities[],4,FALSE)&gt;0,"Y",""),"")</f>
        <v/>
      </c>
      <c r="J81" s="96" t="str">
        <f>IFERROR(IF(VLOOKUP(TableHandbook[[#This Row],[UDC]],TableAvailabilities[],5,FALSE)&gt;0,"Y",""),"")</f>
        <v/>
      </c>
      <c r="K81" s="209"/>
      <c r="L81" s="213" t="str">
        <f>IFERROR(VLOOKUP(TableHandbook[[#This Row],[UDC]],TableMCARTS[],7,FALSE),"")</f>
        <v/>
      </c>
      <c r="M81" s="211" t="str">
        <f>IFERROR(VLOOKUP(TableHandbook[[#This Row],[UDC]],TableMJRPCWRIT[],7,FALSE),"")</f>
        <v/>
      </c>
      <c r="N81" s="211" t="str">
        <f>IFERROR(VLOOKUP(TableHandbook[[#This Row],[UDC]],TableMJRPDGCMS[],7,FALSE),"")</f>
        <v/>
      </c>
      <c r="O81" s="211" t="str">
        <f>IFERROR(VLOOKUP(TableHandbook[[#This Row],[UDC]],TableMJRPFINAR[],7,FALSE),"")</f>
        <v/>
      </c>
      <c r="P81" s="211" t="str">
        <f>IFERROR(VLOOKUP(TableHandbook[[#This Row],[UDC]],TableMJRPPWRIT[],7,FALSE),"")</f>
        <v/>
      </c>
      <c r="Q81" s="211" t="str">
        <f>IFERROR(VLOOKUP(TableHandbook[[#This Row],[UDC]],TableMJRPSCRAR[],7,FALSE),"")</f>
        <v/>
      </c>
      <c r="R81" s="213" t="str">
        <f>IFERROR(VLOOKUP(TableHandbook[[#This Row],[UDC]],TableMCMMJRG[],7,FALSE),"")</f>
        <v/>
      </c>
      <c r="S81" s="211" t="str">
        <f>IFERROR(VLOOKUP(TableHandbook[[#This Row],[UDC]],TableMCMMJRN[],7,FALSE),"")</f>
        <v/>
      </c>
      <c r="T81" s="211" t="str">
        <f>IFERROR(VLOOKUP(TableHandbook[[#This Row],[UDC]],TableGDMMJRN[],7,FALSE),"")</f>
        <v/>
      </c>
      <c r="U81" s="211" t="str">
        <f>IFERROR(VLOOKUP(TableHandbook[[#This Row],[UDC]],TableGCMMJRN[],7,FALSE),"")</f>
        <v/>
      </c>
      <c r="V81" s="213" t="str">
        <f>IFERROR(VLOOKUP(TableHandbook[[#This Row],[UDC]],TableMCHRIGLO[],7,FALSE),"")</f>
        <v/>
      </c>
      <c r="W81" s="211" t="str">
        <f>IFERROR(VLOOKUP(TableHandbook[[#This Row],[UDC]],TableMCHRIGHT[],7,FALSE),"")</f>
        <v/>
      </c>
      <c r="X81" s="211" t="str">
        <f>IFERROR(VLOOKUP(TableHandbook[[#This Row],[UDC]],TableGDHRIGHT[],7,FALSE),"")</f>
        <v/>
      </c>
      <c r="Y81" s="211" t="str">
        <f>IFERROR(VLOOKUP(TableHandbook[[#This Row],[UDC]],TableGCHRIGHT[],7,FALSE),"")</f>
        <v/>
      </c>
      <c r="Z81" s="213" t="str">
        <f>IFERROR(VLOOKUP(TableHandbook[[#This Row],[UDC]],TableMCGLOBL2[],7,FALSE),"")</f>
        <v/>
      </c>
      <c r="AA81" s="211" t="str">
        <f>IFERROR(VLOOKUP(TableHandbook[[#This Row],[UDC]],TableMCGLOBL[],7,FALSE),"")</f>
        <v/>
      </c>
      <c r="AB81" s="211" t="str">
        <f>IFERROR(VLOOKUP(TableHandbook[[#This Row],[UDC]],TableSTRPGLOBL[],7,FALSE),"")</f>
        <v/>
      </c>
      <c r="AC81" s="211" t="str">
        <f>IFERROR(VLOOKUP(TableHandbook[[#This Row],[UDC]],TableSTRPHRIGT[],7,FALSE),"")</f>
        <v/>
      </c>
      <c r="AD81" s="211" t="str">
        <f>IFERROR(VLOOKUP(TableHandbook[[#This Row],[UDC]],TableSTRPINTRN[],7,FALSE),"")</f>
        <v>Option</v>
      </c>
      <c r="AE81" s="211" t="str">
        <f>IFERROR(VLOOKUP(TableHandbook[[#This Row],[UDC]],TableGCGLOBL[],7,FALSE),"")</f>
        <v/>
      </c>
      <c r="AF81" s="213" t="str">
        <f>IFERROR(VLOOKUP(TableHandbook[[#This Row],[UDC]],TableMCINTREL[],7,FALSE),"")</f>
        <v>Option</v>
      </c>
      <c r="AG81" s="211" t="str">
        <f>IFERROR(VLOOKUP(TableHandbook[[#This Row],[UDC]],TableMCINTSEC[],7,FALSE),"")</f>
        <v>Option</v>
      </c>
      <c r="AH81" s="211" t="str">
        <f>IFERROR(VLOOKUP(TableHandbook[[#This Row],[UDC]],TableGDINTSEC[],7,FALSE),"")</f>
        <v>Option</v>
      </c>
      <c r="AI81" s="211" t="str">
        <f>IFERROR(VLOOKUP(TableHandbook[[#This Row],[UDC]],TableGCINTSEC[],7,FALSE),"")</f>
        <v>Option</v>
      </c>
      <c r="AJ81" s="211" t="str">
        <f>IFERROR(VLOOKUP(TableHandbook[[#This Row],[UDC]],TableGCINTELL[],7,FALSE),"")</f>
        <v/>
      </c>
      <c r="AK81" s="211" t="str">
        <f>IFERROR(VLOOKUP(TableHandbook[[#This Row],[UDC]],TableGCIPCSEC[],7,FALSE),"")</f>
        <v/>
      </c>
    </row>
    <row r="82" spans="1:37" x14ac:dyDescent="0.3">
      <c r="A82" s="2" t="s">
        <v>321</v>
      </c>
      <c r="B82" s="3">
        <v>1</v>
      </c>
      <c r="C82" s="3"/>
      <c r="D82" s="209" t="s">
        <v>495</v>
      </c>
      <c r="E82" s="3">
        <v>25</v>
      </c>
      <c r="F82" s="149" t="s">
        <v>108</v>
      </c>
      <c r="G82" s="96" t="str">
        <f>IFERROR(IF(VLOOKUP(TableHandbook[[#This Row],[UDC]],TableAvailabilities[],2,FALSE)&gt;0,"Y",""),"")</f>
        <v/>
      </c>
      <c r="H82" s="96" t="str">
        <f>IFERROR(IF(VLOOKUP(TableHandbook[[#This Row],[UDC]],TableAvailabilities[],3,FALSE)&gt;0,"Y",""),"")</f>
        <v/>
      </c>
      <c r="I82" s="96" t="str">
        <f>IFERROR(IF(VLOOKUP(TableHandbook[[#This Row],[UDC]],TableAvailabilities[],4,FALSE)&gt;0,"Y",""),"")</f>
        <v>Y</v>
      </c>
      <c r="J82" s="96" t="str">
        <f>IFERROR(IF(VLOOKUP(TableHandbook[[#This Row],[UDC]],TableAvailabilities[],5,FALSE)&gt;0,"Y",""),"")</f>
        <v>Y</v>
      </c>
      <c r="K82" s="209"/>
      <c r="L82" s="213" t="str">
        <f>IFERROR(VLOOKUP(TableHandbook[[#This Row],[UDC]],TableMCARTS[],7,FALSE),"")</f>
        <v/>
      </c>
      <c r="M82" s="211" t="str">
        <f>IFERROR(VLOOKUP(TableHandbook[[#This Row],[UDC]],TableMJRPCWRIT[],7,FALSE),"")</f>
        <v/>
      </c>
      <c r="N82" s="211" t="str">
        <f>IFERROR(VLOOKUP(TableHandbook[[#This Row],[UDC]],TableMJRPDGCMS[],7,FALSE),"")</f>
        <v/>
      </c>
      <c r="O82" s="211" t="str">
        <f>IFERROR(VLOOKUP(TableHandbook[[#This Row],[UDC]],TableMJRPFINAR[],7,FALSE),"")</f>
        <v/>
      </c>
      <c r="P82" s="211" t="str">
        <f>IFERROR(VLOOKUP(TableHandbook[[#This Row],[UDC]],TableMJRPPWRIT[],7,FALSE),"")</f>
        <v/>
      </c>
      <c r="Q82" s="211" t="str">
        <f>IFERROR(VLOOKUP(TableHandbook[[#This Row],[UDC]],TableMJRPSCRAR[],7,FALSE),"")</f>
        <v/>
      </c>
      <c r="R82" s="213" t="str">
        <f>IFERROR(VLOOKUP(TableHandbook[[#This Row],[UDC]],TableMCMMJRG[],7,FALSE),"")</f>
        <v>Option</v>
      </c>
      <c r="S82" s="211" t="str">
        <f>IFERROR(VLOOKUP(TableHandbook[[#This Row],[UDC]],TableMCMMJRN[],7,FALSE),"")</f>
        <v/>
      </c>
      <c r="T82" s="211" t="str">
        <f>IFERROR(VLOOKUP(TableHandbook[[#This Row],[UDC]],TableGDMMJRN[],7,FALSE),"")</f>
        <v/>
      </c>
      <c r="U82" s="211" t="str">
        <f>IFERROR(VLOOKUP(TableHandbook[[#This Row],[UDC]],TableGCMMJRN[],7,FALSE),"")</f>
        <v/>
      </c>
      <c r="V82" s="213" t="str">
        <f>IFERROR(VLOOKUP(TableHandbook[[#This Row],[UDC]],TableMCHRIGLO[],7,FALSE),"")</f>
        <v/>
      </c>
      <c r="W82" s="211" t="str">
        <f>IFERROR(VLOOKUP(TableHandbook[[#This Row],[UDC]],TableMCHRIGHT[],7,FALSE),"")</f>
        <v/>
      </c>
      <c r="X82" s="211" t="str">
        <f>IFERROR(VLOOKUP(TableHandbook[[#This Row],[UDC]],TableGDHRIGHT[],7,FALSE),"")</f>
        <v/>
      </c>
      <c r="Y82" s="211" t="str">
        <f>IFERROR(VLOOKUP(TableHandbook[[#This Row],[UDC]],TableGCHRIGHT[],7,FALSE),"")</f>
        <v/>
      </c>
      <c r="Z82" s="213" t="str">
        <f>IFERROR(VLOOKUP(TableHandbook[[#This Row],[UDC]],TableMCGLOBL2[],7,FALSE),"")</f>
        <v/>
      </c>
      <c r="AA82" s="211" t="str">
        <f>IFERROR(VLOOKUP(TableHandbook[[#This Row],[UDC]],TableMCGLOBL[],7,FALSE),"")</f>
        <v/>
      </c>
      <c r="AB82" s="211" t="str">
        <f>IFERROR(VLOOKUP(TableHandbook[[#This Row],[UDC]],TableSTRPGLOBL[],7,FALSE),"")</f>
        <v/>
      </c>
      <c r="AC82" s="211" t="str">
        <f>IFERROR(VLOOKUP(TableHandbook[[#This Row],[UDC]],TableSTRPHRIGT[],7,FALSE),"")</f>
        <v/>
      </c>
      <c r="AD82" s="211" t="str">
        <f>IFERROR(VLOOKUP(TableHandbook[[#This Row],[UDC]],TableSTRPINTRN[],7,FALSE),"")</f>
        <v>Option</v>
      </c>
      <c r="AE82" s="211" t="str">
        <f>IFERROR(VLOOKUP(TableHandbook[[#This Row],[UDC]],TableGCGLOBL[],7,FALSE),"")</f>
        <v/>
      </c>
      <c r="AF82" s="213" t="str">
        <f>IFERROR(VLOOKUP(TableHandbook[[#This Row],[UDC]],TableMCINTREL[],7,FALSE),"")</f>
        <v>Option</v>
      </c>
      <c r="AG82" s="211" t="str">
        <f>IFERROR(VLOOKUP(TableHandbook[[#This Row],[UDC]],TableMCINTSEC[],7,FALSE),"")</f>
        <v>Option</v>
      </c>
      <c r="AH82" s="211" t="str">
        <f>IFERROR(VLOOKUP(TableHandbook[[#This Row],[UDC]],TableGDINTSEC[],7,FALSE),"")</f>
        <v>Option</v>
      </c>
      <c r="AI82" s="211" t="str">
        <f>IFERROR(VLOOKUP(TableHandbook[[#This Row],[UDC]],TableGCINTSEC[],7,FALSE),"")</f>
        <v>Option</v>
      </c>
      <c r="AJ82" s="211" t="str">
        <f>IFERROR(VLOOKUP(TableHandbook[[#This Row],[UDC]],TableGCINTELL[],7,FALSE),"")</f>
        <v>Core</v>
      </c>
      <c r="AK82" s="211" t="str">
        <f>IFERROR(VLOOKUP(TableHandbook[[#This Row],[UDC]],TableGCIPCSEC[],7,FALSE),"")</f>
        <v/>
      </c>
    </row>
    <row r="83" spans="1:37" x14ac:dyDescent="0.3">
      <c r="A83" s="2" t="s">
        <v>378</v>
      </c>
      <c r="B83" s="3">
        <v>2</v>
      </c>
      <c r="C83" s="3"/>
      <c r="D83" s="209" t="s">
        <v>496</v>
      </c>
      <c r="E83" s="3">
        <v>25</v>
      </c>
      <c r="F83" s="149" t="s">
        <v>108</v>
      </c>
      <c r="G83" s="96" t="str">
        <f>IFERROR(IF(VLOOKUP(TableHandbook[[#This Row],[UDC]],TableAvailabilities[],2,FALSE)&gt;0,"Y",""),"")</f>
        <v>Y</v>
      </c>
      <c r="H83" s="96" t="str">
        <f>IFERROR(IF(VLOOKUP(TableHandbook[[#This Row],[UDC]],TableAvailabilities[],3,FALSE)&gt;0,"Y",""),"")</f>
        <v>Y</v>
      </c>
      <c r="I83" s="96" t="str">
        <f>IFERROR(IF(VLOOKUP(TableHandbook[[#This Row],[UDC]],TableAvailabilities[],4,FALSE)&gt;0,"Y",""),"")</f>
        <v/>
      </c>
      <c r="J83" s="96" t="str">
        <f>IFERROR(IF(VLOOKUP(TableHandbook[[#This Row],[UDC]],TableAvailabilities[],5,FALSE)&gt;0,"Y",""),"")</f>
        <v/>
      </c>
      <c r="K83" s="209"/>
      <c r="L83" s="213" t="str">
        <f>IFERROR(VLOOKUP(TableHandbook[[#This Row],[UDC]],TableMCARTS[],7,FALSE),"")</f>
        <v/>
      </c>
      <c r="M83" s="211" t="str">
        <f>IFERROR(VLOOKUP(TableHandbook[[#This Row],[UDC]],TableMJRPCWRIT[],7,FALSE),"")</f>
        <v/>
      </c>
      <c r="N83" s="211" t="str">
        <f>IFERROR(VLOOKUP(TableHandbook[[#This Row],[UDC]],TableMJRPDGCMS[],7,FALSE),"")</f>
        <v/>
      </c>
      <c r="O83" s="211" t="str">
        <f>IFERROR(VLOOKUP(TableHandbook[[#This Row],[UDC]],TableMJRPFINAR[],7,FALSE),"")</f>
        <v/>
      </c>
      <c r="P83" s="211" t="str">
        <f>IFERROR(VLOOKUP(TableHandbook[[#This Row],[UDC]],TableMJRPPWRIT[],7,FALSE),"")</f>
        <v/>
      </c>
      <c r="Q83" s="211" t="str">
        <f>IFERROR(VLOOKUP(TableHandbook[[#This Row],[UDC]],TableMJRPSCRAR[],7,FALSE),"")</f>
        <v/>
      </c>
      <c r="R83" s="213" t="str">
        <f>IFERROR(VLOOKUP(TableHandbook[[#This Row],[UDC]],TableMCMMJRG[],7,FALSE),"")</f>
        <v/>
      </c>
      <c r="S83" s="211" t="str">
        <f>IFERROR(VLOOKUP(TableHandbook[[#This Row],[UDC]],TableMCMMJRN[],7,FALSE),"")</f>
        <v/>
      </c>
      <c r="T83" s="211" t="str">
        <f>IFERROR(VLOOKUP(TableHandbook[[#This Row],[UDC]],TableGDMMJRN[],7,FALSE),"")</f>
        <v/>
      </c>
      <c r="U83" s="211" t="str">
        <f>IFERROR(VLOOKUP(TableHandbook[[#This Row],[UDC]],TableGCMMJRN[],7,FALSE),"")</f>
        <v/>
      </c>
      <c r="V83" s="213" t="str">
        <f>IFERROR(VLOOKUP(TableHandbook[[#This Row],[UDC]],TableMCHRIGLO[],7,FALSE),"")</f>
        <v/>
      </c>
      <c r="W83" s="211" t="str">
        <f>IFERROR(VLOOKUP(TableHandbook[[#This Row],[UDC]],TableMCHRIGHT[],7,FALSE),"")</f>
        <v/>
      </c>
      <c r="X83" s="211" t="str">
        <f>IFERROR(VLOOKUP(TableHandbook[[#This Row],[UDC]],TableGDHRIGHT[],7,FALSE),"")</f>
        <v/>
      </c>
      <c r="Y83" s="211" t="str">
        <f>IFERROR(VLOOKUP(TableHandbook[[#This Row],[UDC]],TableGCHRIGHT[],7,FALSE),"")</f>
        <v/>
      </c>
      <c r="Z83" s="213" t="str">
        <f>IFERROR(VLOOKUP(TableHandbook[[#This Row],[UDC]],TableMCGLOBL2[],7,FALSE),"")</f>
        <v/>
      </c>
      <c r="AA83" s="211" t="str">
        <f>IFERROR(VLOOKUP(TableHandbook[[#This Row],[UDC]],TableMCGLOBL[],7,FALSE),"")</f>
        <v/>
      </c>
      <c r="AB83" s="211" t="str">
        <f>IFERROR(VLOOKUP(TableHandbook[[#This Row],[UDC]],TableSTRPGLOBL[],7,FALSE),"")</f>
        <v/>
      </c>
      <c r="AC83" s="211" t="str">
        <f>IFERROR(VLOOKUP(TableHandbook[[#This Row],[UDC]],TableSTRPHRIGT[],7,FALSE),"")</f>
        <v/>
      </c>
      <c r="AD83" s="211" t="str">
        <f>IFERROR(VLOOKUP(TableHandbook[[#This Row],[UDC]],TableSTRPINTRN[],7,FALSE),"")</f>
        <v>Option</v>
      </c>
      <c r="AE83" s="211" t="str">
        <f>IFERROR(VLOOKUP(TableHandbook[[#This Row],[UDC]],TableGCGLOBL[],7,FALSE),"")</f>
        <v/>
      </c>
      <c r="AF83" s="213" t="str">
        <f>IFERROR(VLOOKUP(TableHandbook[[#This Row],[UDC]],TableMCINTREL[],7,FALSE),"")</f>
        <v>Option</v>
      </c>
      <c r="AG83" s="211" t="str">
        <f>IFERROR(VLOOKUP(TableHandbook[[#This Row],[UDC]],TableMCINTSEC[],7,FALSE),"")</f>
        <v>Option</v>
      </c>
      <c r="AH83" s="211" t="str">
        <f>IFERROR(VLOOKUP(TableHandbook[[#This Row],[UDC]],TableGDINTSEC[],7,FALSE),"")</f>
        <v>Option</v>
      </c>
      <c r="AI83" s="211" t="str">
        <f>IFERROR(VLOOKUP(TableHandbook[[#This Row],[UDC]],TableGCINTSEC[],7,FALSE),"")</f>
        <v>Option</v>
      </c>
      <c r="AJ83" s="211" t="str">
        <f>IFERROR(VLOOKUP(TableHandbook[[#This Row],[UDC]],TableGCINTELL[],7,FALSE),"")</f>
        <v/>
      </c>
      <c r="AK83" s="211" t="str">
        <f>IFERROR(VLOOKUP(TableHandbook[[#This Row],[UDC]],TableGCIPCSEC[],7,FALSE),"")</f>
        <v/>
      </c>
    </row>
    <row r="84" spans="1:37" x14ac:dyDescent="0.3">
      <c r="A84" s="231" t="s">
        <v>353</v>
      </c>
      <c r="B84" s="3">
        <v>2</v>
      </c>
      <c r="C84" s="3"/>
      <c r="D84" s="209" t="s">
        <v>497</v>
      </c>
      <c r="E84" s="3">
        <v>25</v>
      </c>
      <c r="F84" s="245" t="s">
        <v>108</v>
      </c>
      <c r="G84" s="96" t="str">
        <f>IFERROR(IF(VLOOKUP(TableHandbook[[#This Row],[UDC]],TableAvailabilities[],2,FALSE)&gt;0,"Y",""),"")</f>
        <v>Y</v>
      </c>
      <c r="H84" s="96" t="str">
        <f>IFERROR(IF(VLOOKUP(TableHandbook[[#This Row],[UDC]],TableAvailabilities[],3,FALSE)&gt;0,"Y",""),"")</f>
        <v>Y</v>
      </c>
      <c r="I84" s="96" t="str">
        <f>IFERROR(IF(VLOOKUP(TableHandbook[[#This Row],[UDC]],TableAvailabilities[],4,FALSE)&gt;0,"Y",""),"")</f>
        <v/>
      </c>
      <c r="J84" s="96" t="str">
        <f>IFERROR(IF(VLOOKUP(TableHandbook[[#This Row],[UDC]],TableAvailabilities[],5,FALSE)&gt;0,"Y",""),"")</f>
        <v/>
      </c>
      <c r="K84" s="209" t="s">
        <v>433</v>
      </c>
      <c r="L84" s="213" t="str">
        <f>IFERROR(VLOOKUP(TableHandbook[[#This Row],[UDC]],TableMCARTS[],7,FALSE),"")</f>
        <v/>
      </c>
      <c r="M84" s="211" t="str">
        <f>IFERROR(VLOOKUP(TableHandbook[[#This Row],[UDC]],TableMJRPCWRIT[],7,FALSE),"")</f>
        <v/>
      </c>
      <c r="N84" s="211" t="str">
        <f>IFERROR(VLOOKUP(TableHandbook[[#This Row],[UDC]],TableMJRPDGCMS[],7,FALSE),"")</f>
        <v/>
      </c>
      <c r="O84" s="211" t="str">
        <f>IFERROR(VLOOKUP(TableHandbook[[#This Row],[UDC]],TableMJRPFINAR[],7,FALSE),"")</f>
        <v/>
      </c>
      <c r="P84" s="211" t="str">
        <f>IFERROR(VLOOKUP(TableHandbook[[#This Row],[UDC]],TableMJRPPWRIT[],7,FALSE),"")</f>
        <v/>
      </c>
      <c r="Q84" s="211" t="str">
        <f>IFERROR(VLOOKUP(TableHandbook[[#This Row],[UDC]],TableMJRPSCRAR[],7,FALSE),"")</f>
        <v/>
      </c>
      <c r="R84" s="213" t="str">
        <f>IFERROR(VLOOKUP(TableHandbook[[#This Row],[UDC]],TableMCMMJRG[],7,FALSE),"")</f>
        <v/>
      </c>
      <c r="S84" s="211" t="str">
        <f>IFERROR(VLOOKUP(TableHandbook[[#This Row],[UDC]],TableMCMMJRN[],7,FALSE),"")</f>
        <v/>
      </c>
      <c r="T84" s="211" t="str">
        <f>IFERROR(VLOOKUP(TableHandbook[[#This Row],[UDC]],TableGDMMJRN[],7,FALSE),"")</f>
        <v/>
      </c>
      <c r="U84" s="211" t="str">
        <f>IFERROR(VLOOKUP(TableHandbook[[#This Row],[UDC]],TableGCMMJRN[],7,FALSE),"")</f>
        <v/>
      </c>
      <c r="V84" s="213" t="str">
        <f>IFERROR(VLOOKUP(TableHandbook[[#This Row],[UDC]],TableMCHRIGLO[],7,FALSE),"")</f>
        <v/>
      </c>
      <c r="W84" s="211" t="str">
        <f>IFERROR(VLOOKUP(TableHandbook[[#This Row],[UDC]],TableMCHRIGHT[],7,FALSE),"")</f>
        <v/>
      </c>
      <c r="X84" s="211" t="str">
        <f>IFERROR(VLOOKUP(TableHandbook[[#This Row],[UDC]],TableGDHRIGHT[],7,FALSE),"")</f>
        <v/>
      </c>
      <c r="Y84" s="211" t="str">
        <f>IFERROR(VLOOKUP(TableHandbook[[#This Row],[UDC]],TableGCHRIGHT[],7,FALSE),"")</f>
        <v/>
      </c>
      <c r="Z84" s="213" t="str">
        <f>IFERROR(VLOOKUP(TableHandbook[[#This Row],[UDC]],TableMCGLOBL2[],7,FALSE),"")</f>
        <v/>
      </c>
      <c r="AA84" s="211" t="str">
        <f>IFERROR(VLOOKUP(TableHandbook[[#This Row],[UDC]],TableMCGLOBL[],7,FALSE),"")</f>
        <v/>
      </c>
      <c r="AB84" s="211" t="str">
        <f>IFERROR(VLOOKUP(TableHandbook[[#This Row],[UDC]],TableSTRPGLOBL[],7,FALSE),"")</f>
        <v/>
      </c>
      <c r="AC84" s="211" t="str">
        <f>IFERROR(VLOOKUP(TableHandbook[[#This Row],[UDC]],TableSTRPHRIGT[],7,FALSE),"")</f>
        <v/>
      </c>
      <c r="AD84" s="211" t="str">
        <f>IFERROR(VLOOKUP(TableHandbook[[#This Row],[UDC]],TableSTRPINTRN[],7,FALSE),"")</f>
        <v>Option</v>
      </c>
      <c r="AE84" s="211" t="str">
        <f>IFERROR(VLOOKUP(TableHandbook[[#This Row],[UDC]],TableGCGLOBL[],7,FALSE),"")</f>
        <v/>
      </c>
      <c r="AF84" s="213" t="str">
        <f>IFERROR(VLOOKUP(TableHandbook[[#This Row],[UDC]],TableMCINTREL[],7,FALSE),"")</f>
        <v>Option</v>
      </c>
      <c r="AG84" s="211" t="str">
        <f>IFERROR(VLOOKUP(TableHandbook[[#This Row],[UDC]],TableMCINTSEC[],7,FALSE),"")</f>
        <v>Option</v>
      </c>
      <c r="AH84" s="211" t="str">
        <f>IFERROR(VLOOKUP(TableHandbook[[#This Row],[UDC]],TableGDINTSEC[],7,FALSE),"")</f>
        <v>Option</v>
      </c>
      <c r="AI84" s="211" t="str">
        <f>IFERROR(VLOOKUP(TableHandbook[[#This Row],[UDC]],TableGCINTSEC[],7,FALSE),"")</f>
        <v>Option</v>
      </c>
      <c r="AJ84" s="211" t="str">
        <f>IFERROR(VLOOKUP(TableHandbook[[#This Row],[UDC]],TableGCINTELL[],7,FALSE),"")</f>
        <v>Core</v>
      </c>
      <c r="AK84" s="211" t="str">
        <f>IFERROR(VLOOKUP(TableHandbook[[#This Row],[UDC]],TableGCIPCSEC[],7,FALSE),"")</f>
        <v/>
      </c>
    </row>
    <row r="85" spans="1:37" x14ac:dyDescent="0.3">
      <c r="A85" s="2" t="s">
        <v>498</v>
      </c>
      <c r="B85" s="3">
        <v>1</v>
      </c>
      <c r="C85" s="3"/>
      <c r="D85" s="209" t="s">
        <v>499</v>
      </c>
      <c r="E85" s="3">
        <v>25</v>
      </c>
      <c r="F85" s="149" t="s">
        <v>108</v>
      </c>
      <c r="G85" s="96" t="str">
        <f>IFERROR(IF(VLOOKUP(TableHandbook[[#This Row],[UDC]],TableAvailabilities[],2,FALSE)&gt;0,"Y",""),"")</f>
        <v/>
      </c>
      <c r="H85" s="96" t="str">
        <f>IFERROR(IF(VLOOKUP(TableHandbook[[#This Row],[UDC]],TableAvailabilities[],3,FALSE)&gt;0,"Y",""),"")</f>
        <v/>
      </c>
      <c r="I85" s="96" t="str">
        <f>IFERROR(IF(VLOOKUP(TableHandbook[[#This Row],[UDC]],TableAvailabilities[],4,FALSE)&gt;0,"Y",""),"")</f>
        <v/>
      </c>
      <c r="J85" s="96" t="str">
        <f>IFERROR(IF(VLOOKUP(TableHandbook[[#This Row],[UDC]],TableAvailabilities[],5,FALSE)&gt;0,"Y",""),"")</f>
        <v/>
      </c>
      <c r="K85" s="209" t="s">
        <v>436</v>
      </c>
      <c r="L85" s="213" t="str">
        <f>IFERROR(VLOOKUP(TableHandbook[[#This Row],[UDC]],TableMCARTS[],7,FALSE),"")</f>
        <v/>
      </c>
      <c r="M85" s="211" t="str">
        <f>IFERROR(VLOOKUP(TableHandbook[[#This Row],[UDC]],TableMJRPCWRIT[],7,FALSE),"")</f>
        <v/>
      </c>
      <c r="N85" s="211" t="str">
        <f>IFERROR(VLOOKUP(TableHandbook[[#This Row],[UDC]],TableMJRPDGCMS[],7,FALSE),"")</f>
        <v/>
      </c>
      <c r="O85" s="211" t="str">
        <f>IFERROR(VLOOKUP(TableHandbook[[#This Row],[UDC]],TableMJRPFINAR[],7,FALSE),"")</f>
        <v/>
      </c>
      <c r="P85" s="211" t="str">
        <f>IFERROR(VLOOKUP(TableHandbook[[#This Row],[UDC]],TableMJRPPWRIT[],7,FALSE),"")</f>
        <v/>
      </c>
      <c r="Q85" s="211" t="str">
        <f>IFERROR(VLOOKUP(TableHandbook[[#This Row],[UDC]],TableMJRPSCRAR[],7,FALSE),"")</f>
        <v/>
      </c>
      <c r="R85" s="213" t="str">
        <f>IFERROR(VLOOKUP(TableHandbook[[#This Row],[UDC]],TableMCMMJRG[],7,FALSE),"")</f>
        <v/>
      </c>
      <c r="S85" s="211" t="str">
        <f>IFERROR(VLOOKUP(TableHandbook[[#This Row],[UDC]],TableMCMMJRN[],7,FALSE),"")</f>
        <v/>
      </c>
      <c r="T85" s="211" t="str">
        <f>IFERROR(VLOOKUP(TableHandbook[[#This Row],[UDC]],TableGDMMJRN[],7,FALSE),"")</f>
        <v/>
      </c>
      <c r="U85" s="211" t="str">
        <f>IFERROR(VLOOKUP(TableHandbook[[#This Row],[UDC]],TableGCMMJRN[],7,FALSE),"")</f>
        <v/>
      </c>
      <c r="V85" s="213" t="str">
        <f>IFERROR(VLOOKUP(TableHandbook[[#This Row],[UDC]],TableMCHRIGLO[],7,FALSE),"")</f>
        <v/>
      </c>
      <c r="W85" s="211" t="str">
        <f>IFERROR(VLOOKUP(TableHandbook[[#This Row],[UDC]],TableMCHRIGHT[],7,FALSE),"")</f>
        <v/>
      </c>
      <c r="X85" s="211" t="str">
        <f>IFERROR(VLOOKUP(TableHandbook[[#This Row],[UDC]],TableGDHRIGHT[],7,FALSE),"")</f>
        <v/>
      </c>
      <c r="Y85" s="211" t="str">
        <f>IFERROR(VLOOKUP(TableHandbook[[#This Row],[UDC]],TableGCHRIGHT[],7,FALSE),"")</f>
        <v/>
      </c>
      <c r="Z85" s="213" t="str">
        <f>IFERROR(VLOOKUP(TableHandbook[[#This Row],[UDC]],TableMCGLOBL2[],7,FALSE),"")</f>
        <v/>
      </c>
      <c r="AA85" s="211" t="str">
        <f>IFERROR(VLOOKUP(TableHandbook[[#This Row],[UDC]],TableMCGLOBL[],7,FALSE),"")</f>
        <v/>
      </c>
      <c r="AB85" s="211" t="str">
        <f>IFERROR(VLOOKUP(TableHandbook[[#This Row],[UDC]],TableSTRPGLOBL[],7,FALSE),"")</f>
        <v/>
      </c>
      <c r="AC85" s="211" t="str">
        <f>IFERROR(VLOOKUP(TableHandbook[[#This Row],[UDC]],TableSTRPHRIGT[],7,FALSE),"")</f>
        <v/>
      </c>
      <c r="AD85" s="211" t="str">
        <f>IFERROR(VLOOKUP(TableHandbook[[#This Row],[UDC]],TableSTRPINTRN[],7,FALSE),"")</f>
        <v/>
      </c>
      <c r="AE85" s="211" t="str">
        <f>IFERROR(VLOOKUP(TableHandbook[[#This Row],[UDC]],TableGCGLOBL[],7,FALSE),"")</f>
        <v/>
      </c>
      <c r="AF85" s="213" t="str">
        <f>IFERROR(VLOOKUP(TableHandbook[[#This Row],[UDC]],TableMCINTREL[],7,FALSE),"")</f>
        <v/>
      </c>
      <c r="AG85" s="211" t="str">
        <f>IFERROR(VLOOKUP(TableHandbook[[#This Row],[UDC]],TableMCINTSEC[],7,FALSE),"")</f>
        <v/>
      </c>
      <c r="AH85" s="211" t="str">
        <f>IFERROR(VLOOKUP(TableHandbook[[#This Row],[UDC]],TableGDINTSEC[],7,FALSE),"")</f>
        <v/>
      </c>
      <c r="AI85" s="211" t="str">
        <f>IFERROR(VLOOKUP(TableHandbook[[#This Row],[UDC]],TableGCINTSEC[],7,FALSE),"")</f>
        <v/>
      </c>
      <c r="AJ85" s="211" t="str">
        <f>IFERROR(VLOOKUP(TableHandbook[[#This Row],[UDC]],TableGCINTELL[],7,FALSE),"")</f>
        <v/>
      </c>
      <c r="AK85" s="211" t="str">
        <f>IFERROR(VLOOKUP(TableHandbook[[#This Row],[UDC]],TableGCIPCSEC[],7,FALSE),"")</f>
        <v/>
      </c>
    </row>
    <row r="86" spans="1:37" x14ac:dyDescent="0.3">
      <c r="A86" s="2" t="s">
        <v>205</v>
      </c>
      <c r="B86" s="3">
        <v>1</v>
      </c>
      <c r="C86" s="3"/>
      <c r="D86" s="209" t="s">
        <v>500</v>
      </c>
      <c r="E86" s="3">
        <v>25</v>
      </c>
      <c r="F86" s="149" t="s">
        <v>108</v>
      </c>
      <c r="G86" s="96" t="str">
        <f>IFERROR(IF(VLOOKUP(TableHandbook[[#This Row],[UDC]],TableAvailabilities[],2,FALSE)&gt;0,"Y",""),"")</f>
        <v>Y</v>
      </c>
      <c r="H86" s="96" t="str">
        <f>IFERROR(IF(VLOOKUP(TableHandbook[[#This Row],[UDC]],TableAvailabilities[],3,FALSE)&gt;0,"Y",""),"")</f>
        <v>Y</v>
      </c>
      <c r="I86" s="96" t="str">
        <f>IFERROR(IF(VLOOKUP(TableHandbook[[#This Row],[UDC]],TableAvailabilities[],4,FALSE)&gt;0,"Y",""),"")</f>
        <v>Y</v>
      </c>
      <c r="J86" s="96" t="str">
        <f>IFERROR(IF(VLOOKUP(TableHandbook[[#This Row],[UDC]],TableAvailabilities[],5,FALSE)&gt;0,"Y",""),"")</f>
        <v>Y</v>
      </c>
      <c r="K86" s="209"/>
      <c r="L86" s="213" t="str">
        <f>IFERROR(VLOOKUP(TableHandbook[[#This Row],[UDC]],TableMCARTS[],7,FALSE),"")</f>
        <v/>
      </c>
      <c r="M86" s="211" t="str">
        <f>IFERROR(VLOOKUP(TableHandbook[[#This Row],[UDC]],TableMJRPCWRIT[],7,FALSE),"")</f>
        <v/>
      </c>
      <c r="N86" s="211" t="str">
        <f>IFERROR(VLOOKUP(TableHandbook[[#This Row],[UDC]],TableMJRPDGCMS[],7,FALSE),"")</f>
        <v/>
      </c>
      <c r="O86" s="211" t="str">
        <f>IFERROR(VLOOKUP(TableHandbook[[#This Row],[UDC]],TableMJRPFINAR[],7,FALSE),"")</f>
        <v>Option</v>
      </c>
      <c r="P86" s="211" t="str">
        <f>IFERROR(VLOOKUP(TableHandbook[[#This Row],[UDC]],TableMJRPPWRIT[],7,FALSE),"")</f>
        <v>Option</v>
      </c>
      <c r="Q86" s="211" t="str">
        <f>IFERROR(VLOOKUP(TableHandbook[[#This Row],[UDC]],TableMJRPSCRAR[],7,FALSE),"")</f>
        <v>Option</v>
      </c>
      <c r="R86" s="213" t="str">
        <f>IFERROR(VLOOKUP(TableHandbook[[#This Row],[UDC]],TableMCMMJRG[],7,FALSE),"")</f>
        <v/>
      </c>
      <c r="S86" s="211" t="str">
        <f>IFERROR(VLOOKUP(TableHandbook[[#This Row],[UDC]],TableMCMMJRN[],7,FALSE),"")</f>
        <v/>
      </c>
      <c r="T86" s="211" t="str">
        <f>IFERROR(VLOOKUP(TableHandbook[[#This Row],[UDC]],TableGDMMJRN[],7,FALSE),"")</f>
        <v/>
      </c>
      <c r="U86" s="211" t="str">
        <f>IFERROR(VLOOKUP(TableHandbook[[#This Row],[UDC]],TableGCMMJRN[],7,FALSE),"")</f>
        <v/>
      </c>
      <c r="V86" s="213" t="str">
        <f>IFERROR(VLOOKUP(TableHandbook[[#This Row],[UDC]],TableMCHRIGLO[],7,FALSE),"")</f>
        <v/>
      </c>
      <c r="W86" s="211" t="str">
        <f>IFERROR(VLOOKUP(TableHandbook[[#This Row],[UDC]],TableMCHRIGHT[],7,FALSE),"")</f>
        <v/>
      </c>
      <c r="X86" s="211" t="str">
        <f>IFERROR(VLOOKUP(TableHandbook[[#This Row],[UDC]],TableGDHRIGHT[],7,FALSE),"")</f>
        <v/>
      </c>
      <c r="Y86" s="211" t="str">
        <f>IFERROR(VLOOKUP(TableHandbook[[#This Row],[UDC]],TableGCHRIGHT[],7,FALSE),"")</f>
        <v/>
      </c>
      <c r="Z86" s="213" t="str">
        <f>IFERROR(VLOOKUP(TableHandbook[[#This Row],[UDC]],TableMCGLOBL2[],7,FALSE),"")</f>
        <v/>
      </c>
      <c r="AA86" s="211" t="str">
        <f>IFERROR(VLOOKUP(TableHandbook[[#This Row],[UDC]],TableMCGLOBL[],7,FALSE),"")</f>
        <v/>
      </c>
      <c r="AB86" s="211" t="str">
        <f>IFERROR(VLOOKUP(TableHandbook[[#This Row],[UDC]],TableSTRPGLOBL[],7,FALSE),"")</f>
        <v/>
      </c>
      <c r="AC86" s="211" t="str">
        <f>IFERROR(VLOOKUP(TableHandbook[[#This Row],[UDC]],TableSTRPHRIGT[],7,FALSE),"")</f>
        <v/>
      </c>
      <c r="AD86" s="211" t="str">
        <f>IFERROR(VLOOKUP(TableHandbook[[#This Row],[UDC]],TableSTRPINTRN[],7,FALSE),"")</f>
        <v/>
      </c>
      <c r="AE86" s="211" t="str">
        <f>IFERROR(VLOOKUP(TableHandbook[[#This Row],[UDC]],TableGCGLOBL[],7,FALSE),"")</f>
        <v/>
      </c>
      <c r="AF86" s="213" t="str">
        <f>IFERROR(VLOOKUP(TableHandbook[[#This Row],[UDC]],TableMCINTREL[],7,FALSE),"")</f>
        <v/>
      </c>
      <c r="AG86" s="211" t="str">
        <f>IFERROR(VLOOKUP(TableHandbook[[#This Row],[UDC]],TableMCINTSEC[],7,FALSE),"")</f>
        <v/>
      </c>
      <c r="AH86" s="211" t="str">
        <f>IFERROR(VLOOKUP(TableHandbook[[#This Row],[UDC]],TableGDINTSEC[],7,FALSE),"")</f>
        <v/>
      </c>
      <c r="AI86" s="211" t="str">
        <f>IFERROR(VLOOKUP(TableHandbook[[#This Row],[UDC]],TableGCINTSEC[],7,FALSE),"")</f>
        <v/>
      </c>
      <c r="AJ86" s="211" t="str">
        <f>IFERROR(VLOOKUP(TableHandbook[[#This Row],[UDC]],TableGCINTELL[],7,FALSE),"")</f>
        <v/>
      </c>
      <c r="AK86" s="211" t="str">
        <f>IFERROR(VLOOKUP(TableHandbook[[#This Row],[UDC]],TableGCIPCSEC[],7,FALSE),"")</f>
        <v/>
      </c>
    </row>
    <row r="87" spans="1:37" x14ac:dyDescent="0.3">
      <c r="A87" s="231" t="s">
        <v>305</v>
      </c>
      <c r="B87" s="3">
        <v>4</v>
      </c>
      <c r="C87" s="3"/>
      <c r="D87" s="209" t="s">
        <v>501</v>
      </c>
      <c r="E87" s="3">
        <v>25</v>
      </c>
      <c r="F87" s="245" t="s">
        <v>108</v>
      </c>
      <c r="G87" s="96" t="str">
        <f>IFERROR(IF(VLOOKUP(TableHandbook[[#This Row],[UDC]],TableAvailabilities[],2,FALSE)&gt;0,"Y",""),"")</f>
        <v>Y</v>
      </c>
      <c r="H87" s="96" t="str">
        <f>IFERROR(IF(VLOOKUP(TableHandbook[[#This Row],[UDC]],TableAvailabilities[],3,FALSE)&gt;0,"Y",""),"")</f>
        <v/>
      </c>
      <c r="I87" s="96" t="str">
        <f>IFERROR(IF(VLOOKUP(TableHandbook[[#This Row],[UDC]],TableAvailabilities[],4,FALSE)&gt;0,"Y",""),"")</f>
        <v/>
      </c>
      <c r="J87" s="96" t="str">
        <f>IFERROR(IF(VLOOKUP(TableHandbook[[#This Row],[UDC]],TableAvailabilities[],5,FALSE)&gt;0,"Y",""),"")</f>
        <v/>
      </c>
      <c r="K87" s="209" t="s">
        <v>433</v>
      </c>
      <c r="L87" s="213" t="str">
        <f>IFERROR(VLOOKUP(TableHandbook[[#This Row],[UDC]],TableMCARTS[],7,FALSE),"")</f>
        <v/>
      </c>
      <c r="M87" s="211" t="str">
        <f>IFERROR(VLOOKUP(TableHandbook[[#This Row],[UDC]],TableMJRPCWRIT[],7,FALSE),"")</f>
        <v/>
      </c>
      <c r="N87" s="211" t="str">
        <f>IFERROR(VLOOKUP(TableHandbook[[#This Row],[UDC]],TableMJRPDGCMS[],7,FALSE),"")</f>
        <v/>
      </c>
      <c r="O87" s="211" t="str">
        <f>IFERROR(VLOOKUP(TableHandbook[[#This Row],[UDC]],TableMJRPFINAR[],7,FALSE),"")</f>
        <v/>
      </c>
      <c r="P87" s="211" t="str">
        <f>IFERROR(VLOOKUP(TableHandbook[[#This Row],[UDC]],TableMJRPPWRIT[],7,FALSE),"")</f>
        <v/>
      </c>
      <c r="Q87" s="211" t="str">
        <f>IFERROR(VLOOKUP(TableHandbook[[#This Row],[UDC]],TableMJRPSCRAR[],7,FALSE),"")</f>
        <v/>
      </c>
      <c r="R87" s="213" t="str">
        <f>IFERROR(VLOOKUP(TableHandbook[[#This Row],[UDC]],TableMCMMJRG[],7,FALSE),"")</f>
        <v>Core</v>
      </c>
      <c r="S87" s="211" t="str">
        <f>IFERROR(VLOOKUP(TableHandbook[[#This Row],[UDC]],TableMCMMJRN[],7,FALSE),"")</f>
        <v>Core</v>
      </c>
      <c r="T87" s="211" t="str">
        <f>IFERROR(VLOOKUP(TableHandbook[[#This Row],[UDC]],TableGDMMJRN[],7,FALSE),"")</f>
        <v>Core</v>
      </c>
      <c r="U87" s="211" t="str">
        <f>IFERROR(VLOOKUP(TableHandbook[[#This Row],[UDC]],TableGCMMJRN[],7,FALSE),"")</f>
        <v/>
      </c>
      <c r="V87" s="213" t="str">
        <f>IFERROR(VLOOKUP(TableHandbook[[#This Row],[UDC]],TableMCHRIGLO[],7,FALSE),"")</f>
        <v/>
      </c>
      <c r="W87" s="211" t="str">
        <f>IFERROR(VLOOKUP(TableHandbook[[#This Row],[UDC]],TableMCHRIGHT[],7,FALSE),"")</f>
        <v/>
      </c>
      <c r="X87" s="211" t="str">
        <f>IFERROR(VLOOKUP(TableHandbook[[#This Row],[UDC]],TableGDHRIGHT[],7,FALSE),"")</f>
        <v/>
      </c>
      <c r="Y87" s="211" t="str">
        <f>IFERROR(VLOOKUP(TableHandbook[[#This Row],[UDC]],TableGCHRIGHT[],7,FALSE),"")</f>
        <v/>
      </c>
      <c r="Z87" s="213" t="str">
        <f>IFERROR(VLOOKUP(TableHandbook[[#This Row],[UDC]],TableMCGLOBL2[],7,FALSE),"")</f>
        <v/>
      </c>
      <c r="AA87" s="211" t="str">
        <f>IFERROR(VLOOKUP(TableHandbook[[#This Row],[UDC]],TableMCGLOBL[],7,FALSE),"")</f>
        <v/>
      </c>
      <c r="AB87" s="211" t="str">
        <f>IFERROR(VLOOKUP(TableHandbook[[#This Row],[UDC]],TableSTRPGLOBL[],7,FALSE),"")</f>
        <v/>
      </c>
      <c r="AC87" s="211" t="str">
        <f>IFERROR(VLOOKUP(TableHandbook[[#This Row],[UDC]],TableSTRPHRIGT[],7,FALSE),"")</f>
        <v/>
      </c>
      <c r="AD87" s="211" t="str">
        <f>IFERROR(VLOOKUP(TableHandbook[[#This Row],[UDC]],TableSTRPINTRN[],7,FALSE),"")</f>
        <v/>
      </c>
      <c r="AE87" s="211" t="str">
        <f>IFERROR(VLOOKUP(TableHandbook[[#This Row],[UDC]],TableGCGLOBL[],7,FALSE),"")</f>
        <v/>
      </c>
      <c r="AF87" s="213" t="str">
        <f>IFERROR(VLOOKUP(TableHandbook[[#This Row],[UDC]],TableMCINTREL[],7,FALSE),"")</f>
        <v/>
      </c>
      <c r="AG87" s="211" t="str">
        <f>IFERROR(VLOOKUP(TableHandbook[[#This Row],[UDC]],TableMCINTSEC[],7,FALSE),"")</f>
        <v/>
      </c>
      <c r="AH87" s="211" t="str">
        <f>IFERROR(VLOOKUP(TableHandbook[[#This Row],[UDC]],TableGDINTSEC[],7,FALSE),"")</f>
        <v/>
      </c>
      <c r="AI87" s="211" t="str">
        <f>IFERROR(VLOOKUP(TableHandbook[[#This Row],[UDC]],TableGCINTSEC[],7,FALSE),"")</f>
        <v/>
      </c>
      <c r="AJ87" s="211" t="str">
        <f>IFERROR(VLOOKUP(TableHandbook[[#This Row],[UDC]],TableGCINTELL[],7,FALSE),"")</f>
        <v/>
      </c>
      <c r="AK87" s="211" t="str">
        <f>IFERROR(VLOOKUP(TableHandbook[[#This Row],[UDC]],TableGCIPCSEC[],7,FALSE),"")</f>
        <v/>
      </c>
    </row>
    <row r="88" spans="1:37" x14ac:dyDescent="0.3">
      <c r="A88" s="2" t="s">
        <v>502</v>
      </c>
      <c r="B88" s="3">
        <v>3</v>
      </c>
      <c r="C88" s="3"/>
      <c r="D88" s="209" t="s">
        <v>503</v>
      </c>
      <c r="E88" s="3">
        <v>25</v>
      </c>
      <c r="F88" s="149" t="s">
        <v>108</v>
      </c>
      <c r="G88" s="96" t="str">
        <f>IFERROR(IF(VLOOKUP(TableHandbook[[#This Row],[UDC]],TableAvailabilities[],2,FALSE)&gt;0,"Y",""),"")</f>
        <v/>
      </c>
      <c r="H88" s="96" t="str">
        <f>IFERROR(IF(VLOOKUP(TableHandbook[[#This Row],[UDC]],TableAvailabilities[],3,FALSE)&gt;0,"Y",""),"")</f>
        <v/>
      </c>
      <c r="I88" s="96" t="str">
        <f>IFERROR(IF(VLOOKUP(TableHandbook[[#This Row],[UDC]],TableAvailabilities[],4,FALSE)&gt;0,"Y",""),"")</f>
        <v/>
      </c>
      <c r="J88" s="96" t="str">
        <f>IFERROR(IF(VLOOKUP(TableHandbook[[#This Row],[UDC]],TableAvailabilities[],5,FALSE)&gt;0,"Y",""),"")</f>
        <v/>
      </c>
      <c r="K88" s="209" t="s">
        <v>436</v>
      </c>
      <c r="L88" s="213" t="str">
        <f>IFERROR(VLOOKUP(TableHandbook[[#This Row],[UDC]],TableMCARTS[],7,FALSE),"")</f>
        <v/>
      </c>
      <c r="M88" s="211" t="str">
        <f>IFERROR(VLOOKUP(TableHandbook[[#This Row],[UDC]],TableMJRPCWRIT[],7,FALSE),"")</f>
        <v/>
      </c>
      <c r="N88" s="211" t="str">
        <f>IFERROR(VLOOKUP(TableHandbook[[#This Row],[UDC]],TableMJRPDGCMS[],7,FALSE),"")</f>
        <v/>
      </c>
      <c r="O88" s="211" t="str">
        <f>IFERROR(VLOOKUP(TableHandbook[[#This Row],[UDC]],TableMJRPFINAR[],7,FALSE),"")</f>
        <v/>
      </c>
      <c r="P88" s="211" t="str">
        <f>IFERROR(VLOOKUP(TableHandbook[[#This Row],[UDC]],TableMJRPPWRIT[],7,FALSE),"")</f>
        <v/>
      </c>
      <c r="Q88" s="211" t="str">
        <f>IFERROR(VLOOKUP(TableHandbook[[#This Row],[UDC]],TableMJRPSCRAR[],7,FALSE),"")</f>
        <v/>
      </c>
      <c r="R88" s="213" t="str">
        <f>IFERROR(VLOOKUP(TableHandbook[[#This Row],[UDC]],TableMCMMJRG[],7,FALSE),"")</f>
        <v/>
      </c>
      <c r="S88" s="211" t="str">
        <f>IFERROR(VLOOKUP(TableHandbook[[#This Row],[UDC]],TableMCMMJRN[],7,FALSE),"")</f>
        <v/>
      </c>
      <c r="T88" s="211" t="str">
        <f>IFERROR(VLOOKUP(TableHandbook[[#This Row],[UDC]],TableGDMMJRN[],7,FALSE),"")</f>
        <v/>
      </c>
      <c r="U88" s="211" t="str">
        <f>IFERROR(VLOOKUP(TableHandbook[[#This Row],[UDC]],TableGCMMJRN[],7,FALSE),"")</f>
        <v/>
      </c>
      <c r="V88" s="213" t="str">
        <f>IFERROR(VLOOKUP(TableHandbook[[#This Row],[UDC]],TableMCHRIGLO[],7,FALSE),"")</f>
        <v/>
      </c>
      <c r="W88" s="211" t="str">
        <f>IFERROR(VLOOKUP(TableHandbook[[#This Row],[UDC]],TableMCHRIGHT[],7,FALSE),"")</f>
        <v/>
      </c>
      <c r="X88" s="211" t="str">
        <f>IFERROR(VLOOKUP(TableHandbook[[#This Row],[UDC]],TableGDHRIGHT[],7,FALSE),"")</f>
        <v/>
      </c>
      <c r="Y88" s="211" t="str">
        <f>IFERROR(VLOOKUP(TableHandbook[[#This Row],[UDC]],TableGCHRIGHT[],7,FALSE),"")</f>
        <v/>
      </c>
      <c r="Z88" s="213" t="str">
        <f>IFERROR(VLOOKUP(TableHandbook[[#This Row],[UDC]],TableMCGLOBL2[],7,FALSE),"")</f>
        <v/>
      </c>
      <c r="AA88" s="211" t="str">
        <f>IFERROR(VLOOKUP(TableHandbook[[#This Row],[UDC]],TableMCGLOBL[],7,FALSE),"")</f>
        <v/>
      </c>
      <c r="AB88" s="211" t="str">
        <f>IFERROR(VLOOKUP(TableHandbook[[#This Row],[UDC]],TableSTRPGLOBL[],7,FALSE),"")</f>
        <v/>
      </c>
      <c r="AC88" s="211" t="str">
        <f>IFERROR(VLOOKUP(TableHandbook[[#This Row],[UDC]],TableSTRPHRIGT[],7,FALSE),"")</f>
        <v/>
      </c>
      <c r="AD88" s="211" t="str">
        <f>IFERROR(VLOOKUP(TableHandbook[[#This Row],[UDC]],TableSTRPINTRN[],7,FALSE),"")</f>
        <v/>
      </c>
      <c r="AE88" s="211" t="str">
        <f>IFERROR(VLOOKUP(TableHandbook[[#This Row],[UDC]],TableGCGLOBL[],7,FALSE),"")</f>
        <v/>
      </c>
      <c r="AF88" s="213" t="str">
        <f>IFERROR(VLOOKUP(TableHandbook[[#This Row],[UDC]],TableMCINTREL[],7,FALSE),"")</f>
        <v/>
      </c>
      <c r="AG88" s="211" t="str">
        <f>IFERROR(VLOOKUP(TableHandbook[[#This Row],[UDC]],TableMCINTSEC[],7,FALSE),"")</f>
        <v/>
      </c>
      <c r="AH88" s="211" t="str">
        <f>IFERROR(VLOOKUP(TableHandbook[[#This Row],[UDC]],TableGDINTSEC[],7,FALSE),"")</f>
        <v/>
      </c>
      <c r="AI88" s="211" t="str">
        <f>IFERROR(VLOOKUP(TableHandbook[[#This Row],[UDC]],TableGCINTSEC[],7,FALSE),"")</f>
        <v/>
      </c>
      <c r="AJ88" s="211" t="str">
        <f>IFERROR(VLOOKUP(TableHandbook[[#This Row],[UDC]],TableGCINTELL[],7,FALSE),"")</f>
        <v/>
      </c>
      <c r="AK88" s="211" t="str">
        <f>IFERROR(VLOOKUP(TableHandbook[[#This Row],[UDC]],TableGCIPCSEC[],7,FALSE),"")</f>
        <v/>
      </c>
    </row>
    <row r="89" spans="1:37" x14ac:dyDescent="0.3">
      <c r="A89" s="231" t="s">
        <v>302</v>
      </c>
      <c r="B89" s="3">
        <v>4</v>
      </c>
      <c r="C89" s="3"/>
      <c r="D89" s="209" t="s">
        <v>504</v>
      </c>
      <c r="E89" s="3">
        <v>25</v>
      </c>
      <c r="F89" s="245" t="s">
        <v>108</v>
      </c>
      <c r="G89" s="96" t="str">
        <f>IFERROR(IF(VLOOKUP(TableHandbook[[#This Row],[UDC]],TableAvailabilities[],2,FALSE)&gt;0,"Y",""),"")</f>
        <v>Y</v>
      </c>
      <c r="H89" s="96" t="str">
        <f>IFERROR(IF(VLOOKUP(TableHandbook[[#This Row],[UDC]],TableAvailabilities[],3,FALSE)&gt;0,"Y",""),"")</f>
        <v/>
      </c>
      <c r="I89" s="96" t="str">
        <f>IFERROR(IF(VLOOKUP(TableHandbook[[#This Row],[UDC]],TableAvailabilities[],4,FALSE)&gt;0,"Y",""),"")</f>
        <v/>
      </c>
      <c r="J89" s="96" t="str">
        <f>IFERROR(IF(VLOOKUP(TableHandbook[[#This Row],[UDC]],TableAvailabilities[],5,FALSE)&gt;0,"Y",""),"")</f>
        <v/>
      </c>
      <c r="K89" s="209" t="s">
        <v>433</v>
      </c>
      <c r="L89" s="213" t="str">
        <f>IFERROR(VLOOKUP(TableHandbook[[#This Row],[UDC]],TableMCARTS[],7,FALSE),"")</f>
        <v/>
      </c>
      <c r="M89" s="211" t="str">
        <f>IFERROR(VLOOKUP(TableHandbook[[#This Row],[UDC]],TableMJRPCWRIT[],7,FALSE),"")</f>
        <v/>
      </c>
      <c r="N89" s="211" t="str">
        <f>IFERROR(VLOOKUP(TableHandbook[[#This Row],[UDC]],TableMJRPDGCMS[],7,FALSE),"")</f>
        <v/>
      </c>
      <c r="O89" s="211" t="str">
        <f>IFERROR(VLOOKUP(TableHandbook[[#This Row],[UDC]],TableMJRPFINAR[],7,FALSE),"")</f>
        <v/>
      </c>
      <c r="P89" s="211" t="str">
        <f>IFERROR(VLOOKUP(TableHandbook[[#This Row],[UDC]],TableMJRPPWRIT[],7,FALSE),"")</f>
        <v/>
      </c>
      <c r="Q89" s="211" t="str">
        <f>IFERROR(VLOOKUP(TableHandbook[[#This Row],[UDC]],TableMJRPSCRAR[],7,FALSE),"")</f>
        <v/>
      </c>
      <c r="R89" s="213" t="str">
        <f>IFERROR(VLOOKUP(TableHandbook[[#This Row],[UDC]],TableMCMMJRG[],7,FALSE),"")</f>
        <v>Core</v>
      </c>
      <c r="S89" s="211" t="str">
        <f>IFERROR(VLOOKUP(TableHandbook[[#This Row],[UDC]],TableMCMMJRN[],7,FALSE),"")</f>
        <v>Core</v>
      </c>
      <c r="T89" s="211" t="str">
        <f>IFERROR(VLOOKUP(TableHandbook[[#This Row],[UDC]],TableGDMMJRN[],7,FALSE),"")</f>
        <v>Core</v>
      </c>
      <c r="U89" s="211" t="str">
        <f>IFERROR(VLOOKUP(TableHandbook[[#This Row],[UDC]],TableGCMMJRN[],7,FALSE),"")</f>
        <v>Core</v>
      </c>
      <c r="V89" s="213" t="str">
        <f>IFERROR(VLOOKUP(TableHandbook[[#This Row],[UDC]],TableMCHRIGLO[],7,FALSE),"")</f>
        <v/>
      </c>
      <c r="W89" s="211" t="str">
        <f>IFERROR(VLOOKUP(TableHandbook[[#This Row],[UDC]],TableMCHRIGHT[],7,FALSE),"")</f>
        <v/>
      </c>
      <c r="X89" s="211" t="str">
        <f>IFERROR(VLOOKUP(TableHandbook[[#This Row],[UDC]],TableGDHRIGHT[],7,FALSE),"")</f>
        <v/>
      </c>
      <c r="Y89" s="211" t="str">
        <f>IFERROR(VLOOKUP(TableHandbook[[#This Row],[UDC]],TableGCHRIGHT[],7,FALSE),"")</f>
        <v/>
      </c>
      <c r="Z89" s="213" t="str">
        <f>IFERROR(VLOOKUP(TableHandbook[[#This Row],[UDC]],TableMCGLOBL2[],7,FALSE),"")</f>
        <v/>
      </c>
      <c r="AA89" s="211" t="str">
        <f>IFERROR(VLOOKUP(TableHandbook[[#This Row],[UDC]],TableMCGLOBL[],7,FALSE),"")</f>
        <v/>
      </c>
      <c r="AB89" s="211" t="str">
        <f>IFERROR(VLOOKUP(TableHandbook[[#This Row],[UDC]],TableSTRPGLOBL[],7,FALSE),"")</f>
        <v/>
      </c>
      <c r="AC89" s="211" t="str">
        <f>IFERROR(VLOOKUP(TableHandbook[[#This Row],[UDC]],TableSTRPHRIGT[],7,FALSE),"")</f>
        <v/>
      </c>
      <c r="AD89" s="211" t="str">
        <f>IFERROR(VLOOKUP(TableHandbook[[#This Row],[UDC]],TableSTRPINTRN[],7,FALSE),"")</f>
        <v/>
      </c>
      <c r="AE89" s="211" t="str">
        <f>IFERROR(VLOOKUP(TableHandbook[[#This Row],[UDC]],TableGCGLOBL[],7,FALSE),"")</f>
        <v/>
      </c>
      <c r="AF89" s="213" t="str">
        <f>IFERROR(VLOOKUP(TableHandbook[[#This Row],[UDC]],TableMCINTREL[],7,FALSE),"")</f>
        <v/>
      </c>
      <c r="AG89" s="211" t="str">
        <f>IFERROR(VLOOKUP(TableHandbook[[#This Row],[UDC]],TableMCINTSEC[],7,FALSE),"")</f>
        <v/>
      </c>
      <c r="AH89" s="211" t="str">
        <f>IFERROR(VLOOKUP(TableHandbook[[#This Row],[UDC]],TableGDINTSEC[],7,FALSE),"")</f>
        <v/>
      </c>
      <c r="AI89" s="211" t="str">
        <f>IFERROR(VLOOKUP(TableHandbook[[#This Row],[UDC]],TableGCINTSEC[],7,FALSE),"")</f>
        <v/>
      </c>
      <c r="AJ89" s="211" t="str">
        <f>IFERROR(VLOOKUP(TableHandbook[[#This Row],[UDC]],TableGCINTELL[],7,FALSE),"")</f>
        <v/>
      </c>
      <c r="AK89" s="211" t="str">
        <f>IFERROR(VLOOKUP(TableHandbook[[#This Row],[UDC]],TableGCIPCSEC[],7,FALSE),"")</f>
        <v/>
      </c>
    </row>
    <row r="90" spans="1:37" x14ac:dyDescent="0.3">
      <c r="A90" s="2" t="s">
        <v>505</v>
      </c>
      <c r="B90" s="3">
        <v>3</v>
      </c>
      <c r="C90" s="3"/>
      <c r="D90" s="209" t="s">
        <v>506</v>
      </c>
      <c r="E90" s="3">
        <v>25</v>
      </c>
      <c r="F90" s="149" t="s">
        <v>108</v>
      </c>
      <c r="G90" s="96" t="str">
        <f>IFERROR(IF(VLOOKUP(TableHandbook[[#This Row],[UDC]],TableAvailabilities[],2,FALSE)&gt;0,"Y",""),"")</f>
        <v/>
      </c>
      <c r="H90" s="96" t="str">
        <f>IFERROR(IF(VLOOKUP(TableHandbook[[#This Row],[UDC]],TableAvailabilities[],3,FALSE)&gt;0,"Y",""),"")</f>
        <v/>
      </c>
      <c r="I90" s="96" t="str">
        <f>IFERROR(IF(VLOOKUP(TableHandbook[[#This Row],[UDC]],TableAvailabilities[],4,FALSE)&gt;0,"Y",""),"")</f>
        <v/>
      </c>
      <c r="J90" s="96" t="str">
        <f>IFERROR(IF(VLOOKUP(TableHandbook[[#This Row],[UDC]],TableAvailabilities[],5,FALSE)&gt;0,"Y",""),"")</f>
        <v/>
      </c>
      <c r="K90" s="209" t="s">
        <v>436</v>
      </c>
      <c r="L90" s="213" t="str">
        <f>IFERROR(VLOOKUP(TableHandbook[[#This Row],[UDC]],TableMCARTS[],7,FALSE),"")</f>
        <v/>
      </c>
      <c r="M90" s="211" t="str">
        <f>IFERROR(VLOOKUP(TableHandbook[[#This Row],[UDC]],TableMJRPCWRIT[],7,FALSE),"")</f>
        <v/>
      </c>
      <c r="N90" s="211" t="str">
        <f>IFERROR(VLOOKUP(TableHandbook[[#This Row],[UDC]],TableMJRPDGCMS[],7,FALSE),"")</f>
        <v/>
      </c>
      <c r="O90" s="211" t="str">
        <f>IFERROR(VLOOKUP(TableHandbook[[#This Row],[UDC]],TableMJRPFINAR[],7,FALSE),"")</f>
        <v/>
      </c>
      <c r="P90" s="211" t="str">
        <f>IFERROR(VLOOKUP(TableHandbook[[#This Row],[UDC]],TableMJRPPWRIT[],7,FALSE),"")</f>
        <v/>
      </c>
      <c r="Q90" s="211" t="str">
        <f>IFERROR(VLOOKUP(TableHandbook[[#This Row],[UDC]],TableMJRPSCRAR[],7,FALSE),"")</f>
        <v/>
      </c>
      <c r="R90" s="213" t="str">
        <f>IFERROR(VLOOKUP(TableHandbook[[#This Row],[UDC]],TableMCMMJRG[],7,FALSE),"")</f>
        <v/>
      </c>
      <c r="S90" s="211" t="str">
        <f>IFERROR(VLOOKUP(TableHandbook[[#This Row],[UDC]],TableMCMMJRN[],7,FALSE),"")</f>
        <v/>
      </c>
      <c r="T90" s="211" t="str">
        <f>IFERROR(VLOOKUP(TableHandbook[[#This Row],[UDC]],TableGDMMJRN[],7,FALSE),"")</f>
        <v/>
      </c>
      <c r="U90" s="211" t="str">
        <f>IFERROR(VLOOKUP(TableHandbook[[#This Row],[UDC]],TableGCMMJRN[],7,FALSE),"")</f>
        <v/>
      </c>
      <c r="V90" s="213" t="str">
        <f>IFERROR(VLOOKUP(TableHandbook[[#This Row],[UDC]],TableMCHRIGLO[],7,FALSE),"")</f>
        <v/>
      </c>
      <c r="W90" s="211" t="str">
        <f>IFERROR(VLOOKUP(TableHandbook[[#This Row],[UDC]],TableMCHRIGHT[],7,FALSE),"")</f>
        <v/>
      </c>
      <c r="X90" s="211" t="str">
        <f>IFERROR(VLOOKUP(TableHandbook[[#This Row],[UDC]],TableGDHRIGHT[],7,FALSE),"")</f>
        <v/>
      </c>
      <c r="Y90" s="211" t="str">
        <f>IFERROR(VLOOKUP(TableHandbook[[#This Row],[UDC]],TableGCHRIGHT[],7,FALSE),"")</f>
        <v/>
      </c>
      <c r="Z90" s="213" t="str">
        <f>IFERROR(VLOOKUP(TableHandbook[[#This Row],[UDC]],TableMCGLOBL2[],7,FALSE),"")</f>
        <v/>
      </c>
      <c r="AA90" s="211" t="str">
        <f>IFERROR(VLOOKUP(TableHandbook[[#This Row],[UDC]],TableMCGLOBL[],7,FALSE),"")</f>
        <v/>
      </c>
      <c r="AB90" s="211" t="str">
        <f>IFERROR(VLOOKUP(TableHandbook[[#This Row],[UDC]],TableSTRPGLOBL[],7,FALSE),"")</f>
        <v/>
      </c>
      <c r="AC90" s="211" t="str">
        <f>IFERROR(VLOOKUP(TableHandbook[[#This Row],[UDC]],TableSTRPHRIGT[],7,FALSE),"")</f>
        <v/>
      </c>
      <c r="AD90" s="211" t="str">
        <f>IFERROR(VLOOKUP(TableHandbook[[#This Row],[UDC]],TableSTRPINTRN[],7,FALSE),"")</f>
        <v/>
      </c>
      <c r="AE90" s="211" t="str">
        <f>IFERROR(VLOOKUP(TableHandbook[[#This Row],[UDC]],TableGCGLOBL[],7,FALSE),"")</f>
        <v/>
      </c>
      <c r="AF90" s="213" t="str">
        <f>IFERROR(VLOOKUP(TableHandbook[[#This Row],[UDC]],TableMCINTREL[],7,FALSE),"")</f>
        <v/>
      </c>
      <c r="AG90" s="211" t="str">
        <f>IFERROR(VLOOKUP(TableHandbook[[#This Row],[UDC]],TableMCINTSEC[],7,FALSE),"")</f>
        <v/>
      </c>
      <c r="AH90" s="211" t="str">
        <f>IFERROR(VLOOKUP(TableHandbook[[#This Row],[UDC]],TableGDINTSEC[],7,FALSE),"")</f>
        <v/>
      </c>
      <c r="AI90" s="211" t="str">
        <f>IFERROR(VLOOKUP(TableHandbook[[#This Row],[UDC]],TableGCINTSEC[],7,FALSE),"")</f>
        <v/>
      </c>
      <c r="AJ90" s="211" t="str">
        <f>IFERROR(VLOOKUP(TableHandbook[[#This Row],[UDC]],TableGCINTELL[],7,FALSE),"")</f>
        <v/>
      </c>
      <c r="AK90" s="211" t="str">
        <f>IFERROR(VLOOKUP(TableHandbook[[#This Row],[UDC]],TableGCIPCSEC[],7,FALSE),"")</f>
        <v/>
      </c>
    </row>
    <row r="91" spans="1:37" x14ac:dyDescent="0.3">
      <c r="A91" s="231" t="s">
        <v>301</v>
      </c>
      <c r="B91" s="3">
        <v>4</v>
      </c>
      <c r="C91" s="3"/>
      <c r="D91" s="209" t="s">
        <v>507</v>
      </c>
      <c r="E91" s="3">
        <v>25</v>
      </c>
      <c r="F91" s="245" t="s">
        <v>108</v>
      </c>
      <c r="G91" s="96" t="str">
        <f>IFERROR(IF(VLOOKUP(TableHandbook[[#This Row],[UDC]],TableAvailabilities[],2,FALSE)&gt;0,"Y",""),"")</f>
        <v>Y</v>
      </c>
      <c r="H91" s="96" t="str">
        <f>IFERROR(IF(VLOOKUP(TableHandbook[[#This Row],[UDC]],TableAvailabilities[],3,FALSE)&gt;0,"Y",""),"")</f>
        <v/>
      </c>
      <c r="I91" s="96" t="str">
        <f>IFERROR(IF(VLOOKUP(TableHandbook[[#This Row],[UDC]],TableAvailabilities[],4,FALSE)&gt;0,"Y",""),"")</f>
        <v/>
      </c>
      <c r="J91" s="96" t="str">
        <f>IFERROR(IF(VLOOKUP(TableHandbook[[#This Row],[UDC]],TableAvailabilities[],5,FALSE)&gt;0,"Y",""),"")</f>
        <v/>
      </c>
      <c r="K91" s="209" t="s">
        <v>433</v>
      </c>
      <c r="L91" s="213" t="str">
        <f>IFERROR(VLOOKUP(TableHandbook[[#This Row],[UDC]],TableMCARTS[],7,FALSE),"")</f>
        <v/>
      </c>
      <c r="M91" s="211" t="str">
        <f>IFERROR(VLOOKUP(TableHandbook[[#This Row],[UDC]],TableMJRPCWRIT[],7,FALSE),"")</f>
        <v/>
      </c>
      <c r="N91" s="211" t="str">
        <f>IFERROR(VLOOKUP(TableHandbook[[#This Row],[UDC]],TableMJRPDGCMS[],7,FALSE),"")</f>
        <v/>
      </c>
      <c r="O91" s="211" t="str">
        <f>IFERROR(VLOOKUP(TableHandbook[[#This Row],[UDC]],TableMJRPFINAR[],7,FALSE),"")</f>
        <v/>
      </c>
      <c r="P91" s="211" t="str">
        <f>IFERROR(VLOOKUP(TableHandbook[[#This Row],[UDC]],TableMJRPPWRIT[],7,FALSE),"")</f>
        <v/>
      </c>
      <c r="Q91" s="211" t="str">
        <f>IFERROR(VLOOKUP(TableHandbook[[#This Row],[UDC]],TableMJRPSCRAR[],7,FALSE),"")</f>
        <v/>
      </c>
      <c r="R91" s="213" t="str">
        <f>IFERROR(VLOOKUP(TableHandbook[[#This Row],[UDC]],TableMCMMJRG[],7,FALSE),"")</f>
        <v>Core</v>
      </c>
      <c r="S91" s="211" t="str">
        <f>IFERROR(VLOOKUP(TableHandbook[[#This Row],[UDC]],TableMCMMJRN[],7,FALSE),"")</f>
        <v>Core</v>
      </c>
      <c r="T91" s="211" t="str">
        <f>IFERROR(VLOOKUP(TableHandbook[[#This Row],[UDC]],TableGDMMJRN[],7,FALSE),"")</f>
        <v>Core</v>
      </c>
      <c r="U91" s="211" t="str">
        <f>IFERROR(VLOOKUP(TableHandbook[[#This Row],[UDC]],TableGCMMJRN[],7,FALSE),"")</f>
        <v>Core</v>
      </c>
      <c r="V91" s="213" t="str">
        <f>IFERROR(VLOOKUP(TableHandbook[[#This Row],[UDC]],TableMCHRIGLO[],7,FALSE),"")</f>
        <v/>
      </c>
      <c r="W91" s="211" t="str">
        <f>IFERROR(VLOOKUP(TableHandbook[[#This Row],[UDC]],TableMCHRIGHT[],7,FALSE),"")</f>
        <v/>
      </c>
      <c r="X91" s="211" t="str">
        <f>IFERROR(VLOOKUP(TableHandbook[[#This Row],[UDC]],TableGDHRIGHT[],7,FALSE),"")</f>
        <v/>
      </c>
      <c r="Y91" s="211" t="str">
        <f>IFERROR(VLOOKUP(TableHandbook[[#This Row],[UDC]],TableGCHRIGHT[],7,FALSE),"")</f>
        <v/>
      </c>
      <c r="Z91" s="213" t="str">
        <f>IFERROR(VLOOKUP(TableHandbook[[#This Row],[UDC]],TableMCGLOBL2[],7,FALSE),"")</f>
        <v/>
      </c>
      <c r="AA91" s="211" t="str">
        <f>IFERROR(VLOOKUP(TableHandbook[[#This Row],[UDC]],TableMCGLOBL[],7,FALSE),"")</f>
        <v/>
      </c>
      <c r="AB91" s="211" t="str">
        <f>IFERROR(VLOOKUP(TableHandbook[[#This Row],[UDC]],TableSTRPGLOBL[],7,FALSE),"")</f>
        <v/>
      </c>
      <c r="AC91" s="211" t="str">
        <f>IFERROR(VLOOKUP(TableHandbook[[#This Row],[UDC]],TableSTRPHRIGT[],7,FALSE),"")</f>
        <v/>
      </c>
      <c r="AD91" s="211" t="str">
        <f>IFERROR(VLOOKUP(TableHandbook[[#This Row],[UDC]],TableSTRPINTRN[],7,FALSE),"")</f>
        <v/>
      </c>
      <c r="AE91" s="211" t="str">
        <f>IFERROR(VLOOKUP(TableHandbook[[#This Row],[UDC]],TableGCGLOBL[],7,FALSE),"")</f>
        <v/>
      </c>
      <c r="AF91" s="213" t="str">
        <f>IFERROR(VLOOKUP(TableHandbook[[#This Row],[UDC]],TableMCINTREL[],7,FALSE),"")</f>
        <v/>
      </c>
      <c r="AG91" s="211" t="str">
        <f>IFERROR(VLOOKUP(TableHandbook[[#This Row],[UDC]],TableMCINTSEC[],7,FALSE),"")</f>
        <v/>
      </c>
      <c r="AH91" s="211" t="str">
        <f>IFERROR(VLOOKUP(TableHandbook[[#This Row],[UDC]],TableGDINTSEC[],7,FALSE),"")</f>
        <v/>
      </c>
      <c r="AI91" s="211" t="str">
        <f>IFERROR(VLOOKUP(TableHandbook[[#This Row],[UDC]],TableGCINTSEC[],7,FALSE),"")</f>
        <v/>
      </c>
      <c r="AJ91" s="211" t="str">
        <f>IFERROR(VLOOKUP(TableHandbook[[#This Row],[UDC]],TableGCINTELL[],7,FALSE),"")</f>
        <v/>
      </c>
      <c r="AK91" s="211" t="str">
        <f>IFERROR(VLOOKUP(TableHandbook[[#This Row],[UDC]],TableGCIPCSEC[],7,FALSE),"")</f>
        <v/>
      </c>
    </row>
    <row r="92" spans="1:37" x14ac:dyDescent="0.3">
      <c r="A92" s="2" t="s">
        <v>508</v>
      </c>
      <c r="B92" s="3">
        <v>3</v>
      </c>
      <c r="C92" s="3"/>
      <c r="D92" s="209" t="s">
        <v>509</v>
      </c>
      <c r="E92" s="3">
        <v>25</v>
      </c>
      <c r="F92" s="149" t="s">
        <v>108</v>
      </c>
      <c r="G92" s="96" t="str">
        <f>IFERROR(IF(VLOOKUP(TableHandbook[[#This Row],[UDC]],TableAvailabilities[],2,FALSE)&gt;0,"Y",""),"")</f>
        <v/>
      </c>
      <c r="H92" s="96" t="str">
        <f>IFERROR(IF(VLOOKUP(TableHandbook[[#This Row],[UDC]],TableAvailabilities[],3,FALSE)&gt;0,"Y",""),"")</f>
        <v/>
      </c>
      <c r="I92" s="96" t="str">
        <f>IFERROR(IF(VLOOKUP(TableHandbook[[#This Row],[UDC]],TableAvailabilities[],4,FALSE)&gt;0,"Y",""),"")</f>
        <v/>
      </c>
      <c r="J92" s="96" t="str">
        <f>IFERROR(IF(VLOOKUP(TableHandbook[[#This Row],[UDC]],TableAvailabilities[],5,FALSE)&gt;0,"Y",""),"")</f>
        <v/>
      </c>
      <c r="K92" s="209" t="s">
        <v>436</v>
      </c>
      <c r="L92" s="213" t="str">
        <f>IFERROR(VLOOKUP(TableHandbook[[#This Row],[UDC]],TableMCARTS[],7,FALSE),"")</f>
        <v/>
      </c>
      <c r="M92" s="211" t="str">
        <f>IFERROR(VLOOKUP(TableHandbook[[#This Row],[UDC]],TableMJRPCWRIT[],7,FALSE),"")</f>
        <v/>
      </c>
      <c r="N92" s="211" t="str">
        <f>IFERROR(VLOOKUP(TableHandbook[[#This Row],[UDC]],TableMJRPDGCMS[],7,FALSE),"")</f>
        <v/>
      </c>
      <c r="O92" s="211" t="str">
        <f>IFERROR(VLOOKUP(TableHandbook[[#This Row],[UDC]],TableMJRPFINAR[],7,FALSE),"")</f>
        <v/>
      </c>
      <c r="P92" s="211" t="str">
        <f>IFERROR(VLOOKUP(TableHandbook[[#This Row],[UDC]],TableMJRPPWRIT[],7,FALSE),"")</f>
        <v/>
      </c>
      <c r="Q92" s="211" t="str">
        <f>IFERROR(VLOOKUP(TableHandbook[[#This Row],[UDC]],TableMJRPSCRAR[],7,FALSE),"")</f>
        <v/>
      </c>
      <c r="R92" s="213" t="str">
        <f>IFERROR(VLOOKUP(TableHandbook[[#This Row],[UDC]],TableMCMMJRG[],7,FALSE),"")</f>
        <v/>
      </c>
      <c r="S92" s="211" t="str">
        <f>IFERROR(VLOOKUP(TableHandbook[[#This Row],[UDC]],TableMCMMJRN[],7,FALSE),"")</f>
        <v/>
      </c>
      <c r="T92" s="211" t="str">
        <f>IFERROR(VLOOKUP(TableHandbook[[#This Row],[UDC]],TableGDMMJRN[],7,FALSE),"")</f>
        <v/>
      </c>
      <c r="U92" s="211" t="str">
        <f>IFERROR(VLOOKUP(TableHandbook[[#This Row],[UDC]],TableGCMMJRN[],7,FALSE),"")</f>
        <v/>
      </c>
      <c r="V92" s="213" t="str">
        <f>IFERROR(VLOOKUP(TableHandbook[[#This Row],[UDC]],TableMCHRIGLO[],7,FALSE),"")</f>
        <v/>
      </c>
      <c r="W92" s="211" t="str">
        <f>IFERROR(VLOOKUP(TableHandbook[[#This Row],[UDC]],TableMCHRIGHT[],7,FALSE),"")</f>
        <v/>
      </c>
      <c r="X92" s="211" t="str">
        <f>IFERROR(VLOOKUP(TableHandbook[[#This Row],[UDC]],TableGDHRIGHT[],7,FALSE),"")</f>
        <v/>
      </c>
      <c r="Y92" s="211" t="str">
        <f>IFERROR(VLOOKUP(TableHandbook[[#This Row],[UDC]],TableGCHRIGHT[],7,FALSE),"")</f>
        <v/>
      </c>
      <c r="Z92" s="213" t="str">
        <f>IFERROR(VLOOKUP(TableHandbook[[#This Row],[UDC]],TableMCGLOBL2[],7,FALSE),"")</f>
        <v/>
      </c>
      <c r="AA92" s="211" t="str">
        <f>IFERROR(VLOOKUP(TableHandbook[[#This Row],[UDC]],TableMCGLOBL[],7,FALSE),"")</f>
        <v/>
      </c>
      <c r="AB92" s="211" t="str">
        <f>IFERROR(VLOOKUP(TableHandbook[[#This Row],[UDC]],TableSTRPGLOBL[],7,FALSE),"")</f>
        <v/>
      </c>
      <c r="AC92" s="211" t="str">
        <f>IFERROR(VLOOKUP(TableHandbook[[#This Row],[UDC]],TableSTRPHRIGT[],7,FALSE),"")</f>
        <v/>
      </c>
      <c r="AD92" s="211" t="str">
        <f>IFERROR(VLOOKUP(TableHandbook[[#This Row],[UDC]],TableSTRPINTRN[],7,FALSE),"")</f>
        <v/>
      </c>
      <c r="AE92" s="211" t="str">
        <f>IFERROR(VLOOKUP(TableHandbook[[#This Row],[UDC]],TableGCGLOBL[],7,FALSE),"")</f>
        <v/>
      </c>
      <c r="AF92" s="213" t="str">
        <f>IFERROR(VLOOKUP(TableHandbook[[#This Row],[UDC]],TableMCINTREL[],7,FALSE),"")</f>
        <v/>
      </c>
      <c r="AG92" s="211" t="str">
        <f>IFERROR(VLOOKUP(TableHandbook[[#This Row],[UDC]],TableMCINTSEC[],7,FALSE),"")</f>
        <v/>
      </c>
      <c r="AH92" s="211" t="str">
        <f>IFERROR(VLOOKUP(TableHandbook[[#This Row],[UDC]],TableGDINTSEC[],7,FALSE),"")</f>
        <v/>
      </c>
      <c r="AI92" s="211" t="str">
        <f>IFERROR(VLOOKUP(TableHandbook[[#This Row],[UDC]],TableGCINTSEC[],7,FALSE),"")</f>
        <v/>
      </c>
      <c r="AJ92" s="211" t="str">
        <f>IFERROR(VLOOKUP(TableHandbook[[#This Row],[UDC]],TableGCINTELL[],7,FALSE),"")</f>
        <v/>
      </c>
      <c r="AK92" s="211" t="str">
        <f>IFERROR(VLOOKUP(TableHandbook[[#This Row],[UDC]],TableGCIPCSEC[],7,FALSE),"")</f>
        <v/>
      </c>
    </row>
    <row r="93" spans="1:37" x14ac:dyDescent="0.3">
      <c r="A93" s="231" t="s">
        <v>307</v>
      </c>
      <c r="B93" s="3">
        <v>3</v>
      </c>
      <c r="C93" s="3"/>
      <c r="D93" s="209" t="s">
        <v>510</v>
      </c>
      <c r="E93" s="3">
        <v>25</v>
      </c>
      <c r="F93" s="245" t="s">
        <v>301</v>
      </c>
      <c r="G93" s="96" t="str">
        <f>IFERROR(IF(VLOOKUP(TableHandbook[[#This Row],[UDC]],TableAvailabilities[],2,FALSE)&gt;0,"Y",""),"")</f>
        <v/>
      </c>
      <c r="H93" s="96" t="str">
        <f>IFERROR(IF(VLOOKUP(TableHandbook[[#This Row],[UDC]],TableAvailabilities[],3,FALSE)&gt;0,"Y",""),"")</f>
        <v/>
      </c>
      <c r="I93" s="96" t="str">
        <f>IFERROR(IF(VLOOKUP(TableHandbook[[#This Row],[UDC]],TableAvailabilities[],4,FALSE)&gt;0,"Y",""),"")</f>
        <v>Y</v>
      </c>
      <c r="J93" s="96" t="str">
        <f>IFERROR(IF(VLOOKUP(TableHandbook[[#This Row],[UDC]],TableAvailabilities[],5,FALSE)&gt;0,"Y",""),"")</f>
        <v/>
      </c>
      <c r="K93" s="209"/>
      <c r="L93" s="213" t="str">
        <f>IFERROR(VLOOKUP(TableHandbook[[#This Row],[UDC]],TableMCARTS[],7,FALSE),"")</f>
        <v/>
      </c>
      <c r="M93" s="211" t="str">
        <f>IFERROR(VLOOKUP(TableHandbook[[#This Row],[UDC]],TableMJRPCWRIT[],7,FALSE),"")</f>
        <v/>
      </c>
      <c r="N93" s="211" t="str">
        <f>IFERROR(VLOOKUP(TableHandbook[[#This Row],[UDC]],TableMJRPDGCMS[],7,FALSE),"")</f>
        <v/>
      </c>
      <c r="O93" s="211" t="str">
        <f>IFERROR(VLOOKUP(TableHandbook[[#This Row],[UDC]],TableMJRPFINAR[],7,FALSE),"")</f>
        <v/>
      </c>
      <c r="P93" s="211" t="str">
        <f>IFERROR(VLOOKUP(TableHandbook[[#This Row],[UDC]],TableMJRPPWRIT[],7,FALSE),"")</f>
        <v/>
      </c>
      <c r="Q93" s="211" t="str">
        <f>IFERROR(VLOOKUP(TableHandbook[[#This Row],[UDC]],TableMJRPSCRAR[],7,FALSE),"")</f>
        <v/>
      </c>
      <c r="R93" s="213" t="str">
        <f>IFERROR(VLOOKUP(TableHandbook[[#This Row],[UDC]],TableMCMMJRG[],7,FALSE),"")</f>
        <v>Core</v>
      </c>
      <c r="S93" s="211" t="str">
        <f>IFERROR(VLOOKUP(TableHandbook[[#This Row],[UDC]],TableMCMMJRN[],7,FALSE),"")</f>
        <v>Core</v>
      </c>
      <c r="T93" s="211" t="str">
        <f>IFERROR(VLOOKUP(TableHandbook[[#This Row],[UDC]],TableGDMMJRN[],7,FALSE),"")</f>
        <v>Core</v>
      </c>
      <c r="U93" s="211" t="str">
        <f>IFERROR(VLOOKUP(TableHandbook[[#This Row],[UDC]],TableGCMMJRN[],7,FALSE),"")</f>
        <v/>
      </c>
      <c r="V93" s="213" t="str">
        <f>IFERROR(VLOOKUP(TableHandbook[[#This Row],[UDC]],TableMCHRIGLO[],7,FALSE),"")</f>
        <v/>
      </c>
      <c r="W93" s="211" t="str">
        <f>IFERROR(VLOOKUP(TableHandbook[[#This Row],[UDC]],TableMCHRIGHT[],7,FALSE),"")</f>
        <v/>
      </c>
      <c r="X93" s="211" t="str">
        <f>IFERROR(VLOOKUP(TableHandbook[[#This Row],[UDC]],TableGDHRIGHT[],7,FALSE),"")</f>
        <v/>
      </c>
      <c r="Y93" s="211" t="str">
        <f>IFERROR(VLOOKUP(TableHandbook[[#This Row],[UDC]],TableGCHRIGHT[],7,FALSE),"")</f>
        <v/>
      </c>
      <c r="Z93" s="213" t="str">
        <f>IFERROR(VLOOKUP(TableHandbook[[#This Row],[UDC]],TableMCGLOBL2[],7,FALSE),"")</f>
        <v/>
      </c>
      <c r="AA93" s="211" t="str">
        <f>IFERROR(VLOOKUP(TableHandbook[[#This Row],[UDC]],TableMCGLOBL[],7,FALSE),"")</f>
        <v/>
      </c>
      <c r="AB93" s="211" t="str">
        <f>IFERROR(VLOOKUP(TableHandbook[[#This Row],[UDC]],TableSTRPGLOBL[],7,FALSE),"")</f>
        <v/>
      </c>
      <c r="AC93" s="211" t="str">
        <f>IFERROR(VLOOKUP(TableHandbook[[#This Row],[UDC]],TableSTRPHRIGT[],7,FALSE),"")</f>
        <v/>
      </c>
      <c r="AD93" s="211" t="str">
        <f>IFERROR(VLOOKUP(TableHandbook[[#This Row],[UDC]],TableSTRPINTRN[],7,FALSE),"")</f>
        <v/>
      </c>
      <c r="AE93" s="211" t="str">
        <f>IFERROR(VLOOKUP(TableHandbook[[#This Row],[UDC]],TableGCGLOBL[],7,FALSE),"")</f>
        <v/>
      </c>
      <c r="AF93" s="213" t="str">
        <f>IFERROR(VLOOKUP(TableHandbook[[#This Row],[UDC]],TableMCINTREL[],7,FALSE),"")</f>
        <v/>
      </c>
      <c r="AG93" s="211" t="str">
        <f>IFERROR(VLOOKUP(TableHandbook[[#This Row],[UDC]],TableMCINTSEC[],7,FALSE),"")</f>
        <v/>
      </c>
      <c r="AH93" s="211" t="str">
        <f>IFERROR(VLOOKUP(TableHandbook[[#This Row],[UDC]],TableGDINTSEC[],7,FALSE),"")</f>
        <v/>
      </c>
      <c r="AI93" s="211" t="str">
        <f>IFERROR(VLOOKUP(TableHandbook[[#This Row],[UDC]],TableGCINTSEC[],7,FALSE),"")</f>
        <v/>
      </c>
      <c r="AJ93" s="211" t="str">
        <f>IFERROR(VLOOKUP(TableHandbook[[#This Row],[UDC]],TableGCINTELL[],7,FALSE),"")</f>
        <v/>
      </c>
      <c r="AK93" s="211" t="str">
        <f>IFERROR(VLOOKUP(TableHandbook[[#This Row],[UDC]],TableGCIPCSEC[],7,FALSE),"")</f>
        <v/>
      </c>
    </row>
    <row r="94" spans="1:37" x14ac:dyDescent="0.3">
      <c r="A94" s="2" t="s">
        <v>511</v>
      </c>
      <c r="B94" s="3">
        <v>2</v>
      </c>
      <c r="C94" s="3"/>
      <c r="D94" s="209" t="s">
        <v>512</v>
      </c>
      <c r="E94" s="3">
        <v>25</v>
      </c>
      <c r="F94" s="149" t="s">
        <v>108</v>
      </c>
      <c r="G94" s="96" t="str">
        <f>IFERROR(IF(VLOOKUP(TableHandbook[[#This Row],[UDC]],TableAvailabilities[],2,FALSE)&gt;0,"Y",""),"")</f>
        <v/>
      </c>
      <c r="H94" s="96" t="str">
        <f>IFERROR(IF(VLOOKUP(TableHandbook[[#This Row],[UDC]],TableAvailabilities[],3,FALSE)&gt;0,"Y",""),"")</f>
        <v/>
      </c>
      <c r="I94" s="96" t="str">
        <f>IFERROR(IF(VLOOKUP(TableHandbook[[#This Row],[UDC]],TableAvailabilities[],4,FALSE)&gt;0,"Y",""),"")</f>
        <v/>
      </c>
      <c r="J94" s="96" t="str">
        <f>IFERROR(IF(VLOOKUP(TableHandbook[[#This Row],[UDC]],TableAvailabilities[],5,FALSE)&gt;0,"Y",""),"")</f>
        <v/>
      </c>
      <c r="K94" s="209"/>
      <c r="L94" s="213" t="str">
        <f>IFERROR(VLOOKUP(TableHandbook[[#This Row],[UDC]],TableMCARTS[],7,FALSE),"")</f>
        <v/>
      </c>
      <c r="M94" s="211" t="str">
        <f>IFERROR(VLOOKUP(TableHandbook[[#This Row],[UDC]],TableMJRPCWRIT[],7,FALSE),"")</f>
        <v/>
      </c>
      <c r="N94" s="211" t="str">
        <f>IFERROR(VLOOKUP(TableHandbook[[#This Row],[UDC]],TableMJRPDGCMS[],7,FALSE),"")</f>
        <v/>
      </c>
      <c r="O94" s="211" t="str">
        <f>IFERROR(VLOOKUP(TableHandbook[[#This Row],[UDC]],TableMJRPFINAR[],7,FALSE),"")</f>
        <v/>
      </c>
      <c r="P94" s="211" t="str">
        <f>IFERROR(VLOOKUP(TableHandbook[[#This Row],[UDC]],TableMJRPPWRIT[],7,FALSE),"")</f>
        <v/>
      </c>
      <c r="Q94" s="211" t="str">
        <f>IFERROR(VLOOKUP(TableHandbook[[#This Row],[UDC]],TableMJRPSCRAR[],7,FALSE),"")</f>
        <v/>
      </c>
      <c r="R94" s="213" t="str">
        <f>IFERROR(VLOOKUP(TableHandbook[[#This Row],[UDC]],TableMCMMJRG[],7,FALSE),"")</f>
        <v/>
      </c>
      <c r="S94" s="211" t="str">
        <f>IFERROR(VLOOKUP(TableHandbook[[#This Row],[UDC]],TableMCMMJRN[],7,FALSE),"")</f>
        <v/>
      </c>
      <c r="T94" s="211" t="str">
        <f>IFERROR(VLOOKUP(TableHandbook[[#This Row],[UDC]],TableGDMMJRN[],7,FALSE),"")</f>
        <v/>
      </c>
      <c r="U94" s="211" t="str">
        <f>IFERROR(VLOOKUP(TableHandbook[[#This Row],[UDC]],TableGCMMJRN[],7,FALSE),"")</f>
        <v/>
      </c>
      <c r="V94" s="213" t="str">
        <f>IFERROR(VLOOKUP(TableHandbook[[#This Row],[UDC]],TableMCHRIGLO[],7,FALSE),"")</f>
        <v/>
      </c>
      <c r="W94" s="211" t="str">
        <f>IFERROR(VLOOKUP(TableHandbook[[#This Row],[UDC]],TableMCHRIGHT[],7,FALSE),"")</f>
        <v/>
      </c>
      <c r="X94" s="211" t="str">
        <f>IFERROR(VLOOKUP(TableHandbook[[#This Row],[UDC]],TableGDHRIGHT[],7,FALSE),"")</f>
        <v/>
      </c>
      <c r="Y94" s="211" t="str">
        <f>IFERROR(VLOOKUP(TableHandbook[[#This Row],[UDC]],TableGCHRIGHT[],7,FALSE),"")</f>
        <v/>
      </c>
      <c r="Z94" s="213" t="str">
        <f>IFERROR(VLOOKUP(TableHandbook[[#This Row],[UDC]],TableMCGLOBL2[],7,FALSE),"")</f>
        <v/>
      </c>
      <c r="AA94" s="211" t="str">
        <f>IFERROR(VLOOKUP(TableHandbook[[#This Row],[UDC]],TableMCGLOBL[],7,FALSE),"")</f>
        <v/>
      </c>
      <c r="AB94" s="211" t="str">
        <f>IFERROR(VLOOKUP(TableHandbook[[#This Row],[UDC]],TableSTRPGLOBL[],7,FALSE),"")</f>
        <v/>
      </c>
      <c r="AC94" s="211" t="str">
        <f>IFERROR(VLOOKUP(TableHandbook[[#This Row],[UDC]],TableSTRPHRIGT[],7,FALSE),"")</f>
        <v/>
      </c>
      <c r="AD94" s="211" t="str">
        <f>IFERROR(VLOOKUP(TableHandbook[[#This Row],[UDC]],TableSTRPINTRN[],7,FALSE),"")</f>
        <v/>
      </c>
      <c r="AE94" s="211" t="str">
        <f>IFERROR(VLOOKUP(TableHandbook[[#This Row],[UDC]],TableGCGLOBL[],7,FALSE),"")</f>
        <v/>
      </c>
      <c r="AF94" s="213" t="str">
        <f>IFERROR(VLOOKUP(TableHandbook[[#This Row],[UDC]],TableMCINTREL[],7,FALSE),"")</f>
        <v/>
      </c>
      <c r="AG94" s="211" t="str">
        <f>IFERROR(VLOOKUP(TableHandbook[[#This Row],[UDC]],TableMCINTSEC[],7,FALSE),"")</f>
        <v/>
      </c>
      <c r="AH94" s="211" t="str">
        <f>IFERROR(VLOOKUP(TableHandbook[[#This Row],[UDC]],TableGDINTSEC[],7,FALSE),"")</f>
        <v/>
      </c>
      <c r="AI94" s="211" t="str">
        <f>IFERROR(VLOOKUP(TableHandbook[[#This Row],[UDC]],TableGCINTSEC[],7,FALSE),"")</f>
        <v/>
      </c>
      <c r="AJ94" s="211" t="str">
        <f>IFERROR(VLOOKUP(TableHandbook[[#This Row],[UDC]],TableGCINTELL[],7,FALSE),"")</f>
        <v/>
      </c>
      <c r="AK94" s="211" t="str">
        <f>IFERROR(VLOOKUP(TableHandbook[[#This Row],[UDC]],TableGCIPCSEC[],7,FALSE),"")</f>
        <v/>
      </c>
    </row>
    <row r="95" spans="1:37" x14ac:dyDescent="0.3">
      <c r="A95" s="231" t="s">
        <v>210</v>
      </c>
      <c r="B95" s="3">
        <v>4</v>
      </c>
      <c r="C95" s="3"/>
      <c r="D95" s="209" t="s">
        <v>513</v>
      </c>
      <c r="E95" s="3">
        <v>25</v>
      </c>
      <c r="F95" s="245" t="s">
        <v>108</v>
      </c>
      <c r="G95" s="96" t="str">
        <f>IFERROR(IF(VLOOKUP(TableHandbook[[#This Row],[UDC]],TableAvailabilities[],2,FALSE)&gt;0,"Y",""),"")</f>
        <v/>
      </c>
      <c r="H95" s="96" t="str">
        <f>IFERROR(IF(VLOOKUP(TableHandbook[[#This Row],[UDC]],TableAvailabilities[],3,FALSE)&gt;0,"Y",""),"")</f>
        <v/>
      </c>
      <c r="I95" s="96" t="str">
        <f>IFERROR(IF(VLOOKUP(TableHandbook[[#This Row],[UDC]],TableAvailabilities[],4,FALSE)&gt;0,"Y",""),"")</f>
        <v>Y</v>
      </c>
      <c r="J95" s="96" t="str">
        <f>IFERROR(IF(VLOOKUP(TableHandbook[[#This Row],[UDC]],TableAvailabilities[],5,FALSE)&gt;0,"Y",""),"")</f>
        <v/>
      </c>
      <c r="K95" s="209" t="s">
        <v>433</v>
      </c>
      <c r="L95" s="213" t="str">
        <f>IFERROR(VLOOKUP(TableHandbook[[#This Row],[UDC]],TableMCARTS[],7,FALSE),"")</f>
        <v/>
      </c>
      <c r="M95" s="211" t="str">
        <f>IFERROR(VLOOKUP(TableHandbook[[#This Row],[UDC]],TableMJRPCWRIT[],7,FALSE),"")</f>
        <v/>
      </c>
      <c r="N95" s="211" t="str">
        <f>IFERROR(VLOOKUP(TableHandbook[[#This Row],[UDC]],TableMJRPDGCMS[],7,FALSE),"")</f>
        <v/>
      </c>
      <c r="O95" s="211" t="str">
        <f>IFERROR(VLOOKUP(TableHandbook[[#This Row],[UDC]],TableMJRPFINAR[],7,FALSE),"")</f>
        <v/>
      </c>
      <c r="P95" s="211" t="str">
        <f>IFERROR(VLOOKUP(TableHandbook[[#This Row],[UDC]],TableMJRPPWRIT[],7,FALSE),"")</f>
        <v/>
      </c>
      <c r="Q95" s="211" t="str">
        <f>IFERROR(VLOOKUP(TableHandbook[[#This Row],[UDC]],TableMJRPSCRAR[],7,FALSE),"")</f>
        <v>Option</v>
      </c>
      <c r="R95" s="213" t="str">
        <f>IFERROR(VLOOKUP(TableHandbook[[#This Row],[UDC]],TableMCMMJRG[],7,FALSE),"")</f>
        <v>Core</v>
      </c>
      <c r="S95" s="211" t="str">
        <f>IFERROR(VLOOKUP(TableHandbook[[#This Row],[UDC]],TableMCMMJRN[],7,FALSE),"")</f>
        <v>Core</v>
      </c>
      <c r="T95" s="211" t="str">
        <f>IFERROR(VLOOKUP(TableHandbook[[#This Row],[UDC]],TableGDMMJRN[],7,FALSE),"")</f>
        <v>Core</v>
      </c>
      <c r="U95" s="211" t="str">
        <f>IFERROR(VLOOKUP(TableHandbook[[#This Row],[UDC]],TableGCMMJRN[],7,FALSE),"")</f>
        <v>Core</v>
      </c>
      <c r="V95" s="213" t="str">
        <f>IFERROR(VLOOKUP(TableHandbook[[#This Row],[UDC]],TableMCHRIGLO[],7,FALSE),"")</f>
        <v/>
      </c>
      <c r="W95" s="211" t="str">
        <f>IFERROR(VLOOKUP(TableHandbook[[#This Row],[UDC]],TableMCHRIGHT[],7,FALSE),"")</f>
        <v/>
      </c>
      <c r="X95" s="211" t="str">
        <f>IFERROR(VLOOKUP(TableHandbook[[#This Row],[UDC]],TableGDHRIGHT[],7,FALSE),"")</f>
        <v/>
      </c>
      <c r="Y95" s="211" t="str">
        <f>IFERROR(VLOOKUP(TableHandbook[[#This Row],[UDC]],TableGCHRIGHT[],7,FALSE),"")</f>
        <v/>
      </c>
      <c r="Z95" s="213" t="str">
        <f>IFERROR(VLOOKUP(TableHandbook[[#This Row],[UDC]],TableMCGLOBL2[],7,FALSE),"")</f>
        <v/>
      </c>
      <c r="AA95" s="211" t="str">
        <f>IFERROR(VLOOKUP(TableHandbook[[#This Row],[UDC]],TableMCGLOBL[],7,FALSE),"")</f>
        <v/>
      </c>
      <c r="AB95" s="211" t="str">
        <f>IFERROR(VLOOKUP(TableHandbook[[#This Row],[UDC]],TableSTRPGLOBL[],7,FALSE),"")</f>
        <v/>
      </c>
      <c r="AC95" s="211" t="str">
        <f>IFERROR(VLOOKUP(TableHandbook[[#This Row],[UDC]],TableSTRPHRIGT[],7,FALSE),"")</f>
        <v/>
      </c>
      <c r="AD95" s="211" t="str">
        <f>IFERROR(VLOOKUP(TableHandbook[[#This Row],[UDC]],TableSTRPINTRN[],7,FALSE),"")</f>
        <v/>
      </c>
      <c r="AE95" s="211" t="str">
        <f>IFERROR(VLOOKUP(TableHandbook[[#This Row],[UDC]],TableGCGLOBL[],7,FALSE),"")</f>
        <v/>
      </c>
      <c r="AF95" s="213" t="str">
        <f>IFERROR(VLOOKUP(TableHandbook[[#This Row],[UDC]],TableMCINTREL[],7,FALSE),"")</f>
        <v/>
      </c>
      <c r="AG95" s="211" t="str">
        <f>IFERROR(VLOOKUP(TableHandbook[[#This Row],[UDC]],TableMCINTSEC[],7,FALSE),"")</f>
        <v/>
      </c>
      <c r="AH95" s="211" t="str">
        <f>IFERROR(VLOOKUP(TableHandbook[[#This Row],[UDC]],TableGDINTSEC[],7,FALSE),"")</f>
        <v/>
      </c>
      <c r="AI95" s="211" t="str">
        <f>IFERROR(VLOOKUP(TableHandbook[[#This Row],[UDC]],TableGCINTSEC[],7,FALSE),"")</f>
        <v/>
      </c>
      <c r="AJ95" s="211" t="str">
        <f>IFERROR(VLOOKUP(TableHandbook[[#This Row],[UDC]],TableGCINTELL[],7,FALSE),"")</f>
        <v/>
      </c>
      <c r="AK95" s="211" t="str">
        <f>IFERROR(VLOOKUP(TableHandbook[[#This Row],[UDC]],TableGCIPCSEC[],7,FALSE),"")</f>
        <v/>
      </c>
    </row>
    <row r="96" spans="1:37" x14ac:dyDescent="0.3">
      <c r="A96" s="2" t="s">
        <v>514</v>
      </c>
      <c r="B96" s="3">
        <v>3</v>
      </c>
      <c r="C96" s="3"/>
      <c r="D96" s="209" t="s">
        <v>515</v>
      </c>
      <c r="E96" s="3">
        <v>25</v>
      </c>
      <c r="F96" s="149" t="s">
        <v>108</v>
      </c>
      <c r="G96" s="96" t="str">
        <f>IFERROR(IF(VLOOKUP(TableHandbook[[#This Row],[UDC]],TableAvailabilities[],2,FALSE)&gt;0,"Y",""),"")</f>
        <v/>
      </c>
      <c r="H96" s="96" t="str">
        <f>IFERROR(IF(VLOOKUP(TableHandbook[[#This Row],[UDC]],TableAvailabilities[],3,FALSE)&gt;0,"Y",""),"")</f>
        <v/>
      </c>
      <c r="I96" s="96" t="str">
        <f>IFERROR(IF(VLOOKUP(TableHandbook[[#This Row],[UDC]],TableAvailabilities[],4,FALSE)&gt;0,"Y",""),"")</f>
        <v/>
      </c>
      <c r="J96" s="96" t="str">
        <f>IFERROR(IF(VLOOKUP(TableHandbook[[#This Row],[UDC]],TableAvailabilities[],5,FALSE)&gt;0,"Y",""),"")</f>
        <v/>
      </c>
      <c r="K96" s="209" t="s">
        <v>436</v>
      </c>
      <c r="L96" s="213" t="str">
        <f>IFERROR(VLOOKUP(TableHandbook[[#This Row],[UDC]],TableMCARTS[],7,FALSE),"")</f>
        <v/>
      </c>
      <c r="M96" s="211" t="str">
        <f>IFERROR(VLOOKUP(TableHandbook[[#This Row],[UDC]],TableMJRPCWRIT[],7,FALSE),"")</f>
        <v/>
      </c>
      <c r="N96" s="211" t="str">
        <f>IFERROR(VLOOKUP(TableHandbook[[#This Row],[UDC]],TableMJRPDGCMS[],7,FALSE),"")</f>
        <v/>
      </c>
      <c r="O96" s="211" t="str">
        <f>IFERROR(VLOOKUP(TableHandbook[[#This Row],[UDC]],TableMJRPFINAR[],7,FALSE),"")</f>
        <v/>
      </c>
      <c r="P96" s="211" t="str">
        <f>IFERROR(VLOOKUP(TableHandbook[[#This Row],[UDC]],TableMJRPPWRIT[],7,FALSE),"")</f>
        <v/>
      </c>
      <c r="Q96" s="211" t="str">
        <f>IFERROR(VLOOKUP(TableHandbook[[#This Row],[UDC]],TableMJRPSCRAR[],7,FALSE),"")</f>
        <v/>
      </c>
      <c r="R96" s="213" t="str">
        <f>IFERROR(VLOOKUP(TableHandbook[[#This Row],[UDC]],TableMCMMJRG[],7,FALSE),"")</f>
        <v/>
      </c>
      <c r="S96" s="211" t="str">
        <f>IFERROR(VLOOKUP(TableHandbook[[#This Row],[UDC]],TableMCMMJRN[],7,FALSE),"")</f>
        <v/>
      </c>
      <c r="T96" s="211" t="str">
        <f>IFERROR(VLOOKUP(TableHandbook[[#This Row],[UDC]],TableGDMMJRN[],7,FALSE),"")</f>
        <v/>
      </c>
      <c r="U96" s="211" t="str">
        <f>IFERROR(VLOOKUP(TableHandbook[[#This Row],[UDC]],TableGCMMJRN[],7,FALSE),"")</f>
        <v/>
      </c>
      <c r="V96" s="213" t="str">
        <f>IFERROR(VLOOKUP(TableHandbook[[#This Row],[UDC]],TableMCHRIGLO[],7,FALSE),"")</f>
        <v/>
      </c>
      <c r="W96" s="211" t="str">
        <f>IFERROR(VLOOKUP(TableHandbook[[#This Row],[UDC]],TableMCHRIGHT[],7,FALSE),"")</f>
        <v/>
      </c>
      <c r="X96" s="211" t="str">
        <f>IFERROR(VLOOKUP(TableHandbook[[#This Row],[UDC]],TableGDHRIGHT[],7,FALSE),"")</f>
        <v/>
      </c>
      <c r="Y96" s="211" t="str">
        <f>IFERROR(VLOOKUP(TableHandbook[[#This Row],[UDC]],TableGCHRIGHT[],7,FALSE),"")</f>
        <v/>
      </c>
      <c r="Z96" s="213" t="str">
        <f>IFERROR(VLOOKUP(TableHandbook[[#This Row],[UDC]],TableMCGLOBL2[],7,FALSE),"")</f>
        <v/>
      </c>
      <c r="AA96" s="211" t="str">
        <f>IFERROR(VLOOKUP(TableHandbook[[#This Row],[UDC]],TableMCGLOBL[],7,FALSE),"")</f>
        <v/>
      </c>
      <c r="AB96" s="211" t="str">
        <f>IFERROR(VLOOKUP(TableHandbook[[#This Row],[UDC]],TableSTRPGLOBL[],7,FALSE),"")</f>
        <v/>
      </c>
      <c r="AC96" s="211" t="str">
        <f>IFERROR(VLOOKUP(TableHandbook[[#This Row],[UDC]],TableSTRPHRIGT[],7,FALSE),"")</f>
        <v/>
      </c>
      <c r="AD96" s="211" t="str">
        <f>IFERROR(VLOOKUP(TableHandbook[[#This Row],[UDC]],TableSTRPINTRN[],7,FALSE),"")</f>
        <v/>
      </c>
      <c r="AE96" s="211" t="str">
        <f>IFERROR(VLOOKUP(TableHandbook[[#This Row],[UDC]],TableGCGLOBL[],7,FALSE),"")</f>
        <v/>
      </c>
      <c r="AF96" s="213" t="str">
        <f>IFERROR(VLOOKUP(TableHandbook[[#This Row],[UDC]],TableMCINTREL[],7,FALSE),"")</f>
        <v/>
      </c>
      <c r="AG96" s="211" t="str">
        <f>IFERROR(VLOOKUP(TableHandbook[[#This Row],[UDC]],TableMCINTSEC[],7,FALSE),"")</f>
        <v/>
      </c>
      <c r="AH96" s="211" t="str">
        <f>IFERROR(VLOOKUP(TableHandbook[[#This Row],[UDC]],TableGDINTSEC[],7,FALSE),"")</f>
        <v/>
      </c>
      <c r="AI96" s="211" t="str">
        <f>IFERROR(VLOOKUP(TableHandbook[[#This Row],[UDC]],TableGCINTSEC[],7,FALSE),"")</f>
        <v/>
      </c>
      <c r="AJ96" s="211" t="str">
        <f>IFERROR(VLOOKUP(TableHandbook[[#This Row],[UDC]],TableGCINTELL[],7,FALSE),"")</f>
        <v/>
      </c>
      <c r="AK96" s="211" t="str">
        <f>IFERROR(VLOOKUP(TableHandbook[[#This Row],[UDC]],TableGCIPCSEC[],7,FALSE),"")</f>
        <v/>
      </c>
    </row>
    <row r="97" spans="1:37" x14ac:dyDescent="0.3">
      <c r="A97" s="231" t="s">
        <v>318</v>
      </c>
      <c r="B97" s="3">
        <v>4</v>
      </c>
      <c r="C97" s="3"/>
      <c r="D97" s="209" t="s">
        <v>516</v>
      </c>
      <c r="E97" s="3">
        <v>25</v>
      </c>
      <c r="F97" s="245" t="s">
        <v>517</v>
      </c>
      <c r="G97" s="96" t="str">
        <f>IFERROR(IF(VLOOKUP(TableHandbook[[#This Row],[UDC]],TableAvailabilities[],2,FALSE)&gt;0,"Y",""),"")</f>
        <v>Y</v>
      </c>
      <c r="H97" s="96" t="str">
        <f>IFERROR(IF(VLOOKUP(TableHandbook[[#This Row],[UDC]],TableAvailabilities[],3,FALSE)&gt;0,"Y",""),"")</f>
        <v/>
      </c>
      <c r="I97" s="96" t="str">
        <f>IFERROR(IF(VLOOKUP(TableHandbook[[#This Row],[UDC]],TableAvailabilities[],4,FALSE)&gt;0,"Y",""),"")</f>
        <v/>
      </c>
      <c r="J97" s="96" t="str">
        <f>IFERROR(IF(VLOOKUP(TableHandbook[[#This Row],[UDC]],TableAvailabilities[],5,FALSE)&gt;0,"Y",""),"")</f>
        <v/>
      </c>
      <c r="K97" s="209" t="s">
        <v>433</v>
      </c>
      <c r="L97" s="213" t="str">
        <f>IFERROR(VLOOKUP(TableHandbook[[#This Row],[UDC]],TableMCARTS[],7,FALSE),"")</f>
        <v/>
      </c>
      <c r="M97" s="211" t="str">
        <f>IFERROR(VLOOKUP(TableHandbook[[#This Row],[UDC]],TableMJRPCWRIT[],7,FALSE),"")</f>
        <v/>
      </c>
      <c r="N97" s="211" t="str">
        <f>IFERROR(VLOOKUP(TableHandbook[[#This Row],[UDC]],TableMJRPDGCMS[],7,FALSE),"")</f>
        <v/>
      </c>
      <c r="O97" s="211" t="str">
        <f>IFERROR(VLOOKUP(TableHandbook[[#This Row],[UDC]],TableMJRPFINAR[],7,FALSE),"")</f>
        <v/>
      </c>
      <c r="P97" s="211" t="str">
        <f>IFERROR(VLOOKUP(TableHandbook[[#This Row],[UDC]],TableMJRPPWRIT[],7,FALSE),"")</f>
        <v/>
      </c>
      <c r="Q97" s="211" t="str">
        <f>IFERROR(VLOOKUP(TableHandbook[[#This Row],[UDC]],TableMJRPSCRAR[],7,FALSE),"")</f>
        <v/>
      </c>
      <c r="R97" s="213" t="str">
        <f>IFERROR(VLOOKUP(TableHandbook[[#This Row],[UDC]],TableMCMMJRG[],7,FALSE),"")</f>
        <v>AltCore</v>
      </c>
      <c r="S97" s="211" t="str">
        <f>IFERROR(VLOOKUP(TableHandbook[[#This Row],[UDC]],TableMCMMJRN[],7,FALSE),"")</f>
        <v>Option</v>
      </c>
      <c r="T97" s="211" t="str">
        <f>IFERROR(VLOOKUP(TableHandbook[[#This Row],[UDC]],TableGDMMJRN[],7,FALSE),"")</f>
        <v/>
      </c>
      <c r="U97" s="211" t="str">
        <f>IFERROR(VLOOKUP(TableHandbook[[#This Row],[UDC]],TableGCMMJRN[],7,FALSE),"")</f>
        <v/>
      </c>
      <c r="V97" s="213" t="str">
        <f>IFERROR(VLOOKUP(TableHandbook[[#This Row],[UDC]],TableMCHRIGLO[],7,FALSE),"")</f>
        <v/>
      </c>
      <c r="W97" s="211" t="str">
        <f>IFERROR(VLOOKUP(TableHandbook[[#This Row],[UDC]],TableMCHRIGHT[],7,FALSE),"")</f>
        <v/>
      </c>
      <c r="X97" s="211" t="str">
        <f>IFERROR(VLOOKUP(TableHandbook[[#This Row],[UDC]],TableGDHRIGHT[],7,FALSE),"")</f>
        <v/>
      </c>
      <c r="Y97" s="211" t="str">
        <f>IFERROR(VLOOKUP(TableHandbook[[#This Row],[UDC]],TableGCHRIGHT[],7,FALSE),"")</f>
        <v/>
      </c>
      <c r="Z97" s="213" t="str">
        <f>IFERROR(VLOOKUP(TableHandbook[[#This Row],[UDC]],TableMCGLOBL2[],7,FALSE),"")</f>
        <v/>
      </c>
      <c r="AA97" s="211" t="str">
        <f>IFERROR(VLOOKUP(TableHandbook[[#This Row],[UDC]],TableMCGLOBL[],7,FALSE),"")</f>
        <v/>
      </c>
      <c r="AB97" s="211" t="str">
        <f>IFERROR(VLOOKUP(TableHandbook[[#This Row],[UDC]],TableSTRPGLOBL[],7,FALSE),"")</f>
        <v/>
      </c>
      <c r="AC97" s="211" t="str">
        <f>IFERROR(VLOOKUP(TableHandbook[[#This Row],[UDC]],TableSTRPHRIGT[],7,FALSE),"")</f>
        <v/>
      </c>
      <c r="AD97" s="211" t="str">
        <f>IFERROR(VLOOKUP(TableHandbook[[#This Row],[UDC]],TableSTRPINTRN[],7,FALSE),"")</f>
        <v/>
      </c>
      <c r="AE97" s="211" t="str">
        <f>IFERROR(VLOOKUP(TableHandbook[[#This Row],[UDC]],TableGCGLOBL[],7,FALSE),"")</f>
        <v/>
      </c>
      <c r="AF97" s="213" t="str">
        <f>IFERROR(VLOOKUP(TableHandbook[[#This Row],[UDC]],TableMCINTREL[],7,FALSE),"")</f>
        <v/>
      </c>
      <c r="AG97" s="211" t="str">
        <f>IFERROR(VLOOKUP(TableHandbook[[#This Row],[UDC]],TableMCINTSEC[],7,FALSE),"")</f>
        <v/>
      </c>
      <c r="AH97" s="211" t="str">
        <f>IFERROR(VLOOKUP(TableHandbook[[#This Row],[UDC]],TableGDINTSEC[],7,FALSE),"")</f>
        <v/>
      </c>
      <c r="AI97" s="211" t="str">
        <f>IFERROR(VLOOKUP(TableHandbook[[#This Row],[UDC]],TableGCINTSEC[],7,FALSE),"")</f>
        <v/>
      </c>
      <c r="AJ97" s="211" t="str">
        <f>IFERROR(VLOOKUP(TableHandbook[[#This Row],[UDC]],TableGCINTELL[],7,FALSE),"")</f>
        <v/>
      </c>
      <c r="AK97" s="211" t="str">
        <f>IFERROR(VLOOKUP(TableHandbook[[#This Row],[UDC]],TableGCIPCSEC[],7,FALSE),"")</f>
        <v/>
      </c>
    </row>
    <row r="98" spans="1:37" x14ac:dyDescent="0.3">
      <c r="A98" s="2" t="s">
        <v>518</v>
      </c>
      <c r="B98" s="3">
        <v>3</v>
      </c>
      <c r="C98" s="3"/>
      <c r="D98" s="209" t="s">
        <v>519</v>
      </c>
      <c r="E98" s="3">
        <v>25</v>
      </c>
      <c r="F98" s="149" t="s">
        <v>517</v>
      </c>
      <c r="G98" s="96" t="str">
        <f>IFERROR(IF(VLOOKUP(TableHandbook[[#This Row],[UDC]],TableAvailabilities[],2,FALSE)&gt;0,"Y",""),"")</f>
        <v/>
      </c>
      <c r="H98" s="96" t="str">
        <f>IFERROR(IF(VLOOKUP(TableHandbook[[#This Row],[UDC]],TableAvailabilities[],3,FALSE)&gt;0,"Y",""),"")</f>
        <v/>
      </c>
      <c r="I98" s="96" t="str">
        <f>IFERROR(IF(VLOOKUP(TableHandbook[[#This Row],[UDC]],TableAvailabilities[],4,FALSE)&gt;0,"Y",""),"")</f>
        <v/>
      </c>
      <c r="J98" s="96" t="str">
        <f>IFERROR(IF(VLOOKUP(TableHandbook[[#This Row],[UDC]],TableAvailabilities[],5,FALSE)&gt;0,"Y",""),"")</f>
        <v/>
      </c>
      <c r="K98" s="209" t="s">
        <v>436</v>
      </c>
      <c r="L98" s="213" t="str">
        <f>IFERROR(VLOOKUP(TableHandbook[[#This Row],[UDC]],TableMCARTS[],7,FALSE),"")</f>
        <v/>
      </c>
      <c r="M98" s="211" t="str">
        <f>IFERROR(VLOOKUP(TableHandbook[[#This Row],[UDC]],TableMJRPCWRIT[],7,FALSE),"")</f>
        <v/>
      </c>
      <c r="N98" s="211" t="str">
        <f>IFERROR(VLOOKUP(TableHandbook[[#This Row],[UDC]],TableMJRPDGCMS[],7,FALSE),"")</f>
        <v/>
      </c>
      <c r="O98" s="211" t="str">
        <f>IFERROR(VLOOKUP(TableHandbook[[#This Row],[UDC]],TableMJRPFINAR[],7,FALSE),"")</f>
        <v/>
      </c>
      <c r="P98" s="211" t="str">
        <f>IFERROR(VLOOKUP(TableHandbook[[#This Row],[UDC]],TableMJRPPWRIT[],7,FALSE),"")</f>
        <v/>
      </c>
      <c r="Q98" s="211" t="str">
        <f>IFERROR(VLOOKUP(TableHandbook[[#This Row],[UDC]],TableMJRPSCRAR[],7,FALSE),"")</f>
        <v/>
      </c>
      <c r="R98" s="213" t="str">
        <f>IFERROR(VLOOKUP(TableHandbook[[#This Row],[UDC]],TableMCMMJRG[],7,FALSE),"")</f>
        <v/>
      </c>
      <c r="S98" s="211" t="str">
        <f>IFERROR(VLOOKUP(TableHandbook[[#This Row],[UDC]],TableMCMMJRN[],7,FALSE),"")</f>
        <v/>
      </c>
      <c r="T98" s="211" t="str">
        <f>IFERROR(VLOOKUP(TableHandbook[[#This Row],[UDC]],TableGDMMJRN[],7,FALSE),"")</f>
        <v/>
      </c>
      <c r="U98" s="211" t="str">
        <f>IFERROR(VLOOKUP(TableHandbook[[#This Row],[UDC]],TableGCMMJRN[],7,FALSE),"")</f>
        <v/>
      </c>
      <c r="V98" s="213" t="str">
        <f>IFERROR(VLOOKUP(TableHandbook[[#This Row],[UDC]],TableMCHRIGLO[],7,FALSE),"")</f>
        <v/>
      </c>
      <c r="W98" s="211" t="str">
        <f>IFERROR(VLOOKUP(TableHandbook[[#This Row],[UDC]],TableMCHRIGHT[],7,FALSE),"")</f>
        <v/>
      </c>
      <c r="X98" s="211" t="str">
        <f>IFERROR(VLOOKUP(TableHandbook[[#This Row],[UDC]],TableGDHRIGHT[],7,FALSE),"")</f>
        <v/>
      </c>
      <c r="Y98" s="211" t="str">
        <f>IFERROR(VLOOKUP(TableHandbook[[#This Row],[UDC]],TableGCHRIGHT[],7,FALSE),"")</f>
        <v/>
      </c>
      <c r="Z98" s="213" t="str">
        <f>IFERROR(VLOOKUP(TableHandbook[[#This Row],[UDC]],TableMCGLOBL2[],7,FALSE),"")</f>
        <v/>
      </c>
      <c r="AA98" s="211" t="str">
        <f>IFERROR(VLOOKUP(TableHandbook[[#This Row],[UDC]],TableMCGLOBL[],7,FALSE),"")</f>
        <v/>
      </c>
      <c r="AB98" s="211" t="str">
        <f>IFERROR(VLOOKUP(TableHandbook[[#This Row],[UDC]],TableSTRPGLOBL[],7,FALSE),"")</f>
        <v/>
      </c>
      <c r="AC98" s="211" t="str">
        <f>IFERROR(VLOOKUP(TableHandbook[[#This Row],[UDC]],TableSTRPHRIGT[],7,FALSE),"")</f>
        <v/>
      </c>
      <c r="AD98" s="211" t="str">
        <f>IFERROR(VLOOKUP(TableHandbook[[#This Row],[UDC]],TableSTRPINTRN[],7,FALSE),"")</f>
        <v/>
      </c>
      <c r="AE98" s="211" t="str">
        <f>IFERROR(VLOOKUP(TableHandbook[[#This Row],[UDC]],TableGCGLOBL[],7,FALSE),"")</f>
        <v/>
      </c>
      <c r="AF98" s="213" t="str">
        <f>IFERROR(VLOOKUP(TableHandbook[[#This Row],[UDC]],TableMCINTREL[],7,FALSE),"")</f>
        <v/>
      </c>
      <c r="AG98" s="211" t="str">
        <f>IFERROR(VLOOKUP(TableHandbook[[#This Row],[UDC]],TableMCINTSEC[],7,FALSE),"")</f>
        <v/>
      </c>
      <c r="AH98" s="211" t="str">
        <f>IFERROR(VLOOKUP(TableHandbook[[#This Row],[UDC]],TableGDINTSEC[],7,FALSE),"")</f>
        <v/>
      </c>
      <c r="AI98" s="211" t="str">
        <f>IFERROR(VLOOKUP(TableHandbook[[#This Row],[UDC]],TableGCINTSEC[],7,FALSE),"")</f>
        <v/>
      </c>
      <c r="AJ98" s="211" t="str">
        <f>IFERROR(VLOOKUP(TableHandbook[[#This Row],[UDC]],TableGCINTELL[],7,FALSE),"")</f>
        <v/>
      </c>
      <c r="AK98" s="211" t="str">
        <f>IFERROR(VLOOKUP(TableHandbook[[#This Row],[UDC]],TableGCIPCSEC[],7,FALSE),"")</f>
        <v/>
      </c>
    </row>
    <row r="99" spans="1:37" x14ac:dyDescent="0.3">
      <c r="A99" s="231" t="s">
        <v>309</v>
      </c>
      <c r="B99" s="3">
        <v>4</v>
      </c>
      <c r="C99" s="3"/>
      <c r="D99" s="209" t="s">
        <v>520</v>
      </c>
      <c r="E99" s="3">
        <v>25</v>
      </c>
      <c r="F99" s="245" t="s">
        <v>108</v>
      </c>
      <c r="G99" s="96" t="str">
        <f>IFERROR(IF(VLOOKUP(TableHandbook[[#This Row],[UDC]],TableAvailabilities[],2,FALSE)&gt;0,"Y",""),"")</f>
        <v/>
      </c>
      <c r="H99" s="96" t="str">
        <f>IFERROR(IF(VLOOKUP(TableHandbook[[#This Row],[UDC]],TableAvailabilities[],3,FALSE)&gt;0,"Y",""),"")</f>
        <v/>
      </c>
      <c r="I99" s="96" t="str">
        <f>IFERROR(IF(VLOOKUP(TableHandbook[[#This Row],[UDC]],TableAvailabilities[],4,FALSE)&gt;0,"Y",""),"")</f>
        <v>Y</v>
      </c>
      <c r="J99" s="96" t="str">
        <f>IFERROR(IF(VLOOKUP(TableHandbook[[#This Row],[UDC]],TableAvailabilities[],5,FALSE)&gt;0,"Y",""),"")</f>
        <v/>
      </c>
      <c r="K99" s="209" t="s">
        <v>433</v>
      </c>
      <c r="L99" s="213" t="str">
        <f>IFERROR(VLOOKUP(TableHandbook[[#This Row],[UDC]],TableMCARTS[],7,FALSE),"")</f>
        <v/>
      </c>
      <c r="M99" s="211" t="str">
        <f>IFERROR(VLOOKUP(TableHandbook[[#This Row],[UDC]],TableMJRPCWRIT[],7,FALSE),"")</f>
        <v/>
      </c>
      <c r="N99" s="211" t="str">
        <f>IFERROR(VLOOKUP(TableHandbook[[#This Row],[UDC]],TableMJRPDGCMS[],7,FALSE),"")</f>
        <v/>
      </c>
      <c r="O99" s="211" t="str">
        <f>IFERROR(VLOOKUP(TableHandbook[[#This Row],[UDC]],TableMJRPFINAR[],7,FALSE),"")</f>
        <v/>
      </c>
      <c r="P99" s="211" t="str">
        <f>IFERROR(VLOOKUP(TableHandbook[[#This Row],[UDC]],TableMJRPPWRIT[],7,FALSE),"")</f>
        <v/>
      </c>
      <c r="Q99" s="211" t="str">
        <f>IFERROR(VLOOKUP(TableHandbook[[#This Row],[UDC]],TableMJRPSCRAR[],7,FALSE),"")</f>
        <v/>
      </c>
      <c r="R99" s="213" t="str">
        <f>IFERROR(VLOOKUP(TableHandbook[[#This Row],[UDC]],TableMCMMJRG[],7,FALSE),"")</f>
        <v>Core</v>
      </c>
      <c r="S99" s="211" t="str">
        <f>IFERROR(VLOOKUP(TableHandbook[[#This Row],[UDC]],TableMCMMJRN[],7,FALSE),"")</f>
        <v>Core</v>
      </c>
      <c r="T99" s="211" t="str">
        <f>IFERROR(VLOOKUP(TableHandbook[[#This Row],[UDC]],TableGDMMJRN[],7,FALSE),"")</f>
        <v>Core</v>
      </c>
      <c r="U99" s="211" t="str">
        <f>IFERROR(VLOOKUP(TableHandbook[[#This Row],[UDC]],TableGCMMJRN[],7,FALSE),"")</f>
        <v/>
      </c>
      <c r="V99" s="213" t="str">
        <f>IFERROR(VLOOKUP(TableHandbook[[#This Row],[UDC]],TableMCHRIGLO[],7,FALSE),"")</f>
        <v/>
      </c>
      <c r="W99" s="211" t="str">
        <f>IFERROR(VLOOKUP(TableHandbook[[#This Row],[UDC]],TableMCHRIGHT[],7,FALSE),"")</f>
        <v/>
      </c>
      <c r="X99" s="211" t="str">
        <f>IFERROR(VLOOKUP(TableHandbook[[#This Row],[UDC]],TableGDHRIGHT[],7,FALSE),"")</f>
        <v/>
      </c>
      <c r="Y99" s="211" t="str">
        <f>IFERROR(VLOOKUP(TableHandbook[[#This Row],[UDC]],TableGCHRIGHT[],7,FALSE),"")</f>
        <v/>
      </c>
      <c r="Z99" s="213" t="str">
        <f>IFERROR(VLOOKUP(TableHandbook[[#This Row],[UDC]],TableMCGLOBL2[],7,FALSE),"")</f>
        <v/>
      </c>
      <c r="AA99" s="211" t="str">
        <f>IFERROR(VLOOKUP(TableHandbook[[#This Row],[UDC]],TableMCGLOBL[],7,FALSE),"")</f>
        <v/>
      </c>
      <c r="AB99" s="211" t="str">
        <f>IFERROR(VLOOKUP(TableHandbook[[#This Row],[UDC]],TableSTRPGLOBL[],7,FALSE),"")</f>
        <v/>
      </c>
      <c r="AC99" s="211" t="str">
        <f>IFERROR(VLOOKUP(TableHandbook[[#This Row],[UDC]],TableSTRPHRIGT[],7,FALSE),"")</f>
        <v/>
      </c>
      <c r="AD99" s="211" t="str">
        <f>IFERROR(VLOOKUP(TableHandbook[[#This Row],[UDC]],TableSTRPINTRN[],7,FALSE),"")</f>
        <v/>
      </c>
      <c r="AE99" s="211" t="str">
        <f>IFERROR(VLOOKUP(TableHandbook[[#This Row],[UDC]],TableGCGLOBL[],7,FALSE),"")</f>
        <v/>
      </c>
      <c r="AF99" s="213" t="str">
        <f>IFERROR(VLOOKUP(TableHandbook[[#This Row],[UDC]],TableMCINTREL[],7,FALSE),"")</f>
        <v/>
      </c>
      <c r="AG99" s="211" t="str">
        <f>IFERROR(VLOOKUP(TableHandbook[[#This Row],[UDC]],TableMCINTSEC[],7,FALSE),"")</f>
        <v/>
      </c>
      <c r="AH99" s="211" t="str">
        <f>IFERROR(VLOOKUP(TableHandbook[[#This Row],[UDC]],TableGDINTSEC[],7,FALSE),"")</f>
        <v/>
      </c>
      <c r="AI99" s="211" t="str">
        <f>IFERROR(VLOOKUP(TableHandbook[[#This Row],[UDC]],TableGCINTSEC[],7,FALSE),"")</f>
        <v/>
      </c>
      <c r="AJ99" s="211" t="str">
        <f>IFERROR(VLOOKUP(TableHandbook[[#This Row],[UDC]],TableGCINTELL[],7,FALSE),"")</f>
        <v/>
      </c>
      <c r="AK99" s="211" t="str">
        <f>IFERROR(VLOOKUP(TableHandbook[[#This Row],[UDC]],TableGCIPCSEC[],7,FALSE),"")</f>
        <v/>
      </c>
    </row>
    <row r="100" spans="1:37" x14ac:dyDescent="0.3">
      <c r="A100" s="2" t="s">
        <v>521</v>
      </c>
      <c r="B100" s="3">
        <v>3</v>
      </c>
      <c r="C100" s="3"/>
      <c r="D100" s="209" t="s">
        <v>522</v>
      </c>
      <c r="E100" s="3">
        <v>25</v>
      </c>
      <c r="F100" s="149" t="s">
        <v>108</v>
      </c>
      <c r="G100" s="96" t="str">
        <f>IFERROR(IF(VLOOKUP(TableHandbook[[#This Row],[UDC]],TableAvailabilities[],2,FALSE)&gt;0,"Y",""),"")</f>
        <v/>
      </c>
      <c r="H100" s="96" t="str">
        <f>IFERROR(IF(VLOOKUP(TableHandbook[[#This Row],[UDC]],TableAvailabilities[],3,FALSE)&gt;0,"Y",""),"")</f>
        <v/>
      </c>
      <c r="I100" s="96" t="str">
        <f>IFERROR(IF(VLOOKUP(TableHandbook[[#This Row],[UDC]],TableAvailabilities[],4,FALSE)&gt;0,"Y",""),"")</f>
        <v/>
      </c>
      <c r="J100" s="96" t="str">
        <f>IFERROR(IF(VLOOKUP(TableHandbook[[#This Row],[UDC]],TableAvailabilities[],5,FALSE)&gt;0,"Y",""),"")</f>
        <v/>
      </c>
      <c r="K100" s="209" t="s">
        <v>436</v>
      </c>
      <c r="L100" s="213" t="str">
        <f>IFERROR(VLOOKUP(TableHandbook[[#This Row],[UDC]],TableMCARTS[],7,FALSE),"")</f>
        <v/>
      </c>
      <c r="M100" s="211" t="str">
        <f>IFERROR(VLOOKUP(TableHandbook[[#This Row],[UDC]],TableMJRPCWRIT[],7,FALSE),"")</f>
        <v/>
      </c>
      <c r="N100" s="211" t="str">
        <f>IFERROR(VLOOKUP(TableHandbook[[#This Row],[UDC]],TableMJRPDGCMS[],7,FALSE),"")</f>
        <v/>
      </c>
      <c r="O100" s="211" t="str">
        <f>IFERROR(VLOOKUP(TableHandbook[[#This Row],[UDC]],TableMJRPFINAR[],7,FALSE),"")</f>
        <v/>
      </c>
      <c r="P100" s="211" t="str">
        <f>IFERROR(VLOOKUP(TableHandbook[[#This Row],[UDC]],TableMJRPPWRIT[],7,FALSE),"")</f>
        <v/>
      </c>
      <c r="Q100" s="211" t="str">
        <f>IFERROR(VLOOKUP(TableHandbook[[#This Row],[UDC]],TableMJRPSCRAR[],7,FALSE),"")</f>
        <v/>
      </c>
      <c r="R100" s="213" t="str">
        <f>IFERROR(VLOOKUP(TableHandbook[[#This Row],[UDC]],TableMCMMJRG[],7,FALSE),"")</f>
        <v/>
      </c>
      <c r="S100" s="211" t="str">
        <f>IFERROR(VLOOKUP(TableHandbook[[#This Row],[UDC]],TableMCMMJRN[],7,FALSE),"")</f>
        <v/>
      </c>
      <c r="T100" s="211" t="str">
        <f>IFERROR(VLOOKUP(TableHandbook[[#This Row],[UDC]],TableGDMMJRN[],7,FALSE),"")</f>
        <v/>
      </c>
      <c r="U100" s="211" t="str">
        <f>IFERROR(VLOOKUP(TableHandbook[[#This Row],[UDC]],TableGCMMJRN[],7,FALSE),"")</f>
        <v/>
      </c>
      <c r="V100" s="213" t="str">
        <f>IFERROR(VLOOKUP(TableHandbook[[#This Row],[UDC]],TableMCHRIGLO[],7,FALSE),"")</f>
        <v/>
      </c>
      <c r="W100" s="211" t="str">
        <f>IFERROR(VLOOKUP(TableHandbook[[#This Row],[UDC]],TableMCHRIGHT[],7,FALSE),"")</f>
        <v/>
      </c>
      <c r="X100" s="211" t="str">
        <f>IFERROR(VLOOKUP(TableHandbook[[#This Row],[UDC]],TableGDHRIGHT[],7,FALSE),"")</f>
        <v/>
      </c>
      <c r="Y100" s="211" t="str">
        <f>IFERROR(VLOOKUP(TableHandbook[[#This Row],[UDC]],TableGCHRIGHT[],7,FALSE),"")</f>
        <v/>
      </c>
      <c r="Z100" s="213" t="str">
        <f>IFERROR(VLOOKUP(TableHandbook[[#This Row],[UDC]],TableMCGLOBL2[],7,FALSE),"")</f>
        <v/>
      </c>
      <c r="AA100" s="211" t="str">
        <f>IFERROR(VLOOKUP(TableHandbook[[#This Row],[UDC]],TableMCGLOBL[],7,FALSE),"")</f>
        <v/>
      </c>
      <c r="AB100" s="211" t="str">
        <f>IFERROR(VLOOKUP(TableHandbook[[#This Row],[UDC]],TableSTRPGLOBL[],7,FALSE),"")</f>
        <v/>
      </c>
      <c r="AC100" s="211" t="str">
        <f>IFERROR(VLOOKUP(TableHandbook[[#This Row],[UDC]],TableSTRPHRIGT[],7,FALSE),"")</f>
        <v/>
      </c>
      <c r="AD100" s="211" t="str">
        <f>IFERROR(VLOOKUP(TableHandbook[[#This Row],[UDC]],TableSTRPINTRN[],7,FALSE),"")</f>
        <v/>
      </c>
      <c r="AE100" s="211" t="str">
        <f>IFERROR(VLOOKUP(TableHandbook[[#This Row],[UDC]],TableGCGLOBL[],7,FALSE),"")</f>
        <v/>
      </c>
      <c r="AF100" s="213" t="str">
        <f>IFERROR(VLOOKUP(TableHandbook[[#This Row],[UDC]],TableMCINTREL[],7,FALSE),"")</f>
        <v/>
      </c>
      <c r="AG100" s="211" t="str">
        <f>IFERROR(VLOOKUP(TableHandbook[[#This Row],[UDC]],TableMCINTSEC[],7,FALSE),"")</f>
        <v/>
      </c>
      <c r="AH100" s="211" t="str">
        <f>IFERROR(VLOOKUP(TableHandbook[[#This Row],[UDC]],TableGDINTSEC[],7,FALSE),"")</f>
        <v/>
      </c>
      <c r="AI100" s="211" t="str">
        <f>IFERROR(VLOOKUP(TableHandbook[[#This Row],[UDC]],TableGCINTSEC[],7,FALSE),"")</f>
        <v/>
      </c>
      <c r="AJ100" s="211" t="str">
        <f>IFERROR(VLOOKUP(TableHandbook[[#This Row],[UDC]],TableGCINTELL[],7,FALSE),"")</f>
        <v/>
      </c>
      <c r="AK100" s="211" t="str">
        <f>IFERROR(VLOOKUP(TableHandbook[[#This Row],[UDC]],TableGCIPCSEC[],7,FALSE),"")</f>
        <v/>
      </c>
    </row>
    <row r="101" spans="1:37" x14ac:dyDescent="0.3">
      <c r="A101" s="2" t="s">
        <v>304</v>
      </c>
      <c r="B101" s="3">
        <v>3</v>
      </c>
      <c r="C101" s="3"/>
      <c r="D101" s="209" t="s">
        <v>523</v>
      </c>
      <c r="E101" s="3">
        <v>25</v>
      </c>
      <c r="F101" s="149" t="s">
        <v>108</v>
      </c>
      <c r="G101" s="96" t="str">
        <f>IFERROR(IF(VLOOKUP(TableHandbook[[#This Row],[UDC]],TableAvailabilities[],2,FALSE)&gt;0,"Y",""),"")</f>
        <v>Y</v>
      </c>
      <c r="H101" s="96" t="str">
        <f>IFERROR(IF(VLOOKUP(TableHandbook[[#This Row],[UDC]],TableAvailabilities[],3,FALSE)&gt;0,"Y",""),"")</f>
        <v/>
      </c>
      <c r="I101" s="96" t="str">
        <f>IFERROR(IF(VLOOKUP(TableHandbook[[#This Row],[UDC]],TableAvailabilities[],4,FALSE)&gt;0,"Y",""),"")</f>
        <v/>
      </c>
      <c r="J101" s="96" t="str">
        <f>IFERROR(IF(VLOOKUP(TableHandbook[[#This Row],[UDC]],TableAvailabilities[],5,FALSE)&gt;0,"Y",""),"")</f>
        <v/>
      </c>
      <c r="K101" s="209"/>
      <c r="L101" s="213" t="str">
        <f>IFERROR(VLOOKUP(TableHandbook[[#This Row],[UDC]],TableMCARTS[],7,FALSE),"")</f>
        <v/>
      </c>
      <c r="M101" s="211" t="str">
        <f>IFERROR(VLOOKUP(TableHandbook[[#This Row],[UDC]],TableMJRPCWRIT[],7,FALSE),"")</f>
        <v/>
      </c>
      <c r="N101" s="211" t="str">
        <f>IFERROR(VLOOKUP(TableHandbook[[#This Row],[UDC]],TableMJRPDGCMS[],7,FALSE),"")</f>
        <v/>
      </c>
      <c r="O101" s="211" t="str">
        <f>IFERROR(VLOOKUP(TableHandbook[[#This Row],[UDC]],TableMJRPFINAR[],7,FALSE),"")</f>
        <v/>
      </c>
      <c r="P101" s="211" t="str">
        <f>IFERROR(VLOOKUP(TableHandbook[[#This Row],[UDC]],TableMJRPPWRIT[],7,FALSE),"")</f>
        <v/>
      </c>
      <c r="Q101" s="211" t="str">
        <f>IFERROR(VLOOKUP(TableHandbook[[#This Row],[UDC]],TableMJRPSCRAR[],7,FALSE),"")</f>
        <v/>
      </c>
      <c r="R101" s="213" t="str">
        <f>IFERROR(VLOOKUP(TableHandbook[[#This Row],[UDC]],TableMCMMJRG[],7,FALSE),"")</f>
        <v>Core</v>
      </c>
      <c r="S101" s="211" t="str">
        <f>IFERROR(VLOOKUP(TableHandbook[[#This Row],[UDC]],TableMCMMJRN[],7,FALSE),"")</f>
        <v>Core</v>
      </c>
      <c r="T101" s="211" t="str">
        <f>IFERROR(VLOOKUP(TableHandbook[[#This Row],[UDC]],TableGDMMJRN[],7,FALSE),"")</f>
        <v>Core</v>
      </c>
      <c r="U101" s="211" t="str">
        <f>IFERROR(VLOOKUP(TableHandbook[[#This Row],[UDC]],TableGCMMJRN[],7,FALSE),"")</f>
        <v>Core</v>
      </c>
      <c r="V101" s="213" t="str">
        <f>IFERROR(VLOOKUP(TableHandbook[[#This Row],[UDC]],TableMCHRIGLO[],7,FALSE),"")</f>
        <v/>
      </c>
      <c r="W101" s="211" t="str">
        <f>IFERROR(VLOOKUP(TableHandbook[[#This Row],[UDC]],TableMCHRIGHT[],7,FALSE),"")</f>
        <v/>
      </c>
      <c r="X101" s="211" t="str">
        <f>IFERROR(VLOOKUP(TableHandbook[[#This Row],[UDC]],TableGDHRIGHT[],7,FALSE),"")</f>
        <v/>
      </c>
      <c r="Y101" s="211" t="str">
        <f>IFERROR(VLOOKUP(TableHandbook[[#This Row],[UDC]],TableGCHRIGHT[],7,FALSE),"")</f>
        <v/>
      </c>
      <c r="Z101" s="213" t="str">
        <f>IFERROR(VLOOKUP(TableHandbook[[#This Row],[UDC]],TableMCGLOBL2[],7,FALSE),"")</f>
        <v/>
      </c>
      <c r="AA101" s="211" t="str">
        <f>IFERROR(VLOOKUP(TableHandbook[[#This Row],[UDC]],TableMCGLOBL[],7,FALSE),"")</f>
        <v/>
      </c>
      <c r="AB101" s="211" t="str">
        <f>IFERROR(VLOOKUP(TableHandbook[[#This Row],[UDC]],TableSTRPGLOBL[],7,FALSE),"")</f>
        <v/>
      </c>
      <c r="AC101" s="211" t="str">
        <f>IFERROR(VLOOKUP(TableHandbook[[#This Row],[UDC]],TableSTRPHRIGT[],7,FALSE),"")</f>
        <v/>
      </c>
      <c r="AD101" s="211" t="str">
        <f>IFERROR(VLOOKUP(TableHandbook[[#This Row],[UDC]],TableSTRPINTRN[],7,FALSE),"")</f>
        <v/>
      </c>
      <c r="AE101" s="211" t="str">
        <f>IFERROR(VLOOKUP(TableHandbook[[#This Row],[UDC]],TableGCGLOBL[],7,FALSE),"")</f>
        <v/>
      </c>
      <c r="AF101" s="213" t="str">
        <f>IFERROR(VLOOKUP(TableHandbook[[#This Row],[UDC]],TableMCINTREL[],7,FALSE),"")</f>
        <v/>
      </c>
      <c r="AG101" s="211" t="str">
        <f>IFERROR(VLOOKUP(TableHandbook[[#This Row],[UDC]],TableMCINTSEC[],7,FALSE),"")</f>
        <v/>
      </c>
      <c r="AH101" s="211" t="str">
        <f>IFERROR(VLOOKUP(TableHandbook[[#This Row],[UDC]],TableGDINTSEC[],7,FALSE),"")</f>
        <v/>
      </c>
      <c r="AI101" s="211" t="str">
        <f>IFERROR(VLOOKUP(TableHandbook[[#This Row],[UDC]],TableGCINTSEC[],7,FALSE),"")</f>
        <v/>
      </c>
      <c r="AJ101" s="211" t="str">
        <f>IFERROR(VLOOKUP(TableHandbook[[#This Row],[UDC]],TableGCINTELL[],7,FALSE),"")</f>
        <v/>
      </c>
      <c r="AK101" s="211" t="str">
        <f>IFERROR(VLOOKUP(TableHandbook[[#This Row],[UDC]],TableGCIPCSEC[],7,FALSE),"")</f>
        <v/>
      </c>
    </row>
    <row r="102" spans="1:37" x14ac:dyDescent="0.3">
      <c r="A102" s="2" t="s">
        <v>306</v>
      </c>
      <c r="B102" s="3">
        <v>1</v>
      </c>
      <c r="C102" s="3"/>
      <c r="D102" s="209" t="s">
        <v>524</v>
      </c>
      <c r="E102" s="3">
        <v>25</v>
      </c>
      <c r="F102" s="149" t="s">
        <v>108</v>
      </c>
      <c r="G102" s="96" t="str">
        <f>IFERROR(IF(VLOOKUP(TableHandbook[[#This Row],[UDC]],TableAvailabilities[],2,FALSE)&gt;0,"Y",""),"")</f>
        <v/>
      </c>
      <c r="H102" s="96" t="str">
        <f>IFERROR(IF(VLOOKUP(TableHandbook[[#This Row],[UDC]],TableAvailabilities[],3,FALSE)&gt;0,"Y",""),"")</f>
        <v/>
      </c>
      <c r="I102" s="96" t="str">
        <f>IFERROR(IF(VLOOKUP(TableHandbook[[#This Row],[UDC]],TableAvailabilities[],4,FALSE)&gt;0,"Y",""),"")</f>
        <v>Y</v>
      </c>
      <c r="J102" s="96" t="str">
        <f>IFERROR(IF(VLOOKUP(TableHandbook[[#This Row],[UDC]],TableAvailabilities[],5,FALSE)&gt;0,"Y",""),"")</f>
        <v/>
      </c>
      <c r="K102" s="209"/>
      <c r="L102" s="213" t="str">
        <f>IFERROR(VLOOKUP(TableHandbook[[#This Row],[UDC]],TableMCARTS[],7,FALSE),"")</f>
        <v/>
      </c>
      <c r="M102" s="211" t="str">
        <f>IFERROR(VLOOKUP(TableHandbook[[#This Row],[UDC]],TableMJRPCWRIT[],7,FALSE),"")</f>
        <v/>
      </c>
      <c r="N102" s="211" t="str">
        <f>IFERROR(VLOOKUP(TableHandbook[[#This Row],[UDC]],TableMJRPDGCMS[],7,FALSE),"")</f>
        <v/>
      </c>
      <c r="O102" s="211" t="str">
        <f>IFERROR(VLOOKUP(TableHandbook[[#This Row],[UDC]],TableMJRPFINAR[],7,FALSE),"")</f>
        <v/>
      </c>
      <c r="P102" s="211" t="str">
        <f>IFERROR(VLOOKUP(TableHandbook[[#This Row],[UDC]],TableMJRPPWRIT[],7,FALSE),"")</f>
        <v/>
      </c>
      <c r="Q102" s="211" t="str">
        <f>IFERROR(VLOOKUP(TableHandbook[[#This Row],[UDC]],TableMJRPSCRAR[],7,FALSE),"")</f>
        <v/>
      </c>
      <c r="R102" s="213" t="str">
        <f>IFERROR(VLOOKUP(TableHandbook[[#This Row],[UDC]],TableMCMMJRG[],7,FALSE),"")</f>
        <v>Core</v>
      </c>
      <c r="S102" s="211" t="str">
        <f>IFERROR(VLOOKUP(TableHandbook[[#This Row],[UDC]],TableMCMMJRN[],7,FALSE),"")</f>
        <v>Core</v>
      </c>
      <c r="T102" s="211" t="str">
        <f>IFERROR(VLOOKUP(TableHandbook[[#This Row],[UDC]],TableGDMMJRN[],7,FALSE),"")</f>
        <v>Core</v>
      </c>
      <c r="U102" s="211" t="str">
        <f>IFERROR(VLOOKUP(TableHandbook[[#This Row],[UDC]],TableGCMMJRN[],7,FALSE),"")</f>
        <v/>
      </c>
      <c r="V102" s="213" t="str">
        <f>IFERROR(VLOOKUP(TableHandbook[[#This Row],[UDC]],TableMCHRIGLO[],7,FALSE),"")</f>
        <v/>
      </c>
      <c r="W102" s="211" t="str">
        <f>IFERROR(VLOOKUP(TableHandbook[[#This Row],[UDC]],TableMCHRIGHT[],7,FALSE),"")</f>
        <v/>
      </c>
      <c r="X102" s="211" t="str">
        <f>IFERROR(VLOOKUP(TableHandbook[[#This Row],[UDC]],TableGDHRIGHT[],7,FALSE),"")</f>
        <v/>
      </c>
      <c r="Y102" s="211" t="str">
        <f>IFERROR(VLOOKUP(TableHandbook[[#This Row],[UDC]],TableGCHRIGHT[],7,FALSE),"")</f>
        <v/>
      </c>
      <c r="Z102" s="213" t="str">
        <f>IFERROR(VLOOKUP(TableHandbook[[#This Row],[UDC]],TableMCGLOBL2[],7,FALSE),"")</f>
        <v/>
      </c>
      <c r="AA102" s="211" t="str">
        <f>IFERROR(VLOOKUP(TableHandbook[[#This Row],[UDC]],TableMCGLOBL[],7,FALSE),"")</f>
        <v/>
      </c>
      <c r="AB102" s="211" t="str">
        <f>IFERROR(VLOOKUP(TableHandbook[[#This Row],[UDC]],TableSTRPGLOBL[],7,FALSE),"")</f>
        <v/>
      </c>
      <c r="AC102" s="211" t="str">
        <f>IFERROR(VLOOKUP(TableHandbook[[#This Row],[UDC]],TableSTRPHRIGT[],7,FALSE),"")</f>
        <v/>
      </c>
      <c r="AD102" s="211" t="str">
        <f>IFERROR(VLOOKUP(TableHandbook[[#This Row],[UDC]],TableSTRPINTRN[],7,FALSE),"")</f>
        <v/>
      </c>
      <c r="AE102" s="211" t="str">
        <f>IFERROR(VLOOKUP(TableHandbook[[#This Row],[UDC]],TableGCGLOBL[],7,FALSE),"")</f>
        <v/>
      </c>
      <c r="AF102" s="213" t="str">
        <f>IFERROR(VLOOKUP(TableHandbook[[#This Row],[UDC]],TableMCINTREL[],7,FALSE),"")</f>
        <v/>
      </c>
      <c r="AG102" s="211" t="str">
        <f>IFERROR(VLOOKUP(TableHandbook[[#This Row],[UDC]],TableMCINTSEC[],7,FALSE),"")</f>
        <v/>
      </c>
      <c r="AH102" s="211" t="str">
        <f>IFERROR(VLOOKUP(TableHandbook[[#This Row],[UDC]],TableGDINTSEC[],7,FALSE),"")</f>
        <v/>
      </c>
      <c r="AI102" s="211" t="str">
        <f>IFERROR(VLOOKUP(TableHandbook[[#This Row],[UDC]],TableGCINTSEC[],7,FALSE),"")</f>
        <v/>
      </c>
      <c r="AJ102" s="211" t="str">
        <f>IFERROR(VLOOKUP(TableHandbook[[#This Row],[UDC]],TableGCINTELL[],7,FALSE),"")</f>
        <v/>
      </c>
      <c r="AK102" s="211" t="str">
        <f>IFERROR(VLOOKUP(TableHandbook[[#This Row],[UDC]],TableGCIPCSEC[],7,FALSE),"")</f>
        <v/>
      </c>
    </row>
    <row r="103" spans="1:37" x14ac:dyDescent="0.3">
      <c r="A103" s="231" t="s">
        <v>312</v>
      </c>
      <c r="B103" s="3">
        <v>3</v>
      </c>
      <c r="C103" s="3"/>
      <c r="D103" s="209" t="s">
        <v>525</v>
      </c>
      <c r="E103" s="3">
        <v>25</v>
      </c>
      <c r="F103" s="245" t="s">
        <v>526</v>
      </c>
      <c r="G103" s="96" t="str">
        <f>IFERROR(IF(VLOOKUP(TableHandbook[[#This Row],[UDC]],TableAvailabilities[],2,FALSE)&gt;0,"Y",""),"")</f>
        <v>Y</v>
      </c>
      <c r="H103" s="96" t="str">
        <f>IFERROR(IF(VLOOKUP(TableHandbook[[#This Row],[UDC]],TableAvailabilities[],3,FALSE)&gt;0,"Y",""),"")</f>
        <v/>
      </c>
      <c r="I103" s="96" t="str">
        <f>IFERROR(IF(VLOOKUP(TableHandbook[[#This Row],[UDC]],TableAvailabilities[],4,FALSE)&gt;0,"Y",""),"")</f>
        <v/>
      </c>
      <c r="J103" s="96" t="str">
        <f>IFERROR(IF(VLOOKUP(TableHandbook[[#This Row],[UDC]],TableAvailabilities[],5,FALSE)&gt;0,"Y",""),"")</f>
        <v/>
      </c>
      <c r="K103" s="209" t="s">
        <v>433</v>
      </c>
      <c r="L103" s="213" t="str">
        <f>IFERROR(VLOOKUP(TableHandbook[[#This Row],[UDC]],TableMCARTS[],7,FALSE),"")</f>
        <v/>
      </c>
      <c r="M103" s="211" t="str">
        <f>IFERROR(VLOOKUP(TableHandbook[[#This Row],[UDC]],TableMJRPCWRIT[],7,FALSE),"")</f>
        <v/>
      </c>
      <c r="N103" s="211" t="str">
        <f>IFERROR(VLOOKUP(TableHandbook[[#This Row],[UDC]],TableMJRPDGCMS[],7,FALSE),"")</f>
        <v/>
      </c>
      <c r="O103" s="211" t="str">
        <f>IFERROR(VLOOKUP(TableHandbook[[#This Row],[UDC]],TableMJRPFINAR[],7,FALSE),"")</f>
        <v/>
      </c>
      <c r="P103" s="211" t="str">
        <f>IFERROR(VLOOKUP(TableHandbook[[#This Row],[UDC]],TableMJRPPWRIT[],7,FALSE),"")</f>
        <v/>
      </c>
      <c r="Q103" s="211" t="str">
        <f>IFERROR(VLOOKUP(TableHandbook[[#This Row],[UDC]],TableMJRPSCRAR[],7,FALSE),"")</f>
        <v/>
      </c>
      <c r="R103" s="213" t="str">
        <f>IFERROR(VLOOKUP(TableHandbook[[#This Row],[UDC]],TableMCMMJRG[],7,FALSE),"")</f>
        <v>Core</v>
      </c>
      <c r="S103" s="211" t="str">
        <f>IFERROR(VLOOKUP(TableHandbook[[#This Row],[UDC]],TableMCMMJRN[],7,FALSE),"")</f>
        <v>Core</v>
      </c>
      <c r="T103" s="211" t="str">
        <f>IFERROR(VLOOKUP(TableHandbook[[#This Row],[UDC]],TableGDMMJRN[],7,FALSE),"")</f>
        <v/>
      </c>
      <c r="U103" s="211" t="str">
        <f>IFERROR(VLOOKUP(TableHandbook[[#This Row],[UDC]],TableGCMMJRN[],7,FALSE),"")</f>
        <v/>
      </c>
      <c r="V103" s="213" t="str">
        <f>IFERROR(VLOOKUP(TableHandbook[[#This Row],[UDC]],TableMCHRIGLO[],7,FALSE),"")</f>
        <v/>
      </c>
      <c r="W103" s="211" t="str">
        <f>IFERROR(VLOOKUP(TableHandbook[[#This Row],[UDC]],TableMCHRIGHT[],7,FALSE),"")</f>
        <v/>
      </c>
      <c r="X103" s="211" t="str">
        <f>IFERROR(VLOOKUP(TableHandbook[[#This Row],[UDC]],TableGDHRIGHT[],7,FALSE),"")</f>
        <v/>
      </c>
      <c r="Y103" s="211" t="str">
        <f>IFERROR(VLOOKUP(TableHandbook[[#This Row],[UDC]],TableGCHRIGHT[],7,FALSE),"")</f>
        <v/>
      </c>
      <c r="Z103" s="213" t="str">
        <f>IFERROR(VLOOKUP(TableHandbook[[#This Row],[UDC]],TableMCGLOBL2[],7,FALSE),"")</f>
        <v/>
      </c>
      <c r="AA103" s="211" t="str">
        <f>IFERROR(VLOOKUP(TableHandbook[[#This Row],[UDC]],TableMCGLOBL[],7,FALSE),"")</f>
        <v/>
      </c>
      <c r="AB103" s="211" t="str">
        <f>IFERROR(VLOOKUP(TableHandbook[[#This Row],[UDC]],TableSTRPGLOBL[],7,FALSE),"")</f>
        <v/>
      </c>
      <c r="AC103" s="211" t="str">
        <f>IFERROR(VLOOKUP(TableHandbook[[#This Row],[UDC]],TableSTRPHRIGT[],7,FALSE),"")</f>
        <v/>
      </c>
      <c r="AD103" s="211" t="str">
        <f>IFERROR(VLOOKUP(TableHandbook[[#This Row],[UDC]],TableSTRPINTRN[],7,FALSE),"")</f>
        <v/>
      </c>
      <c r="AE103" s="211" t="str">
        <f>IFERROR(VLOOKUP(TableHandbook[[#This Row],[UDC]],TableGCGLOBL[],7,FALSE),"")</f>
        <v/>
      </c>
      <c r="AF103" s="213" t="str">
        <f>IFERROR(VLOOKUP(TableHandbook[[#This Row],[UDC]],TableMCINTREL[],7,FALSE),"")</f>
        <v/>
      </c>
      <c r="AG103" s="211" t="str">
        <f>IFERROR(VLOOKUP(TableHandbook[[#This Row],[UDC]],TableMCINTSEC[],7,FALSE),"")</f>
        <v/>
      </c>
      <c r="AH103" s="211" t="str">
        <f>IFERROR(VLOOKUP(TableHandbook[[#This Row],[UDC]],TableGDINTSEC[],7,FALSE),"")</f>
        <v/>
      </c>
      <c r="AI103" s="211" t="str">
        <f>IFERROR(VLOOKUP(TableHandbook[[#This Row],[UDC]],TableGCINTSEC[],7,FALSE),"")</f>
        <v/>
      </c>
      <c r="AJ103" s="211" t="str">
        <f>IFERROR(VLOOKUP(TableHandbook[[#This Row],[UDC]],TableGCINTELL[],7,FALSE),"")</f>
        <v/>
      </c>
      <c r="AK103" s="211" t="str">
        <f>IFERROR(VLOOKUP(TableHandbook[[#This Row],[UDC]],TableGCIPCSEC[],7,FALSE),"")</f>
        <v/>
      </c>
    </row>
    <row r="104" spans="1:37" x14ac:dyDescent="0.3">
      <c r="A104" s="2" t="s">
        <v>527</v>
      </c>
      <c r="B104" s="3">
        <v>2</v>
      </c>
      <c r="C104" s="3"/>
      <c r="D104" s="209" t="s">
        <v>528</v>
      </c>
      <c r="E104" s="3">
        <v>25</v>
      </c>
      <c r="F104" s="149" t="s">
        <v>526</v>
      </c>
      <c r="G104" s="96" t="str">
        <f>IFERROR(IF(VLOOKUP(TableHandbook[[#This Row],[UDC]],TableAvailabilities[],2,FALSE)&gt;0,"Y",""),"")</f>
        <v/>
      </c>
      <c r="H104" s="96" t="str">
        <f>IFERROR(IF(VLOOKUP(TableHandbook[[#This Row],[UDC]],TableAvailabilities[],3,FALSE)&gt;0,"Y",""),"")</f>
        <v/>
      </c>
      <c r="I104" s="96" t="str">
        <f>IFERROR(IF(VLOOKUP(TableHandbook[[#This Row],[UDC]],TableAvailabilities[],4,FALSE)&gt;0,"Y",""),"")</f>
        <v/>
      </c>
      <c r="J104" s="96" t="str">
        <f>IFERROR(IF(VLOOKUP(TableHandbook[[#This Row],[UDC]],TableAvailabilities[],5,FALSE)&gt;0,"Y",""),"")</f>
        <v/>
      </c>
      <c r="K104" s="209" t="s">
        <v>436</v>
      </c>
      <c r="L104" s="213" t="str">
        <f>IFERROR(VLOOKUP(TableHandbook[[#This Row],[UDC]],TableMCARTS[],7,FALSE),"")</f>
        <v/>
      </c>
      <c r="M104" s="211" t="str">
        <f>IFERROR(VLOOKUP(TableHandbook[[#This Row],[UDC]],TableMJRPCWRIT[],7,FALSE),"")</f>
        <v/>
      </c>
      <c r="N104" s="211" t="str">
        <f>IFERROR(VLOOKUP(TableHandbook[[#This Row],[UDC]],TableMJRPDGCMS[],7,FALSE),"")</f>
        <v/>
      </c>
      <c r="O104" s="211" t="str">
        <f>IFERROR(VLOOKUP(TableHandbook[[#This Row],[UDC]],TableMJRPFINAR[],7,FALSE),"")</f>
        <v/>
      </c>
      <c r="P104" s="211" t="str">
        <f>IFERROR(VLOOKUP(TableHandbook[[#This Row],[UDC]],TableMJRPPWRIT[],7,FALSE),"")</f>
        <v/>
      </c>
      <c r="Q104" s="211" t="str">
        <f>IFERROR(VLOOKUP(TableHandbook[[#This Row],[UDC]],TableMJRPSCRAR[],7,FALSE),"")</f>
        <v/>
      </c>
      <c r="R104" s="213" t="str">
        <f>IFERROR(VLOOKUP(TableHandbook[[#This Row],[UDC]],TableMCMMJRG[],7,FALSE),"")</f>
        <v/>
      </c>
      <c r="S104" s="211" t="str">
        <f>IFERROR(VLOOKUP(TableHandbook[[#This Row],[UDC]],TableMCMMJRN[],7,FALSE),"")</f>
        <v/>
      </c>
      <c r="T104" s="211" t="str">
        <f>IFERROR(VLOOKUP(TableHandbook[[#This Row],[UDC]],TableGDMMJRN[],7,FALSE),"")</f>
        <v/>
      </c>
      <c r="U104" s="211" t="str">
        <f>IFERROR(VLOOKUP(TableHandbook[[#This Row],[UDC]],TableGCMMJRN[],7,FALSE),"")</f>
        <v/>
      </c>
      <c r="V104" s="213" t="str">
        <f>IFERROR(VLOOKUP(TableHandbook[[#This Row],[UDC]],TableMCHRIGLO[],7,FALSE),"")</f>
        <v/>
      </c>
      <c r="W104" s="211" t="str">
        <f>IFERROR(VLOOKUP(TableHandbook[[#This Row],[UDC]],TableMCHRIGHT[],7,FALSE),"")</f>
        <v/>
      </c>
      <c r="X104" s="211" t="str">
        <f>IFERROR(VLOOKUP(TableHandbook[[#This Row],[UDC]],TableGDHRIGHT[],7,FALSE),"")</f>
        <v/>
      </c>
      <c r="Y104" s="211" t="str">
        <f>IFERROR(VLOOKUP(TableHandbook[[#This Row],[UDC]],TableGCHRIGHT[],7,FALSE),"")</f>
        <v/>
      </c>
      <c r="Z104" s="213" t="str">
        <f>IFERROR(VLOOKUP(TableHandbook[[#This Row],[UDC]],TableMCGLOBL2[],7,FALSE),"")</f>
        <v/>
      </c>
      <c r="AA104" s="211" t="str">
        <f>IFERROR(VLOOKUP(TableHandbook[[#This Row],[UDC]],TableMCGLOBL[],7,FALSE),"")</f>
        <v/>
      </c>
      <c r="AB104" s="211" t="str">
        <f>IFERROR(VLOOKUP(TableHandbook[[#This Row],[UDC]],TableSTRPGLOBL[],7,FALSE),"")</f>
        <v/>
      </c>
      <c r="AC104" s="211" t="str">
        <f>IFERROR(VLOOKUP(TableHandbook[[#This Row],[UDC]],TableSTRPHRIGT[],7,FALSE),"")</f>
        <v/>
      </c>
      <c r="AD104" s="211" t="str">
        <f>IFERROR(VLOOKUP(TableHandbook[[#This Row],[UDC]],TableSTRPINTRN[],7,FALSE),"")</f>
        <v/>
      </c>
      <c r="AE104" s="211" t="str">
        <f>IFERROR(VLOOKUP(TableHandbook[[#This Row],[UDC]],TableGCGLOBL[],7,FALSE),"")</f>
        <v/>
      </c>
      <c r="AF104" s="213" t="str">
        <f>IFERROR(VLOOKUP(TableHandbook[[#This Row],[UDC]],TableMCINTREL[],7,FALSE),"")</f>
        <v/>
      </c>
      <c r="AG104" s="211" t="str">
        <f>IFERROR(VLOOKUP(TableHandbook[[#This Row],[UDC]],TableMCINTSEC[],7,FALSE),"")</f>
        <v/>
      </c>
      <c r="AH104" s="211" t="str">
        <f>IFERROR(VLOOKUP(TableHandbook[[#This Row],[UDC]],TableGDINTSEC[],7,FALSE),"")</f>
        <v/>
      </c>
      <c r="AI104" s="211" t="str">
        <f>IFERROR(VLOOKUP(TableHandbook[[#This Row],[UDC]],TableGCINTSEC[],7,FALSE),"")</f>
        <v/>
      </c>
      <c r="AJ104" s="211" t="str">
        <f>IFERROR(VLOOKUP(TableHandbook[[#This Row],[UDC]],TableGCINTELL[],7,FALSE),"")</f>
        <v/>
      </c>
      <c r="AK104" s="211" t="str">
        <f>IFERROR(VLOOKUP(TableHandbook[[#This Row],[UDC]],TableGCIPCSEC[],7,FALSE),"")</f>
        <v/>
      </c>
    </row>
    <row r="105" spans="1:37" x14ac:dyDescent="0.3">
      <c r="A105" s="231" t="s">
        <v>145</v>
      </c>
      <c r="B105" s="3">
        <v>3</v>
      </c>
      <c r="C105" s="3"/>
      <c r="D105" s="209" t="s">
        <v>170</v>
      </c>
      <c r="E105" s="3">
        <v>400</v>
      </c>
      <c r="F105" s="149"/>
      <c r="G105" s="96" t="str">
        <f>IFERROR(IF(VLOOKUP(TableHandbook[[#This Row],[UDC]],TableAvailabilities[],2,FALSE)&gt;0,"Y",""),"")</f>
        <v/>
      </c>
      <c r="H105" s="96" t="str">
        <f>IFERROR(IF(VLOOKUP(TableHandbook[[#This Row],[UDC]],TableAvailabilities[],3,FALSE)&gt;0,"Y",""),"")</f>
        <v/>
      </c>
      <c r="I105" s="96" t="str">
        <f>IFERROR(IF(VLOOKUP(TableHandbook[[#This Row],[UDC]],TableAvailabilities[],4,FALSE)&gt;0,"Y",""),"")</f>
        <v/>
      </c>
      <c r="J105" s="96" t="str">
        <f>IFERROR(IF(VLOOKUP(TableHandbook[[#This Row],[UDC]],TableAvailabilities[],5,FALSE)&gt;0,"Y",""),"")</f>
        <v/>
      </c>
      <c r="K105" s="209"/>
      <c r="L105" s="213" t="str">
        <f>IFERROR(VLOOKUP(TableHandbook[[#This Row],[UDC]],TableMCARTS[],7,FALSE),"")</f>
        <v>AltCore</v>
      </c>
      <c r="M105" s="211" t="str">
        <f>IFERROR(VLOOKUP(TableHandbook[[#This Row],[UDC]],TableMJRPCWRIT[],7,FALSE),"")</f>
        <v/>
      </c>
      <c r="N105" s="211" t="str">
        <f>IFERROR(VLOOKUP(TableHandbook[[#This Row],[UDC]],TableMJRPDGCMS[],7,FALSE),"")</f>
        <v/>
      </c>
      <c r="O105" s="211" t="str">
        <f>IFERROR(VLOOKUP(TableHandbook[[#This Row],[UDC]],TableMJRPFINAR[],7,FALSE),"")</f>
        <v/>
      </c>
      <c r="P105" s="211" t="str">
        <f>IFERROR(VLOOKUP(TableHandbook[[#This Row],[UDC]],TableMJRPPWRIT[],7,FALSE),"")</f>
        <v/>
      </c>
      <c r="Q105" s="211" t="str">
        <f>IFERROR(VLOOKUP(TableHandbook[[#This Row],[UDC]],TableMJRPSCRAR[],7,FALSE),"")</f>
        <v/>
      </c>
      <c r="R105" s="213" t="str">
        <f>IFERROR(VLOOKUP(TableHandbook[[#This Row],[UDC]],TableMCMMJRG[],7,FALSE),"")</f>
        <v/>
      </c>
      <c r="S105" s="211" t="str">
        <f>IFERROR(VLOOKUP(TableHandbook[[#This Row],[UDC]],TableMCMMJRN[],7,FALSE),"")</f>
        <v/>
      </c>
      <c r="T105" s="211" t="str">
        <f>IFERROR(VLOOKUP(TableHandbook[[#This Row],[UDC]],TableGDMMJRN[],7,FALSE),"")</f>
        <v/>
      </c>
      <c r="U105" s="211" t="str">
        <f>IFERROR(VLOOKUP(TableHandbook[[#This Row],[UDC]],TableGCMMJRN[],7,FALSE),"")</f>
        <v/>
      </c>
      <c r="V105" s="213" t="str">
        <f>IFERROR(VLOOKUP(TableHandbook[[#This Row],[UDC]],TableMCHRIGLO[],7,FALSE),"")</f>
        <v/>
      </c>
      <c r="W105" s="211" t="str">
        <f>IFERROR(VLOOKUP(TableHandbook[[#This Row],[UDC]],TableMCHRIGHT[],7,FALSE),"")</f>
        <v/>
      </c>
      <c r="X105" s="211" t="str">
        <f>IFERROR(VLOOKUP(TableHandbook[[#This Row],[UDC]],TableGDHRIGHT[],7,FALSE),"")</f>
        <v/>
      </c>
      <c r="Y105" s="211" t="str">
        <f>IFERROR(VLOOKUP(TableHandbook[[#This Row],[UDC]],TableGCHRIGHT[],7,FALSE),"")</f>
        <v/>
      </c>
      <c r="Z105" s="213" t="str">
        <f>IFERROR(VLOOKUP(TableHandbook[[#This Row],[UDC]],TableMCGLOBL2[],7,FALSE),"")</f>
        <v/>
      </c>
      <c r="AA105" s="211" t="str">
        <f>IFERROR(VLOOKUP(TableHandbook[[#This Row],[UDC]],TableMCGLOBL[],7,FALSE),"")</f>
        <v/>
      </c>
      <c r="AB105" s="211" t="str">
        <f>IFERROR(VLOOKUP(TableHandbook[[#This Row],[UDC]],TableSTRPGLOBL[],7,FALSE),"")</f>
        <v/>
      </c>
      <c r="AC105" s="211" t="str">
        <f>IFERROR(VLOOKUP(TableHandbook[[#This Row],[UDC]],TableSTRPHRIGT[],7,FALSE),"")</f>
        <v/>
      </c>
      <c r="AD105" s="211" t="str">
        <f>IFERROR(VLOOKUP(TableHandbook[[#This Row],[UDC]],TableSTRPINTRN[],7,FALSE),"")</f>
        <v/>
      </c>
      <c r="AE105" s="211" t="str">
        <f>IFERROR(VLOOKUP(TableHandbook[[#This Row],[UDC]],TableGCGLOBL[],7,FALSE),"")</f>
        <v/>
      </c>
      <c r="AF105" s="213" t="str">
        <f>IFERROR(VLOOKUP(TableHandbook[[#This Row],[UDC]],TableMCINTREL[],7,FALSE),"")</f>
        <v/>
      </c>
      <c r="AG105" s="211" t="str">
        <f>IFERROR(VLOOKUP(TableHandbook[[#This Row],[UDC]],TableMCINTSEC[],7,FALSE),"")</f>
        <v/>
      </c>
      <c r="AH105" s="211" t="str">
        <f>IFERROR(VLOOKUP(TableHandbook[[#This Row],[UDC]],TableGDINTSEC[],7,FALSE),"")</f>
        <v/>
      </c>
      <c r="AI105" s="211" t="str">
        <f>IFERROR(VLOOKUP(TableHandbook[[#This Row],[UDC]],TableGCINTSEC[],7,FALSE),"")</f>
        <v/>
      </c>
      <c r="AJ105" s="211" t="str">
        <f>IFERROR(VLOOKUP(TableHandbook[[#This Row],[UDC]],TableGCINTELL[],7,FALSE),"")</f>
        <v/>
      </c>
      <c r="AK105" s="211" t="str">
        <f>IFERROR(VLOOKUP(TableHandbook[[#This Row],[UDC]],TableGCIPCSEC[],7,FALSE),"")</f>
        <v/>
      </c>
    </row>
    <row r="106" spans="1:37" x14ac:dyDescent="0.3">
      <c r="A106" s="2" t="s">
        <v>529</v>
      </c>
      <c r="B106" s="3">
        <v>1</v>
      </c>
      <c r="C106" s="3"/>
      <c r="D106" s="209" t="s">
        <v>170</v>
      </c>
      <c r="E106" s="3">
        <v>400</v>
      </c>
      <c r="F106" s="149"/>
      <c r="G106" s="96" t="str">
        <f>IFERROR(IF(VLOOKUP(TableHandbook[[#This Row],[UDC]],TableAvailabilities[],2,FALSE)&gt;0,"Y",""),"")</f>
        <v/>
      </c>
      <c r="H106" s="96" t="str">
        <f>IFERROR(IF(VLOOKUP(TableHandbook[[#This Row],[UDC]],TableAvailabilities[],3,FALSE)&gt;0,"Y",""),"")</f>
        <v/>
      </c>
      <c r="I106" s="96" t="str">
        <f>IFERROR(IF(VLOOKUP(TableHandbook[[#This Row],[UDC]],TableAvailabilities[],4,FALSE)&gt;0,"Y",""),"")</f>
        <v/>
      </c>
      <c r="J106" s="96" t="str">
        <f>IFERROR(IF(VLOOKUP(TableHandbook[[#This Row],[UDC]],TableAvailabilities[],5,FALSE)&gt;0,"Y",""),"")</f>
        <v/>
      </c>
      <c r="K106" s="209"/>
      <c r="L106" s="213" t="str">
        <f>IFERROR(VLOOKUP(TableHandbook[[#This Row],[UDC]],TableMCARTS[],7,FALSE),"")</f>
        <v/>
      </c>
      <c r="M106" s="211" t="str">
        <f>IFERROR(VLOOKUP(TableHandbook[[#This Row],[UDC]],TableMJRPCWRIT[],7,FALSE),"")</f>
        <v/>
      </c>
      <c r="N106" s="211" t="str">
        <f>IFERROR(VLOOKUP(TableHandbook[[#This Row],[UDC]],TableMJRPDGCMS[],7,FALSE),"")</f>
        <v/>
      </c>
      <c r="O106" s="211" t="str">
        <f>IFERROR(VLOOKUP(TableHandbook[[#This Row],[UDC]],TableMJRPFINAR[],7,FALSE),"")</f>
        <v/>
      </c>
      <c r="P106" s="211" t="str">
        <f>IFERROR(VLOOKUP(TableHandbook[[#This Row],[UDC]],TableMJRPPWRIT[],7,FALSE),"")</f>
        <v/>
      </c>
      <c r="Q106" s="211" t="str">
        <f>IFERROR(VLOOKUP(TableHandbook[[#This Row],[UDC]],TableMJRPSCRAR[],7,FALSE),"")</f>
        <v/>
      </c>
      <c r="R106" s="213" t="str">
        <f>IFERROR(VLOOKUP(TableHandbook[[#This Row],[UDC]],TableMCMMJRG[],7,FALSE),"")</f>
        <v/>
      </c>
      <c r="S106" s="211" t="str">
        <f>IFERROR(VLOOKUP(TableHandbook[[#This Row],[UDC]],TableMCMMJRN[],7,FALSE),"")</f>
        <v/>
      </c>
      <c r="T106" s="211" t="str">
        <f>IFERROR(VLOOKUP(TableHandbook[[#This Row],[UDC]],TableGDMMJRN[],7,FALSE),"")</f>
        <v/>
      </c>
      <c r="U106" s="211" t="str">
        <f>IFERROR(VLOOKUP(TableHandbook[[#This Row],[UDC]],TableGCMMJRN[],7,FALSE),"")</f>
        <v/>
      </c>
      <c r="V106" s="213" t="str">
        <f>IFERROR(VLOOKUP(TableHandbook[[#This Row],[UDC]],TableMCHRIGLO[],7,FALSE),"")</f>
        <v/>
      </c>
      <c r="W106" s="211" t="str">
        <f>IFERROR(VLOOKUP(TableHandbook[[#This Row],[UDC]],TableMCHRIGHT[],7,FALSE),"")</f>
        <v/>
      </c>
      <c r="X106" s="211" t="str">
        <f>IFERROR(VLOOKUP(TableHandbook[[#This Row],[UDC]],TableGDHRIGHT[],7,FALSE),"")</f>
        <v/>
      </c>
      <c r="Y106" s="211" t="str">
        <f>IFERROR(VLOOKUP(TableHandbook[[#This Row],[UDC]],TableGCHRIGHT[],7,FALSE),"")</f>
        <v/>
      </c>
      <c r="Z106" s="213" t="str">
        <f>IFERROR(VLOOKUP(TableHandbook[[#This Row],[UDC]],TableMCGLOBL2[],7,FALSE),"")</f>
        <v/>
      </c>
      <c r="AA106" s="211" t="str">
        <f>IFERROR(VLOOKUP(TableHandbook[[#This Row],[UDC]],TableMCGLOBL[],7,FALSE),"")</f>
        <v/>
      </c>
      <c r="AB106" s="211" t="str">
        <f>IFERROR(VLOOKUP(TableHandbook[[#This Row],[UDC]],TableSTRPGLOBL[],7,FALSE),"")</f>
        <v/>
      </c>
      <c r="AC106" s="211" t="str">
        <f>IFERROR(VLOOKUP(TableHandbook[[#This Row],[UDC]],TableSTRPHRIGT[],7,FALSE),"")</f>
        <v/>
      </c>
      <c r="AD106" s="211" t="str">
        <f>IFERROR(VLOOKUP(TableHandbook[[#This Row],[UDC]],TableSTRPINTRN[],7,FALSE),"")</f>
        <v/>
      </c>
      <c r="AE106" s="211" t="str">
        <f>IFERROR(VLOOKUP(TableHandbook[[#This Row],[UDC]],TableGCGLOBL[],7,FALSE),"")</f>
        <v/>
      </c>
      <c r="AF106" s="213" t="str">
        <f>IFERROR(VLOOKUP(TableHandbook[[#This Row],[UDC]],TableMCINTREL[],7,FALSE),"")</f>
        <v/>
      </c>
      <c r="AG106" s="211" t="str">
        <f>IFERROR(VLOOKUP(TableHandbook[[#This Row],[UDC]],TableMCINTSEC[],7,FALSE),"")</f>
        <v/>
      </c>
      <c r="AH106" s="211" t="str">
        <f>IFERROR(VLOOKUP(TableHandbook[[#This Row],[UDC]],TableGDINTSEC[],7,FALSE),"")</f>
        <v/>
      </c>
      <c r="AI106" s="211" t="str">
        <f>IFERROR(VLOOKUP(TableHandbook[[#This Row],[UDC]],TableGCINTSEC[],7,FALSE),"")</f>
        <v/>
      </c>
      <c r="AJ106" s="211" t="str">
        <f>IFERROR(VLOOKUP(TableHandbook[[#This Row],[UDC]],TableGCINTELL[],7,FALSE),"")</f>
        <v/>
      </c>
      <c r="AK106" s="211" t="str">
        <f>IFERROR(VLOOKUP(TableHandbook[[#This Row],[UDC]],TableGCIPCSEC[],7,FALSE),"")</f>
        <v/>
      </c>
    </row>
    <row r="107" spans="1:37" x14ac:dyDescent="0.3">
      <c r="A107" s="231" t="s">
        <v>146</v>
      </c>
      <c r="B107" s="3">
        <v>1</v>
      </c>
      <c r="C107" s="3"/>
      <c r="D107" s="209" t="s">
        <v>14</v>
      </c>
      <c r="E107" s="3">
        <v>400</v>
      </c>
      <c r="F107" s="149"/>
      <c r="G107" s="96" t="str">
        <f>IFERROR(IF(VLOOKUP(TableHandbook[[#This Row],[UDC]],TableAvailabilities[],2,FALSE)&gt;0,"Y",""),"")</f>
        <v/>
      </c>
      <c r="H107" s="96" t="str">
        <f>IFERROR(IF(VLOOKUP(TableHandbook[[#This Row],[UDC]],TableAvailabilities[],3,FALSE)&gt;0,"Y",""),"")</f>
        <v/>
      </c>
      <c r="I107" s="96" t="str">
        <f>IFERROR(IF(VLOOKUP(TableHandbook[[#This Row],[UDC]],TableAvailabilities[],4,FALSE)&gt;0,"Y",""),"")</f>
        <v/>
      </c>
      <c r="J107" s="96" t="str">
        <f>IFERROR(IF(VLOOKUP(TableHandbook[[#This Row],[UDC]],TableAvailabilities[],5,FALSE)&gt;0,"Y",""),"")</f>
        <v/>
      </c>
      <c r="K107" s="209"/>
      <c r="L107" s="213" t="str">
        <f>IFERROR(VLOOKUP(TableHandbook[[#This Row],[UDC]],TableMCARTS[],7,FALSE),"")</f>
        <v>AltCore</v>
      </c>
      <c r="M107" s="211" t="str">
        <f>IFERROR(VLOOKUP(TableHandbook[[#This Row],[UDC]],TableMJRPCWRIT[],7,FALSE),"")</f>
        <v/>
      </c>
      <c r="N107" s="211" t="str">
        <f>IFERROR(VLOOKUP(TableHandbook[[#This Row],[UDC]],TableMJRPDGCMS[],7,FALSE),"")</f>
        <v/>
      </c>
      <c r="O107" s="211" t="str">
        <f>IFERROR(VLOOKUP(TableHandbook[[#This Row],[UDC]],TableMJRPFINAR[],7,FALSE),"")</f>
        <v/>
      </c>
      <c r="P107" s="211" t="str">
        <f>IFERROR(VLOOKUP(TableHandbook[[#This Row],[UDC]],TableMJRPPWRIT[],7,FALSE),"")</f>
        <v/>
      </c>
      <c r="Q107" s="211" t="str">
        <f>IFERROR(VLOOKUP(TableHandbook[[#This Row],[UDC]],TableMJRPSCRAR[],7,FALSE),"")</f>
        <v/>
      </c>
      <c r="R107" s="213" t="str">
        <f>IFERROR(VLOOKUP(TableHandbook[[#This Row],[UDC]],TableMCMMJRG[],7,FALSE),"")</f>
        <v/>
      </c>
      <c r="S107" s="211" t="str">
        <f>IFERROR(VLOOKUP(TableHandbook[[#This Row],[UDC]],TableMCMMJRN[],7,FALSE),"")</f>
        <v/>
      </c>
      <c r="T107" s="211" t="str">
        <f>IFERROR(VLOOKUP(TableHandbook[[#This Row],[UDC]],TableGDMMJRN[],7,FALSE),"")</f>
        <v/>
      </c>
      <c r="U107" s="211" t="str">
        <f>IFERROR(VLOOKUP(TableHandbook[[#This Row],[UDC]],TableGCMMJRN[],7,FALSE),"")</f>
        <v/>
      </c>
      <c r="V107" s="213" t="str">
        <f>IFERROR(VLOOKUP(TableHandbook[[#This Row],[UDC]],TableMCHRIGLO[],7,FALSE),"")</f>
        <v/>
      </c>
      <c r="W107" s="211" t="str">
        <f>IFERROR(VLOOKUP(TableHandbook[[#This Row],[UDC]],TableMCHRIGHT[],7,FALSE),"")</f>
        <v/>
      </c>
      <c r="X107" s="211" t="str">
        <f>IFERROR(VLOOKUP(TableHandbook[[#This Row],[UDC]],TableGDHRIGHT[],7,FALSE),"")</f>
        <v/>
      </c>
      <c r="Y107" s="211" t="str">
        <f>IFERROR(VLOOKUP(TableHandbook[[#This Row],[UDC]],TableGCHRIGHT[],7,FALSE),"")</f>
        <v/>
      </c>
      <c r="Z107" s="213" t="str">
        <f>IFERROR(VLOOKUP(TableHandbook[[#This Row],[UDC]],TableMCGLOBL2[],7,FALSE),"")</f>
        <v/>
      </c>
      <c r="AA107" s="211" t="str">
        <f>IFERROR(VLOOKUP(TableHandbook[[#This Row],[UDC]],TableMCGLOBL[],7,FALSE),"")</f>
        <v/>
      </c>
      <c r="AB107" s="211" t="str">
        <f>IFERROR(VLOOKUP(TableHandbook[[#This Row],[UDC]],TableSTRPGLOBL[],7,FALSE),"")</f>
        <v/>
      </c>
      <c r="AC107" s="211" t="str">
        <f>IFERROR(VLOOKUP(TableHandbook[[#This Row],[UDC]],TableSTRPHRIGT[],7,FALSE),"")</f>
        <v/>
      </c>
      <c r="AD107" s="211" t="str">
        <f>IFERROR(VLOOKUP(TableHandbook[[#This Row],[UDC]],TableSTRPINTRN[],7,FALSE),"")</f>
        <v/>
      </c>
      <c r="AE107" s="211" t="str">
        <f>IFERROR(VLOOKUP(TableHandbook[[#This Row],[UDC]],TableGCGLOBL[],7,FALSE),"")</f>
        <v/>
      </c>
      <c r="AF107" s="213" t="str">
        <f>IFERROR(VLOOKUP(TableHandbook[[#This Row],[UDC]],TableMCINTREL[],7,FALSE),"")</f>
        <v/>
      </c>
      <c r="AG107" s="211" t="str">
        <f>IFERROR(VLOOKUP(TableHandbook[[#This Row],[UDC]],TableMCINTSEC[],7,FALSE),"")</f>
        <v/>
      </c>
      <c r="AH107" s="211" t="str">
        <f>IFERROR(VLOOKUP(TableHandbook[[#This Row],[UDC]],TableGDINTSEC[],7,FALSE),"")</f>
        <v/>
      </c>
      <c r="AI107" s="211" t="str">
        <f>IFERROR(VLOOKUP(TableHandbook[[#This Row],[UDC]],TableGCINTSEC[],7,FALSE),"")</f>
        <v/>
      </c>
      <c r="AJ107" s="211" t="str">
        <f>IFERROR(VLOOKUP(TableHandbook[[#This Row],[UDC]],TableGCINTELL[],7,FALSE),"")</f>
        <v/>
      </c>
      <c r="AK107" s="211" t="str">
        <f>IFERROR(VLOOKUP(TableHandbook[[#This Row],[UDC]],TableGCIPCSEC[],7,FALSE),"")</f>
        <v/>
      </c>
    </row>
    <row r="108" spans="1:37" x14ac:dyDescent="0.3">
      <c r="A108" s="231" t="s">
        <v>147</v>
      </c>
      <c r="B108" s="3">
        <v>3</v>
      </c>
      <c r="C108" s="3"/>
      <c r="D108" s="209" t="s">
        <v>172</v>
      </c>
      <c r="E108" s="3">
        <v>400</v>
      </c>
      <c r="F108" s="149"/>
      <c r="G108" s="96" t="str">
        <f>IFERROR(IF(VLOOKUP(TableHandbook[[#This Row],[UDC]],TableAvailabilities[],2,FALSE)&gt;0,"Y",""),"")</f>
        <v/>
      </c>
      <c r="H108" s="96" t="str">
        <f>IFERROR(IF(VLOOKUP(TableHandbook[[#This Row],[UDC]],TableAvailabilities[],3,FALSE)&gt;0,"Y",""),"")</f>
        <v/>
      </c>
      <c r="I108" s="96" t="str">
        <f>IFERROR(IF(VLOOKUP(TableHandbook[[#This Row],[UDC]],TableAvailabilities[],4,FALSE)&gt;0,"Y",""),"")</f>
        <v/>
      </c>
      <c r="J108" s="96" t="str">
        <f>IFERROR(IF(VLOOKUP(TableHandbook[[#This Row],[UDC]],TableAvailabilities[],5,FALSE)&gt;0,"Y",""),"")</f>
        <v/>
      </c>
      <c r="K108" s="209"/>
      <c r="L108" s="213" t="str">
        <f>IFERROR(VLOOKUP(TableHandbook[[#This Row],[UDC]],TableMCARTS[],7,FALSE),"")</f>
        <v>AltCore</v>
      </c>
      <c r="M108" s="211" t="str">
        <f>IFERROR(VLOOKUP(TableHandbook[[#This Row],[UDC]],TableMJRPCWRIT[],7,FALSE),"")</f>
        <v/>
      </c>
      <c r="N108" s="211" t="str">
        <f>IFERROR(VLOOKUP(TableHandbook[[#This Row],[UDC]],TableMJRPDGCMS[],7,FALSE),"")</f>
        <v/>
      </c>
      <c r="O108" s="211" t="str">
        <f>IFERROR(VLOOKUP(TableHandbook[[#This Row],[UDC]],TableMJRPFINAR[],7,FALSE),"")</f>
        <v/>
      </c>
      <c r="P108" s="211" t="str">
        <f>IFERROR(VLOOKUP(TableHandbook[[#This Row],[UDC]],TableMJRPPWRIT[],7,FALSE),"")</f>
        <v/>
      </c>
      <c r="Q108" s="211" t="str">
        <f>IFERROR(VLOOKUP(TableHandbook[[#This Row],[UDC]],TableMJRPSCRAR[],7,FALSE),"")</f>
        <v/>
      </c>
      <c r="R108" s="213" t="str">
        <f>IFERROR(VLOOKUP(TableHandbook[[#This Row],[UDC]],TableMCMMJRG[],7,FALSE),"")</f>
        <v/>
      </c>
      <c r="S108" s="211" t="str">
        <f>IFERROR(VLOOKUP(TableHandbook[[#This Row],[UDC]],TableMCMMJRN[],7,FALSE),"")</f>
        <v/>
      </c>
      <c r="T108" s="211" t="str">
        <f>IFERROR(VLOOKUP(TableHandbook[[#This Row],[UDC]],TableGDMMJRN[],7,FALSE),"")</f>
        <v/>
      </c>
      <c r="U108" s="211" t="str">
        <f>IFERROR(VLOOKUP(TableHandbook[[#This Row],[UDC]],TableGCMMJRN[],7,FALSE),"")</f>
        <v/>
      </c>
      <c r="V108" s="213" t="str">
        <f>IFERROR(VLOOKUP(TableHandbook[[#This Row],[UDC]],TableMCHRIGLO[],7,FALSE),"")</f>
        <v/>
      </c>
      <c r="W108" s="211" t="str">
        <f>IFERROR(VLOOKUP(TableHandbook[[#This Row],[UDC]],TableMCHRIGHT[],7,FALSE),"")</f>
        <v/>
      </c>
      <c r="X108" s="211" t="str">
        <f>IFERROR(VLOOKUP(TableHandbook[[#This Row],[UDC]],TableGDHRIGHT[],7,FALSE),"")</f>
        <v/>
      </c>
      <c r="Y108" s="211" t="str">
        <f>IFERROR(VLOOKUP(TableHandbook[[#This Row],[UDC]],TableGCHRIGHT[],7,FALSE),"")</f>
        <v/>
      </c>
      <c r="Z108" s="213" t="str">
        <f>IFERROR(VLOOKUP(TableHandbook[[#This Row],[UDC]],TableMCGLOBL2[],7,FALSE),"")</f>
        <v/>
      </c>
      <c r="AA108" s="211" t="str">
        <f>IFERROR(VLOOKUP(TableHandbook[[#This Row],[UDC]],TableMCGLOBL[],7,FALSE),"")</f>
        <v/>
      </c>
      <c r="AB108" s="211" t="str">
        <f>IFERROR(VLOOKUP(TableHandbook[[#This Row],[UDC]],TableSTRPGLOBL[],7,FALSE),"")</f>
        <v/>
      </c>
      <c r="AC108" s="211" t="str">
        <f>IFERROR(VLOOKUP(TableHandbook[[#This Row],[UDC]],TableSTRPHRIGT[],7,FALSE),"")</f>
        <v/>
      </c>
      <c r="AD108" s="211" t="str">
        <f>IFERROR(VLOOKUP(TableHandbook[[#This Row],[UDC]],TableSTRPINTRN[],7,FALSE),"")</f>
        <v/>
      </c>
      <c r="AE108" s="211" t="str">
        <f>IFERROR(VLOOKUP(TableHandbook[[#This Row],[UDC]],TableGCGLOBL[],7,FALSE),"")</f>
        <v/>
      </c>
      <c r="AF108" s="213" t="str">
        <f>IFERROR(VLOOKUP(TableHandbook[[#This Row],[UDC]],TableMCINTREL[],7,FALSE),"")</f>
        <v/>
      </c>
      <c r="AG108" s="211" t="str">
        <f>IFERROR(VLOOKUP(TableHandbook[[#This Row],[UDC]],TableMCINTSEC[],7,FALSE),"")</f>
        <v/>
      </c>
      <c r="AH108" s="211" t="str">
        <f>IFERROR(VLOOKUP(TableHandbook[[#This Row],[UDC]],TableGDINTSEC[],7,FALSE),"")</f>
        <v/>
      </c>
      <c r="AI108" s="211" t="str">
        <f>IFERROR(VLOOKUP(TableHandbook[[#This Row],[UDC]],TableGCINTSEC[],7,FALSE),"")</f>
        <v/>
      </c>
      <c r="AJ108" s="211" t="str">
        <f>IFERROR(VLOOKUP(TableHandbook[[#This Row],[UDC]],TableGCINTELL[],7,FALSE),"")</f>
        <v/>
      </c>
      <c r="AK108" s="211" t="str">
        <f>IFERROR(VLOOKUP(TableHandbook[[#This Row],[UDC]],TableGCIPCSEC[],7,FALSE),"")</f>
        <v/>
      </c>
    </row>
    <row r="109" spans="1:37" x14ac:dyDescent="0.3">
      <c r="A109" s="2" t="s">
        <v>530</v>
      </c>
      <c r="B109" s="3">
        <v>1</v>
      </c>
      <c r="C109" s="3"/>
      <c r="D109" s="209" t="s">
        <v>172</v>
      </c>
      <c r="E109" s="3">
        <v>400</v>
      </c>
      <c r="F109" s="149"/>
      <c r="G109" s="96" t="str">
        <f>IFERROR(IF(VLOOKUP(TableHandbook[[#This Row],[UDC]],TableAvailabilities[],2,FALSE)&gt;0,"Y",""),"")</f>
        <v/>
      </c>
      <c r="H109" s="96" t="str">
        <f>IFERROR(IF(VLOOKUP(TableHandbook[[#This Row],[UDC]],TableAvailabilities[],3,FALSE)&gt;0,"Y",""),"")</f>
        <v/>
      </c>
      <c r="I109" s="96" t="str">
        <f>IFERROR(IF(VLOOKUP(TableHandbook[[#This Row],[UDC]],TableAvailabilities[],4,FALSE)&gt;0,"Y",""),"")</f>
        <v/>
      </c>
      <c r="J109" s="96" t="str">
        <f>IFERROR(IF(VLOOKUP(TableHandbook[[#This Row],[UDC]],TableAvailabilities[],5,FALSE)&gt;0,"Y",""),"")</f>
        <v/>
      </c>
      <c r="K109" s="209"/>
      <c r="L109" s="213" t="str">
        <f>IFERROR(VLOOKUP(TableHandbook[[#This Row],[UDC]],TableMCARTS[],7,FALSE),"")</f>
        <v/>
      </c>
      <c r="M109" s="211" t="str">
        <f>IFERROR(VLOOKUP(TableHandbook[[#This Row],[UDC]],TableMJRPCWRIT[],7,FALSE),"")</f>
        <v/>
      </c>
      <c r="N109" s="211" t="str">
        <f>IFERROR(VLOOKUP(TableHandbook[[#This Row],[UDC]],TableMJRPDGCMS[],7,FALSE),"")</f>
        <v/>
      </c>
      <c r="O109" s="211" t="str">
        <f>IFERROR(VLOOKUP(TableHandbook[[#This Row],[UDC]],TableMJRPFINAR[],7,FALSE),"")</f>
        <v/>
      </c>
      <c r="P109" s="211" t="str">
        <f>IFERROR(VLOOKUP(TableHandbook[[#This Row],[UDC]],TableMJRPPWRIT[],7,FALSE),"")</f>
        <v/>
      </c>
      <c r="Q109" s="211" t="str">
        <f>IFERROR(VLOOKUP(TableHandbook[[#This Row],[UDC]],TableMJRPSCRAR[],7,FALSE),"")</f>
        <v/>
      </c>
      <c r="R109" s="213" t="str">
        <f>IFERROR(VLOOKUP(TableHandbook[[#This Row],[UDC]],TableMCMMJRG[],7,FALSE),"")</f>
        <v/>
      </c>
      <c r="S109" s="211" t="str">
        <f>IFERROR(VLOOKUP(TableHandbook[[#This Row],[UDC]],TableMCMMJRN[],7,FALSE),"")</f>
        <v/>
      </c>
      <c r="T109" s="211" t="str">
        <f>IFERROR(VLOOKUP(TableHandbook[[#This Row],[UDC]],TableGDMMJRN[],7,FALSE),"")</f>
        <v/>
      </c>
      <c r="U109" s="211" t="str">
        <f>IFERROR(VLOOKUP(TableHandbook[[#This Row],[UDC]],TableGCMMJRN[],7,FALSE),"")</f>
        <v/>
      </c>
      <c r="V109" s="213" t="str">
        <f>IFERROR(VLOOKUP(TableHandbook[[#This Row],[UDC]],TableMCHRIGLO[],7,FALSE),"")</f>
        <v/>
      </c>
      <c r="W109" s="211" t="str">
        <f>IFERROR(VLOOKUP(TableHandbook[[#This Row],[UDC]],TableMCHRIGHT[],7,FALSE),"")</f>
        <v/>
      </c>
      <c r="X109" s="211" t="str">
        <f>IFERROR(VLOOKUP(TableHandbook[[#This Row],[UDC]],TableGDHRIGHT[],7,FALSE),"")</f>
        <v/>
      </c>
      <c r="Y109" s="211" t="str">
        <f>IFERROR(VLOOKUP(TableHandbook[[#This Row],[UDC]],TableGCHRIGHT[],7,FALSE),"")</f>
        <v/>
      </c>
      <c r="Z109" s="213" t="str">
        <f>IFERROR(VLOOKUP(TableHandbook[[#This Row],[UDC]],TableMCGLOBL2[],7,FALSE),"")</f>
        <v/>
      </c>
      <c r="AA109" s="211" t="str">
        <f>IFERROR(VLOOKUP(TableHandbook[[#This Row],[UDC]],TableMCGLOBL[],7,FALSE),"")</f>
        <v/>
      </c>
      <c r="AB109" s="211" t="str">
        <f>IFERROR(VLOOKUP(TableHandbook[[#This Row],[UDC]],TableSTRPGLOBL[],7,FALSE),"")</f>
        <v/>
      </c>
      <c r="AC109" s="211" t="str">
        <f>IFERROR(VLOOKUP(TableHandbook[[#This Row],[UDC]],TableSTRPHRIGT[],7,FALSE),"")</f>
        <v/>
      </c>
      <c r="AD109" s="211" t="str">
        <f>IFERROR(VLOOKUP(TableHandbook[[#This Row],[UDC]],TableSTRPINTRN[],7,FALSE),"")</f>
        <v/>
      </c>
      <c r="AE109" s="211" t="str">
        <f>IFERROR(VLOOKUP(TableHandbook[[#This Row],[UDC]],TableGCGLOBL[],7,FALSE),"")</f>
        <v/>
      </c>
      <c r="AF109" s="213" t="str">
        <f>IFERROR(VLOOKUP(TableHandbook[[#This Row],[UDC]],TableMCINTREL[],7,FALSE),"")</f>
        <v/>
      </c>
      <c r="AG109" s="211" t="str">
        <f>IFERROR(VLOOKUP(TableHandbook[[#This Row],[UDC]],TableMCINTSEC[],7,FALSE),"")</f>
        <v/>
      </c>
      <c r="AH109" s="211" t="str">
        <f>IFERROR(VLOOKUP(TableHandbook[[#This Row],[UDC]],TableGDINTSEC[],7,FALSE),"")</f>
        <v/>
      </c>
      <c r="AI109" s="211" t="str">
        <f>IFERROR(VLOOKUP(TableHandbook[[#This Row],[UDC]],TableGCINTSEC[],7,FALSE),"")</f>
        <v/>
      </c>
      <c r="AJ109" s="211" t="str">
        <f>IFERROR(VLOOKUP(TableHandbook[[#This Row],[UDC]],TableGCINTELL[],7,FALSE),"")</f>
        <v/>
      </c>
      <c r="AK109" s="211" t="str">
        <f>IFERROR(VLOOKUP(TableHandbook[[#This Row],[UDC]],TableGCIPCSEC[],7,FALSE),"")</f>
        <v/>
      </c>
    </row>
    <row r="110" spans="1:37" x14ac:dyDescent="0.3">
      <c r="A110" s="231" t="s">
        <v>148</v>
      </c>
      <c r="B110" s="3">
        <v>3</v>
      </c>
      <c r="C110" s="3"/>
      <c r="D110" s="209" t="s">
        <v>176</v>
      </c>
      <c r="E110" s="3">
        <v>400</v>
      </c>
      <c r="F110" s="149"/>
      <c r="G110" s="96" t="str">
        <f>IFERROR(IF(VLOOKUP(TableHandbook[[#This Row],[UDC]],TableAvailabilities[],2,FALSE)&gt;0,"Y",""),"")</f>
        <v/>
      </c>
      <c r="H110" s="96" t="str">
        <f>IFERROR(IF(VLOOKUP(TableHandbook[[#This Row],[UDC]],TableAvailabilities[],3,FALSE)&gt;0,"Y",""),"")</f>
        <v/>
      </c>
      <c r="I110" s="96" t="str">
        <f>IFERROR(IF(VLOOKUP(TableHandbook[[#This Row],[UDC]],TableAvailabilities[],4,FALSE)&gt;0,"Y",""),"")</f>
        <v/>
      </c>
      <c r="J110" s="96" t="str">
        <f>IFERROR(IF(VLOOKUP(TableHandbook[[#This Row],[UDC]],TableAvailabilities[],5,FALSE)&gt;0,"Y",""),"")</f>
        <v/>
      </c>
      <c r="K110" s="209"/>
      <c r="L110" s="213" t="str">
        <f>IFERROR(VLOOKUP(TableHandbook[[#This Row],[UDC]],TableMCARTS[],7,FALSE),"")</f>
        <v>AltCore</v>
      </c>
      <c r="M110" s="211" t="str">
        <f>IFERROR(VLOOKUP(TableHandbook[[#This Row],[UDC]],TableMJRPCWRIT[],7,FALSE),"")</f>
        <v/>
      </c>
      <c r="N110" s="211" t="str">
        <f>IFERROR(VLOOKUP(TableHandbook[[#This Row],[UDC]],TableMJRPDGCMS[],7,FALSE),"")</f>
        <v/>
      </c>
      <c r="O110" s="211" t="str">
        <f>IFERROR(VLOOKUP(TableHandbook[[#This Row],[UDC]],TableMJRPFINAR[],7,FALSE),"")</f>
        <v/>
      </c>
      <c r="P110" s="211" t="str">
        <f>IFERROR(VLOOKUP(TableHandbook[[#This Row],[UDC]],TableMJRPPWRIT[],7,FALSE),"")</f>
        <v/>
      </c>
      <c r="Q110" s="211" t="str">
        <f>IFERROR(VLOOKUP(TableHandbook[[#This Row],[UDC]],TableMJRPSCRAR[],7,FALSE),"")</f>
        <v/>
      </c>
      <c r="R110" s="213" t="str">
        <f>IFERROR(VLOOKUP(TableHandbook[[#This Row],[UDC]],TableMCMMJRG[],7,FALSE),"")</f>
        <v/>
      </c>
      <c r="S110" s="211" t="str">
        <f>IFERROR(VLOOKUP(TableHandbook[[#This Row],[UDC]],TableMCMMJRN[],7,FALSE),"")</f>
        <v/>
      </c>
      <c r="T110" s="211" t="str">
        <f>IFERROR(VLOOKUP(TableHandbook[[#This Row],[UDC]],TableGDMMJRN[],7,FALSE),"")</f>
        <v/>
      </c>
      <c r="U110" s="211" t="str">
        <f>IFERROR(VLOOKUP(TableHandbook[[#This Row],[UDC]],TableGCMMJRN[],7,FALSE),"")</f>
        <v/>
      </c>
      <c r="V110" s="213" t="str">
        <f>IFERROR(VLOOKUP(TableHandbook[[#This Row],[UDC]],TableMCHRIGLO[],7,FALSE),"")</f>
        <v/>
      </c>
      <c r="W110" s="211" t="str">
        <f>IFERROR(VLOOKUP(TableHandbook[[#This Row],[UDC]],TableMCHRIGHT[],7,FALSE),"")</f>
        <v/>
      </c>
      <c r="X110" s="211" t="str">
        <f>IFERROR(VLOOKUP(TableHandbook[[#This Row],[UDC]],TableGDHRIGHT[],7,FALSE),"")</f>
        <v/>
      </c>
      <c r="Y110" s="211" t="str">
        <f>IFERROR(VLOOKUP(TableHandbook[[#This Row],[UDC]],TableGCHRIGHT[],7,FALSE),"")</f>
        <v/>
      </c>
      <c r="Z110" s="213" t="str">
        <f>IFERROR(VLOOKUP(TableHandbook[[#This Row],[UDC]],TableMCGLOBL2[],7,FALSE),"")</f>
        <v/>
      </c>
      <c r="AA110" s="211" t="str">
        <f>IFERROR(VLOOKUP(TableHandbook[[#This Row],[UDC]],TableMCGLOBL[],7,FALSE),"")</f>
        <v/>
      </c>
      <c r="AB110" s="211" t="str">
        <f>IFERROR(VLOOKUP(TableHandbook[[#This Row],[UDC]],TableSTRPGLOBL[],7,FALSE),"")</f>
        <v/>
      </c>
      <c r="AC110" s="211" t="str">
        <f>IFERROR(VLOOKUP(TableHandbook[[#This Row],[UDC]],TableSTRPHRIGT[],7,FALSE),"")</f>
        <v/>
      </c>
      <c r="AD110" s="211" t="str">
        <f>IFERROR(VLOOKUP(TableHandbook[[#This Row],[UDC]],TableSTRPINTRN[],7,FALSE),"")</f>
        <v/>
      </c>
      <c r="AE110" s="211" t="str">
        <f>IFERROR(VLOOKUP(TableHandbook[[#This Row],[UDC]],TableGCGLOBL[],7,FALSE),"")</f>
        <v/>
      </c>
      <c r="AF110" s="213" t="str">
        <f>IFERROR(VLOOKUP(TableHandbook[[#This Row],[UDC]],TableMCINTREL[],7,FALSE),"")</f>
        <v/>
      </c>
      <c r="AG110" s="211" t="str">
        <f>IFERROR(VLOOKUP(TableHandbook[[#This Row],[UDC]],TableMCINTSEC[],7,FALSE),"")</f>
        <v/>
      </c>
      <c r="AH110" s="211" t="str">
        <f>IFERROR(VLOOKUP(TableHandbook[[#This Row],[UDC]],TableGDINTSEC[],7,FALSE),"")</f>
        <v/>
      </c>
      <c r="AI110" s="211" t="str">
        <f>IFERROR(VLOOKUP(TableHandbook[[#This Row],[UDC]],TableGCINTSEC[],7,FALSE),"")</f>
        <v/>
      </c>
      <c r="AJ110" s="211" t="str">
        <f>IFERROR(VLOOKUP(TableHandbook[[#This Row],[UDC]],TableGCINTELL[],7,FALSE),"")</f>
        <v/>
      </c>
      <c r="AK110" s="211" t="str">
        <f>IFERROR(VLOOKUP(TableHandbook[[#This Row],[UDC]],TableGCIPCSEC[],7,FALSE),"")</f>
        <v/>
      </c>
    </row>
    <row r="111" spans="1:37" x14ac:dyDescent="0.3">
      <c r="A111" s="2" t="s">
        <v>531</v>
      </c>
      <c r="B111" s="3">
        <v>1</v>
      </c>
      <c r="C111" s="3"/>
      <c r="D111" s="209" t="s">
        <v>176</v>
      </c>
      <c r="E111" s="3">
        <v>400</v>
      </c>
      <c r="F111" s="149"/>
      <c r="G111" s="96" t="str">
        <f>IFERROR(IF(VLOOKUP(TableHandbook[[#This Row],[UDC]],TableAvailabilities[],2,FALSE)&gt;0,"Y",""),"")</f>
        <v/>
      </c>
      <c r="H111" s="96" t="str">
        <f>IFERROR(IF(VLOOKUP(TableHandbook[[#This Row],[UDC]],TableAvailabilities[],3,FALSE)&gt;0,"Y",""),"")</f>
        <v/>
      </c>
      <c r="I111" s="96" t="str">
        <f>IFERROR(IF(VLOOKUP(TableHandbook[[#This Row],[UDC]],TableAvailabilities[],4,FALSE)&gt;0,"Y",""),"")</f>
        <v/>
      </c>
      <c r="J111" s="96" t="str">
        <f>IFERROR(IF(VLOOKUP(TableHandbook[[#This Row],[UDC]],TableAvailabilities[],5,FALSE)&gt;0,"Y",""),"")</f>
        <v/>
      </c>
      <c r="K111" s="209"/>
      <c r="L111" s="213" t="str">
        <f>IFERROR(VLOOKUP(TableHandbook[[#This Row],[UDC]],TableMCARTS[],7,FALSE),"")</f>
        <v/>
      </c>
      <c r="M111" s="211" t="str">
        <f>IFERROR(VLOOKUP(TableHandbook[[#This Row],[UDC]],TableMJRPCWRIT[],7,FALSE),"")</f>
        <v/>
      </c>
      <c r="N111" s="211" t="str">
        <f>IFERROR(VLOOKUP(TableHandbook[[#This Row],[UDC]],TableMJRPDGCMS[],7,FALSE),"")</f>
        <v/>
      </c>
      <c r="O111" s="211" t="str">
        <f>IFERROR(VLOOKUP(TableHandbook[[#This Row],[UDC]],TableMJRPFINAR[],7,FALSE),"")</f>
        <v/>
      </c>
      <c r="P111" s="211" t="str">
        <f>IFERROR(VLOOKUP(TableHandbook[[#This Row],[UDC]],TableMJRPPWRIT[],7,FALSE),"")</f>
        <v/>
      </c>
      <c r="Q111" s="211" t="str">
        <f>IFERROR(VLOOKUP(TableHandbook[[#This Row],[UDC]],TableMJRPSCRAR[],7,FALSE),"")</f>
        <v/>
      </c>
      <c r="R111" s="213" t="str">
        <f>IFERROR(VLOOKUP(TableHandbook[[#This Row],[UDC]],TableMCMMJRG[],7,FALSE),"")</f>
        <v/>
      </c>
      <c r="S111" s="211" t="str">
        <f>IFERROR(VLOOKUP(TableHandbook[[#This Row],[UDC]],TableMCMMJRN[],7,FALSE),"")</f>
        <v/>
      </c>
      <c r="T111" s="211" t="str">
        <f>IFERROR(VLOOKUP(TableHandbook[[#This Row],[UDC]],TableGDMMJRN[],7,FALSE),"")</f>
        <v/>
      </c>
      <c r="U111" s="211" t="str">
        <f>IFERROR(VLOOKUP(TableHandbook[[#This Row],[UDC]],TableGCMMJRN[],7,FALSE),"")</f>
        <v/>
      </c>
      <c r="V111" s="213" t="str">
        <f>IFERROR(VLOOKUP(TableHandbook[[#This Row],[UDC]],TableMCHRIGLO[],7,FALSE),"")</f>
        <v/>
      </c>
      <c r="W111" s="211" t="str">
        <f>IFERROR(VLOOKUP(TableHandbook[[#This Row],[UDC]],TableMCHRIGHT[],7,FALSE),"")</f>
        <v/>
      </c>
      <c r="X111" s="211" t="str">
        <f>IFERROR(VLOOKUP(TableHandbook[[#This Row],[UDC]],TableGDHRIGHT[],7,FALSE),"")</f>
        <v/>
      </c>
      <c r="Y111" s="211" t="str">
        <f>IFERROR(VLOOKUP(TableHandbook[[#This Row],[UDC]],TableGCHRIGHT[],7,FALSE),"")</f>
        <v/>
      </c>
      <c r="Z111" s="213" t="str">
        <f>IFERROR(VLOOKUP(TableHandbook[[#This Row],[UDC]],TableMCGLOBL2[],7,FALSE),"")</f>
        <v/>
      </c>
      <c r="AA111" s="211" t="str">
        <f>IFERROR(VLOOKUP(TableHandbook[[#This Row],[UDC]],TableMCGLOBL[],7,FALSE),"")</f>
        <v/>
      </c>
      <c r="AB111" s="211" t="str">
        <f>IFERROR(VLOOKUP(TableHandbook[[#This Row],[UDC]],TableSTRPGLOBL[],7,FALSE),"")</f>
        <v/>
      </c>
      <c r="AC111" s="211" t="str">
        <f>IFERROR(VLOOKUP(TableHandbook[[#This Row],[UDC]],TableSTRPHRIGT[],7,FALSE),"")</f>
        <v/>
      </c>
      <c r="AD111" s="211" t="str">
        <f>IFERROR(VLOOKUP(TableHandbook[[#This Row],[UDC]],TableSTRPINTRN[],7,FALSE),"")</f>
        <v/>
      </c>
      <c r="AE111" s="211" t="str">
        <f>IFERROR(VLOOKUP(TableHandbook[[#This Row],[UDC]],TableGCGLOBL[],7,FALSE),"")</f>
        <v/>
      </c>
      <c r="AF111" s="213" t="str">
        <f>IFERROR(VLOOKUP(TableHandbook[[#This Row],[UDC]],TableMCINTREL[],7,FALSE),"")</f>
        <v/>
      </c>
      <c r="AG111" s="211" t="str">
        <f>IFERROR(VLOOKUP(TableHandbook[[#This Row],[UDC]],TableMCINTSEC[],7,FALSE),"")</f>
        <v/>
      </c>
      <c r="AH111" s="211" t="str">
        <f>IFERROR(VLOOKUP(TableHandbook[[#This Row],[UDC]],TableGDINTSEC[],7,FALSE),"")</f>
        <v/>
      </c>
      <c r="AI111" s="211" t="str">
        <f>IFERROR(VLOOKUP(TableHandbook[[#This Row],[UDC]],TableGCINTSEC[],7,FALSE),"")</f>
        <v/>
      </c>
      <c r="AJ111" s="211" t="str">
        <f>IFERROR(VLOOKUP(TableHandbook[[#This Row],[UDC]],TableGCINTELL[],7,FALSE),"")</f>
        <v/>
      </c>
      <c r="AK111" s="211" t="str">
        <f>IFERROR(VLOOKUP(TableHandbook[[#This Row],[UDC]],TableGCIPCSEC[],7,FALSE),"")</f>
        <v/>
      </c>
    </row>
    <row r="112" spans="1:37" x14ac:dyDescent="0.3">
      <c r="A112" s="231" t="s">
        <v>149</v>
      </c>
      <c r="B112" s="3">
        <v>4</v>
      </c>
      <c r="C112" s="3"/>
      <c r="D112" s="209" t="s">
        <v>179</v>
      </c>
      <c r="E112" s="3">
        <v>400</v>
      </c>
      <c r="F112" s="149"/>
      <c r="G112" s="96" t="str">
        <f>IFERROR(IF(VLOOKUP(TableHandbook[[#This Row],[UDC]],TableAvailabilities[],2,FALSE)&gt;0,"Y",""),"")</f>
        <v/>
      </c>
      <c r="H112" s="96" t="str">
        <f>IFERROR(IF(VLOOKUP(TableHandbook[[#This Row],[UDC]],TableAvailabilities[],3,FALSE)&gt;0,"Y",""),"")</f>
        <v/>
      </c>
      <c r="I112" s="96" t="str">
        <f>IFERROR(IF(VLOOKUP(TableHandbook[[#This Row],[UDC]],TableAvailabilities[],4,FALSE)&gt;0,"Y",""),"")</f>
        <v/>
      </c>
      <c r="J112" s="96" t="str">
        <f>IFERROR(IF(VLOOKUP(TableHandbook[[#This Row],[UDC]],TableAvailabilities[],5,FALSE)&gt;0,"Y",""),"")</f>
        <v/>
      </c>
      <c r="K112" s="209"/>
      <c r="L112" s="213" t="str">
        <f>IFERROR(VLOOKUP(TableHandbook[[#This Row],[UDC]],TableMCARTS[],7,FALSE),"")</f>
        <v>AltCore</v>
      </c>
      <c r="M112" s="211" t="str">
        <f>IFERROR(VLOOKUP(TableHandbook[[#This Row],[UDC]],TableMJRPCWRIT[],7,FALSE),"")</f>
        <v/>
      </c>
      <c r="N112" s="211" t="str">
        <f>IFERROR(VLOOKUP(TableHandbook[[#This Row],[UDC]],TableMJRPDGCMS[],7,FALSE),"")</f>
        <v/>
      </c>
      <c r="O112" s="211" t="str">
        <f>IFERROR(VLOOKUP(TableHandbook[[#This Row],[UDC]],TableMJRPFINAR[],7,FALSE),"")</f>
        <v/>
      </c>
      <c r="P112" s="211" t="str">
        <f>IFERROR(VLOOKUP(TableHandbook[[#This Row],[UDC]],TableMJRPPWRIT[],7,FALSE),"")</f>
        <v/>
      </c>
      <c r="Q112" s="211" t="str">
        <f>IFERROR(VLOOKUP(TableHandbook[[#This Row],[UDC]],TableMJRPSCRAR[],7,FALSE),"")</f>
        <v/>
      </c>
      <c r="R112" s="213" t="str">
        <f>IFERROR(VLOOKUP(TableHandbook[[#This Row],[UDC]],TableMCMMJRG[],7,FALSE),"")</f>
        <v/>
      </c>
      <c r="S112" s="211" t="str">
        <f>IFERROR(VLOOKUP(TableHandbook[[#This Row],[UDC]],TableMCMMJRN[],7,FALSE),"")</f>
        <v/>
      </c>
      <c r="T112" s="211" t="str">
        <f>IFERROR(VLOOKUP(TableHandbook[[#This Row],[UDC]],TableGDMMJRN[],7,FALSE),"")</f>
        <v/>
      </c>
      <c r="U112" s="211" t="str">
        <f>IFERROR(VLOOKUP(TableHandbook[[#This Row],[UDC]],TableGCMMJRN[],7,FALSE),"")</f>
        <v/>
      </c>
      <c r="V112" s="213" t="str">
        <f>IFERROR(VLOOKUP(TableHandbook[[#This Row],[UDC]],TableMCHRIGLO[],7,FALSE),"")</f>
        <v/>
      </c>
      <c r="W112" s="211" t="str">
        <f>IFERROR(VLOOKUP(TableHandbook[[#This Row],[UDC]],TableMCHRIGHT[],7,FALSE),"")</f>
        <v/>
      </c>
      <c r="X112" s="211" t="str">
        <f>IFERROR(VLOOKUP(TableHandbook[[#This Row],[UDC]],TableGDHRIGHT[],7,FALSE),"")</f>
        <v/>
      </c>
      <c r="Y112" s="211" t="str">
        <f>IFERROR(VLOOKUP(TableHandbook[[#This Row],[UDC]],TableGCHRIGHT[],7,FALSE),"")</f>
        <v/>
      </c>
      <c r="Z112" s="213" t="str">
        <f>IFERROR(VLOOKUP(TableHandbook[[#This Row],[UDC]],TableMCGLOBL2[],7,FALSE),"")</f>
        <v/>
      </c>
      <c r="AA112" s="211" t="str">
        <f>IFERROR(VLOOKUP(TableHandbook[[#This Row],[UDC]],TableMCGLOBL[],7,FALSE),"")</f>
        <v/>
      </c>
      <c r="AB112" s="211" t="str">
        <f>IFERROR(VLOOKUP(TableHandbook[[#This Row],[UDC]],TableSTRPGLOBL[],7,FALSE),"")</f>
        <v/>
      </c>
      <c r="AC112" s="211" t="str">
        <f>IFERROR(VLOOKUP(TableHandbook[[#This Row],[UDC]],TableSTRPHRIGT[],7,FALSE),"")</f>
        <v/>
      </c>
      <c r="AD112" s="211" t="str">
        <f>IFERROR(VLOOKUP(TableHandbook[[#This Row],[UDC]],TableSTRPINTRN[],7,FALSE),"")</f>
        <v/>
      </c>
      <c r="AE112" s="211" t="str">
        <f>IFERROR(VLOOKUP(TableHandbook[[#This Row],[UDC]],TableGCGLOBL[],7,FALSE),"")</f>
        <v/>
      </c>
      <c r="AF112" s="213" t="str">
        <f>IFERROR(VLOOKUP(TableHandbook[[#This Row],[UDC]],TableMCINTREL[],7,FALSE),"")</f>
        <v/>
      </c>
      <c r="AG112" s="211" t="str">
        <f>IFERROR(VLOOKUP(TableHandbook[[#This Row],[UDC]],TableMCINTSEC[],7,FALSE),"")</f>
        <v/>
      </c>
      <c r="AH112" s="211" t="str">
        <f>IFERROR(VLOOKUP(TableHandbook[[#This Row],[UDC]],TableGDINTSEC[],7,FALSE),"")</f>
        <v/>
      </c>
      <c r="AI112" s="211" t="str">
        <f>IFERROR(VLOOKUP(TableHandbook[[#This Row],[UDC]],TableGCINTSEC[],7,FALSE),"")</f>
        <v/>
      </c>
      <c r="AJ112" s="211" t="str">
        <f>IFERROR(VLOOKUP(TableHandbook[[#This Row],[UDC]],TableGCINTELL[],7,FALSE),"")</f>
        <v/>
      </c>
      <c r="AK112" s="211" t="str">
        <f>IFERROR(VLOOKUP(TableHandbook[[#This Row],[UDC]],TableGCIPCSEC[],7,FALSE),"")</f>
        <v/>
      </c>
    </row>
    <row r="113" spans="1:37" x14ac:dyDescent="0.3">
      <c r="A113" s="2" t="s">
        <v>532</v>
      </c>
      <c r="B113" s="3">
        <v>2</v>
      </c>
      <c r="C113" s="3"/>
      <c r="D113" s="209" t="s">
        <v>179</v>
      </c>
      <c r="E113" s="3">
        <v>400</v>
      </c>
      <c r="F113" s="149"/>
      <c r="G113" s="96" t="str">
        <f>IFERROR(IF(VLOOKUP(TableHandbook[[#This Row],[UDC]],TableAvailabilities[],2,FALSE)&gt;0,"Y",""),"")</f>
        <v/>
      </c>
      <c r="H113" s="96" t="str">
        <f>IFERROR(IF(VLOOKUP(TableHandbook[[#This Row],[UDC]],TableAvailabilities[],3,FALSE)&gt;0,"Y",""),"")</f>
        <v/>
      </c>
      <c r="I113" s="96" t="str">
        <f>IFERROR(IF(VLOOKUP(TableHandbook[[#This Row],[UDC]],TableAvailabilities[],4,FALSE)&gt;0,"Y",""),"")</f>
        <v/>
      </c>
      <c r="J113" s="96" t="str">
        <f>IFERROR(IF(VLOOKUP(TableHandbook[[#This Row],[UDC]],TableAvailabilities[],5,FALSE)&gt;0,"Y",""),"")</f>
        <v/>
      </c>
      <c r="K113" s="209"/>
      <c r="L113" s="213" t="str">
        <f>IFERROR(VLOOKUP(TableHandbook[[#This Row],[UDC]],TableMCARTS[],7,FALSE),"")</f>
        <v/>
      </c>
      <c r="M113" s="211" t="str">
        <f>IFERROR(VLOOKUP(TableHandbook[[#This Row],[UDC]],TableMJRPCWRIT[],7,FALSE),"")</f>
        <v/>
      </c>
      <c r="N113" s="211" t="str">
        <f>IFERROR(VLOOKUP(TableHandbook[[#This Row],[UDC]],TableMJRPDGCMS[],7,FALSE),"")</f>
        <v/>
      </c>
      <c r="O113" s="211" t="str">
        <f>IFERROR(VLOOKUP(TableHandbook[[#This Row],[UDC]],TableMJRPFINAR[],7,FALSE),"")</f>
        <v/>
      </c>
      <c r="P113" s="211" t="str">
        <f>IFERROR(VLOOKUP(TableHandbook[[#This Row],[UDC]],TableMJRPPWRIT[],7,FALSE),"")</f>
        <v/>
      </c>
      <c r="Q113" s="211" t="str">
        <f>IFERROR(VLOOKUP(TableHandbook[[#This Row],[UDC]],TableMJRPSCRAR[],7,FALSE),"")</f>
        <v/>
      </c>
      <c r="R113" s="213" t="str">
        <f>IFERROR(VLOOKUP(TableHandbook[[#This Row],[UDC]],TableMCMMJRG[],7,FALSE),"")</f>
        <v/>
      </c>
      <c r="S113" s="211" t="str">
        <f>IFERROR(VLOOKUP(TableHandbook[[#This Row],[UDC]],TableMCMMJRN[],7,FALSE),"")</f>
        <v/>
      </c>
      <c r="T113" s="211" t="str">
        <f>IFERROR(VLOOKUP(TableHandbook[[#This Row],[UDC]],TableGDMMJRN[],7,FALSE),"")</f>
        <v/>
      </c>
      <c r="U113" s="211" t="str">
        <f>IFERROR(VLOOKUP(TableHandbook[[#This Row],[UDC]],TableGCMMJRN[],7,FALSE),"")</f>
        <v/>
      </c>
      <c r="V113" s="213" t="str">
        <f>IFERROR(VLOOKUP(TableHandbook[[#This Row],[UDC]],TableMCHRIGLO[],7,FALSE),"")</f>
        <v/>
      </c>
      <c r="W113" s="211" t="str">
        <f>IFERROR(VLOOKUP(TableHandbook[[#This Row],[UDC]],TableMCHRIGHT[],7,FALSE),"")</f>
        <v/>
      </c>
      <c r="X113" s="211" t="str">
        <f>IFERROR(VLOOKUP(TableHandbook[[#This Row],[UDC]],TableGDHRIGHT[],7,FALSE),"")</f>
        <v/>
      </c>
      <c r="Y113" s="211" t="str">
        <f>IFERROR(VLOOKUP(TableHandbook[[#This Row],[UDC]],TableGCHRIGHT[],7,FALSE),"")</f>
        <v/>
      </c>
      <c r="Z113" s="213" t="str">
        <f>IFERROR(VLOOKUP(TableHandbook[[#This Row],[UDC]],TableMCGLOBL2[],7,FALSE),"")</f>
        <v/>
      </c>
      <c r="AA113" s="211" t="str">
        <f>IFERROR(VLOOKUP(TableHandbook[[#This Row],[UDC]],TableMCGLOBL[],7,FALSE),"")</f>
        <v/>
      </c>
      <c r="AB113" s="211" t="str">
        <f>IFERROR(VLOOKUP(TableHandbook[[#This Row],[UDC]],TableSTRPGLOBL[],7,FALSE),"")</f>
        <v/>
      </c>
      <c r="AC113" s="211" t="str">
        <f>IFERROR(VLOOKUP(TableHandbook[[#This Row],[UDC]],TableSTRPHRIGT[],7,FALSE),"")</f>
        <v/>
      </c>
      <c r="AD113" s="211" t="str">
        <f>IFERROR(VLOOKUP(TableHandbook[[#This Row],[UDC]],TableSTRPINTRN[],7,FALSE),"")</f>
        <v/>
      </c>
      <c r="AE113" s="211" t="str">
        <f>IFERROR(VLOOKUP(TableHandbook[[#This Row],[UDC]],TableGCGLOBL[],7,FALSE),"")</f>
        <v/>
      </c>
      <c r="AF113" s="213" t="str">
        <f>IFERROR(VLOOKUP(TableHandbook[[#This Row],[UDC]],TableMCINTREL[],7,FALSE),"")</f>
        <v/>
      </c>
      <c r="AG113" s="211" t="str">
        <f>IFERROR(VLOOKUP(TableHandbook[[#This Row],[UDC]],TableMCINTSEC[],7,FALSE),"")</f>
        <v/>
      </c>
      <c r="AH113" s="211" t="str">
        <f>IFERROR(VLOOKUP(TableHandbook[[#This Row],[UDC]],TableGDINTSEC[],7,FALSE),"")</f>
        <v/>
      </c>
      <c r="AI113" s="211" t="str">
        <f>IFERROR(VLOOKUP(TableHandbook[[#This Row],[UDC]],TableGCINTSEC[],7,FALSE),"")</f>
        <v/>
      </c>
      <c r="AJ113" s="211" t="str">
        <f>IFERROR(VLOOKUP(TableHandbook[[#This Row],[UDC]],TableGCINTELL[],7,FALSE),"")</f>
        <v/>
      </c>
      <c r="AK113" s="211" t="str">
        <f>IFERROR(VLOOKUP(TableHandbook[[#This Row],[UDC]],TableGCIPCSEC[],7,FALSE),"")</f>
        <v/>
      </c>
    </row>
    <row r="114" spans="1:37" x14ac:dyDescent="0.3">
      <c r="A114" s="231" t="s">
        <v>196</v>
      </c>
      <c r="B114" s="3">
        <v>2</v>
      </c>
      <c r="C114" s="3"/>
      <c r="D114" s="209" t="s">
        <v>533</v>
      </c>
      <c r="E114" s="3">
        <v>25</v>
      </c>
      <c r="F114" s="245" t="s">
        <v>108</v>
      </c>
      <c r="G114" s="96" t="str">
        <f>IFERROR(IF(VLOOKUP(TableHandbook[[#This Row],[UDC]],TableAvailabilities[],2,FALSE)&gt;0,"Y",""),"")</f>
        <v/>
      </c>
      <c r="H114" s="96" t="str">
        <f>IFERROR(IF(VLOOKUP(TableHandbook[[#This Row],[UDC]],TableAvailabilities[],3,FALSE)&gt;0,"Y",""),"")</f>
        <v/>
      </c>
      <c r="I114" s="96" t="str">
        <f>IFERROR(IF(VLOOKUP(TableHandbook[[#This Row],[UDC]],TableAvailabilities[],4,FALSE)&gt;0,"Y",""),"")</f>
        <v>Y</v>
      </c>
      <c r="J114" s="96" t="str">
        <f>IFERROR(IF(VLOOKUP(TableHandbook[[#This Row],[UDC]],TableAvailabilities[],5,FALSE)&gt;0,"Y",""),"")</f>
        <v/>
      </c>
      <c r="K114" s="209"/>
      <c r="L114" s="213" t="str">
        <f>IFERROR(VLOOKUP(TableHandbook[[#This Row],[UDC]],TableMCARTS[],7,FALSE),"")</f>
        <v/>
      </c>
      <c r="M114" s="211" t="str">
        <f>IFERROR(VLOOKUP(TableHandbook[[#This Row],[UDC]],TableMJRPCWRIT[],7,FALSE),"")</f>
        <v/>
      </c>
      <c r="N114" s="211" t="str">
        <f>IFERROR(VLOOKUP(TableHandbook[[#This Row],[UDC]],TableMJRPDGCMS[],7,FALSE),"")</f>
        <v>Option</v>
      </c>
      <c r="O114" s="211" t="str">
        <f>IFERROR(VLOOKUP(TableHandbook[[#This Row],[UDC]],TableMJRPFINAR[],7,FALSE),"")</f>
        <v/>
      </c>
      <c r="P114" s="211" t="str">
        <f>IFERROR(VLOOKUP(TableHandbook[[#This Row],[UDC]],TableMJRPPWRIT[],7,FALSE),"")</f>
        <v/>
      </c>
      <c r="Q114" s="211" t="str">
        <f>IFERROR(VLOOKUP(TableHandbook[[#This Row],[UDC]],TableMJRPSCRAR[],7,FALSE),"")</f>
        <v/>
      </c>
      <c r="R114" s="213" t="str">
        <f>IFERROR(VLOOKUP(TableHandbook[[#This Row],[UDC]],TableMCMMJRG[],7,FALSE),"")</f>
        <v/>
      </c>
      <c r="S114" s="211" t="str">
        <f>IFERROR(VLOOKUP(TableHandbook[[#This Row],[UDC]],TableMCMMJRN[],7,FALSE),"")</f>
        <v/>
      </c>
      <c r="T114" s="211" t="str">
        <f>IFERROR(VLOOKUP(TableHandbook[[#This Row],[UDC]],TableGDMMJRN[],7,FALSE),"")</f>
        <v/>
      </c>
      <c r="U114" s="211" t="str">
        <f>IFERROR(VLOOKUP(TableHandbook[[#This Row],[UDC]],TableGCMMJRN[],7,FALSE),"")</f>
        <v/>
      </c>
      <c r="V114" s="213" t="str">
        <f>IFERROR(VLOOKUP(TableHandbook[[#This Row],[UDC]],TableMCHRIGLO[],7,FALSE),"")</f>
        <v/>
      </c>
      <c r="W114" s="211" t="str">
        <f>IFERROR(VLOOKUP(TableHandbook[[#This Row],[UDC]],TableMCHRIGHT[],7,FALSE),"")</f>
        <v/>
      </c>
      <c r="X114" s="211" t="str">
        <f>IFERROR(VLOOKUP(TableHandbook[[#This Row],[UDC]],TableGDHRIGHT[],7,FALSE),"")</f>
        <v/>
      </c>
      <c r="Y114" s="211" t="str">
        <f>IFERROR(VLOOKUP(TableHandbook[[#This Row],[UDC]],TableGCHRIGHT[],7,FALSE),"")</f>
        <v/>
      </c>
      <c r="Z114" s="213" t="str">
        <f>IFERROR(VLOOKUP(TableHandbook[[#This Row],[UDC]],TableMCGLOBL2[],7,FALSE),"")</f>
        <v/>
      </c>
      <c r="AA114" s="211" t="str">
        <f>IFERROR(VLOOKUP(TableHandbook[[#This Row],[UDC]],TableMCGLOBL[],7,FALSE),"")</f>
        <v/>
      </c>
      <c r="AB114" s="211" t="str">
        <f>IFERROR(VLOOKUP(TableHandbook[[#This Row],[UDC]],TableSTRPGLOBL[],7,FALSE),"")</f>
        <v/>
      </c>
      <c r="AC114" s="211" t="str">
        <f>IFERROR(VLOOKUP(TableHandbook[[#This Row],[UDC]],TableSTRPHRIGT[],7,FALSE),"")</f>
        <v/>
      </c>
      <c r="AD114" s="211" t="str">
        <f>IFERROR(VLOOKUP(TableHandbook[[#This Row],[UDC]],TableSTRPINTRN[],7,FALSE),"")</f>
        <v/>
      </c>
      <c r="AE114" s="211" t="str">
        <f>IFERROR(VLOOKUP(TableHandbook[[#This Row],[UDC]],TableGCGLOBL[],7,FALSE),"")</f>
        <v/>
      </c>
      <c r="AF114" s="213" t="str">
        <f>IFERROR(VLOOKUP(TableHandbook[[#This Row],[UDC]],TableMCINTREL[],7,FALSE),"")</f>
        <v/>
      </c>
      <c r="AG114" s="211" t="str">
        <f>IFERROR(VLOOKUP(TableHandbook[[#This Row],[UDC]],TableMCINTSEC[],7,FALSE),"")</f>
        <v/>
      </c>
      <c r="AH114" s="211" t="str">
        <f>IFERROR(VLOOKUP(TableHandbook[[#This Row],[UDC]],TableGDINTSEC[],7,FALSE),"")</f>
        <v/>
      </c>
      <c r="AI114" s="211" t="str">
        <f>IFERROR(VLOOKUP(TableHandbook[[#This Row],[UDC]],TableGCINTSEC[],7,FALSE),"")</f>
        <v/>
      </c>
      <c r="AJ114" s="211" t="str">
        <f>IFERROR(VLOOKUP(TableHandbook[[#This Row],[UDC]],TableGCINTELL[],7,FALSE),"")</f>
        <v/>
      </c>
      <c r="AK114" s="211" t="str">
        <f>IFERROR(VLOOKUP(TableHandbook[[#This Row],[UDC]],TableGCIPCSEC[],7,FALSE),"")</f>
        <v/>
      </c>
    </row>
    <row r="115" spans="1:37" x14ac:dyDescent="0.3">
      <c r="A115" s="231" t="s">
        <v>156</v>
      </c>
      <c r="B115" s="3">
        <v>2</v>
      </c>
      <c r="C115" s="3"/>
      <c r="D115" s="209" t="s">
        <v>534</v>
      </c>
      <c r="E115" s="3">
        <v>25</v>
      </c>
      <c r="F115" s="245" t="s">
        <v>108</v>
      </c>
      <c r="G115" s="96" t="str">
        <f>IFERROR(IF(VLOOKUP(TableHandbook[[#This Row],[UDC]],TableAvailabilities[],2,FALSE)&gt;0,"Y",""),"")</f>
        <v>Y</v>
      </c>
      <c r="H115" s="96" t="str">
        <f>IFERROR(IF(VLOOKUP(TableHandbook[[#This Row],[UDC]],TableAvailabilities[],3,FALSE)&gt;0,"Y",""),"")</f>
        <v>Y</v>
      </c>
      <c r="I115" s="96" t="str">
        <f>IFERROR(IF(VLOOKUP(TableHandbook[[#This Row],[UDC]],TableAvailabilities[],4,FALSE)&gt;0,"Y",""),"")</f>
        <v>Y</v>
      </c>
      <c r="J115" s="96" t="str">
        <f>IFERROR(IF(VLOOKUP(TableHandbook[[#This Row],[UDC]],TableAvailabilities[],5,FALSE)&gt;0,"Y",""),"")</f>
        <v>Y</v>
      </c>
      <c r="K115" s="209" t="s">
        <v>433</v>
      </c>
      <c r="L115" s="213" t="str">
        <f>IFERROR(VLOOKUP(TableHandbook[[#This Row],[UDC]],TableMCARTS[],7,FALSE),"")</f>
        <v/>
      </c>
      <c r="M115" s="211" t="str">
        <f>IFERROR(VLOOKUP(TableHandbook[[#This Row],[UDC]],TableMJRPCWRIT[],7,FALSE),"")</f>
        <v/>
      </c>
      <c r="N115" s="211" t="str">
        <f>IFERROR(VLOOKUP(TableHandbook[[#This Row],[UDC]],TableMJRPDGCMS[],7,FALSE),"")</f>
        <v>Option</v>
      </c>
      <c r="O115" s="211" t="str">
        <f>IFERROR(VLOOKUP(TableHandbook[[#This Row],[UDC]],TableMJRPFINAR[],7,FALSE),"")</f>
        <v/>
      </c>
      <c r="P115" s="211" t="str">
        <f>IFERROR(VLOOKUP(TableHandbook[[#This Row],[UDC]],TableMJRPPWRIT[],7,FALSE),"")</f>
        <v>Option</v>
      </c>
      <c r="Q115" s="211" t="str">
        <f>IFERROR(VLOOKUP(TableHandbook[[#This Row],[UDC]],TableMJRPSCRAR[],7,FALSE),"")</f>
        <v/>
      </c>
      <c r="R115" s="213" t="str">
        <f>IFERROR(VLOOKUP(TableHandbook[[#This Row],[UDC]],TableMCMMJRG[],7,FALSE),"")</f>
        <v/>
      </c>
      <c r="S115" s="211" t="str">
        <f>IFERROR(VLOOKUP(TableHandbook[[#This Row],[UDC]],TableMCMMJRN[],7,FALSE),"")</f>
        <v/>
      </c>
      <c r="T115" s="211" t="str">
        <f>IFERROR(VLOOKUP(TableHandbook[[#This Row],[UDC]],TableGDMMJRN[],7,FALSE),"")</f>
        <v/>
      </c>
      <c r="U115" s="211" t="str">
        <f>IFERROR(VLOOKUP(TableHandbook[[#This Row],[UDC]],TableGCMMJRN[],7,FALSE),"")</f>
        <v/>
      </c>
      <c r="V115" s="213" t="str">
        <f>IFERROR(VLOOKUP(TableHandbook[[#This Row],[UDC]],TableMCHRIGLO[],7,FALSE),"")</f>
        <v/>
      </c>
      <c r="W115" s="211" t="str">
        <f>IFERROR(VLOOKUP(TableHandbook[[#This Row],[UDC]],TableMCHRIGHT[],7,FALSE),"")</f>
        <v/>
      </c>
      <c r="X115" s="211" t="str">
        <f>IFERROR(VLOOKUP(TableHandbook[[#This Row],[UDC]],TableGDHRIGHT[],7,FALSE),"")</f>
        <v/>
      </c>
      <c r="Y115" s="211" t="str">
        <f>IFERROR(VLOOKUP(TableHandbook[[#This Row],[UDC]],TableGCHRIGHT[],7,FALSE),"")</f>
        <v/>
      </c>
      <c r="Z115" s="213" t="str">
        <f>IFERROR(VLOOKUP(TableHandbook[[#This Row],[UDC]],TableMCGLOBL2[],7,FALSE),"")</f>
        <v/>
      </c>
      <c r="AA115" s="211" t="str">
        <f>IFERROR(VLOOKUP(TableHandbook[[#This Row],[UDC]],TableMCGLOBL[],7,FALSE),"")</f>
        <v/>
      </c>
      <c r="AB115" s="211" t="str">
        <f>IFERROR(VLOOKUP(TableHandbook[[#This Row],[UDC]],TableSTRPGLOBL[],7,FALSE),"")</f>
        <v/>
      </c>
      <c r="AC115" s="211" t="str">
        <f>IFERROR(VLOOKUP(TableHandbook[[#This Row],[UDC]],TableSTRPHRIGT[],7,FALSE),"")</f>
        <v/>
      </c>
      <c r="AD115" s="211" t="str">
        <f>IFERROR(VLOOKUP(TableHandbook[[#This Row],[UDC]],TableSTRPINTRN[],7,FALSE),"")</f>
        <v/>
      </c>
      <c r="AE115" s="211" t="str">
        <f>IFERROR(VLOOKUP(TableHandbook[[#This Row],[UDC]],TableGCGLOBL[],7,FALSE),"")</f>
        <v/>
      </c>
      <c r="AF115" s="213" t="str">
        <f>IFERROR(VLOOKUP(TableHandbook[[#This Row],[UDC]],TableMCINTREL[],7,FALSE),"")</f>
        <v/>
      </c>
      <c r="AG115" s="211" t="str">
        <f>IFERROR(VLOOKUP(TableHandbook[[#This Row],[UDC]],TableMCINTSEC[],7,FALSE),"")</f>
        <v/>
      </c>
      <c r="AH115" s="211" t="str">
        <f>IFERROR(VLOOKUP(TableHandbook[[#This Row],[UDC]],TableGDINTSEC[],7,FALSE),"")</f>
        <v/>
      </c>
      <c r="AI115" s="211" t="str">
        <f>IFERROR(VLOOKUP(TableHandbook[[#This Row],[UDC]],TableGCINTSEC[],7,FALSE),"")</f>
        <v/>
      </c>
      <c r="AJ115" s="211" t="str">
        <f>IFERROR(VLOOKUP(TableHandbook[[#This Row],[UDC]],TableGCINTELL[],7,FALSE),"")</f>
        <v/>
      </c>
      <c r="AK115" s="211" t="str">
        <f>IFERROR(VLOOKUP(TableHandbook[[#This Row],[UDC]],TableGCIPCSEC[],7,FALSE),"")</f>
        <v/>
      </c>
    </row>
    <row r="116" spans="1:37" x14ac:dyDescent="0.3">
      <c r="A116" s="2" t="s">
        <v>535</v>
      </c>
      <c r="B116" s="3">
        <v>1</v>
      </c>
      <c r="C116" s="3"/>
      <c r="D116" s="209" t="s">
        <v>536</v>
      </c>
      <c r="E116" s="3">
        <v>25</v>
      </c>
      <c r="F116" s="149" t="s">
        <v>108</v>
      </c>
      <c r="G116" s="96" t="str">
        <f>IFERROR(IF(VLOOKUP(TableHandbook[[#This Row],[UDC]],TableAvailabilities[],2,FALSE)&gt;0,"Y",""),"")</f>
        <v/>
      </c>
      <c r="H116" s="96" t="str">
        <f>IFERROR(IF(VLOOKUP(TableHandbook[[#This Row],[UDC]],TableAvailabilities[],3,FALSE)&gt;0,"Y",""),"")</f>
        <v/>
      </c>
      <c r="I116" s="96" t="str">
        <f>IFERROR(IF(VLOOKUP(TableHandbook[[#This Row],[UDC]],TableAvailabilities[],4,FALSE)&gt;0,"Y",""),"")</f>
        <v/>
      </c>
      <c r="J116" s="96" t="str">
        <f>IFERROR(IF(VLOOKUP(TableHandbook[[#This Row],[UDC]],TableAvailabilities[],5,FALSE)&gt;0,"Y",""),"")</f>
        <v/>
      </c>
      <c r="K116" s="209" t="s">
        <v>436</v>
      </c>
      <c r="L116" s="213" t="str">
        <f>IFERROR(VLOOKUP(TableHandbook[[#This Row],[UDC]],TableMCARTS[],7,FALSE),"")</f>
        <v/>
      </c>
      <c r="M116" s="211" t="str">
        <f>IFERROR(VLOOKUP(TableHandbook[[#This Row],[UDC]],TableMJRPCWRIT[],7,FALSE),"")</f>
        <v/>
      </c>
      <c r="N116" s="211" t="str">
        <f>IFERROR(VLOOKUP(TableHandbook[[#This Row],[UDC]],TableMJRPDGCMS[],7,FALSE),"")</f>
        <v/>
      </c>
      <c r="O116" s="211" t="str">
        <f>IFERROR(VLOOKUP(TableHandbook[[#This Row],[UDC]],TableMJRPFINAR[],7,FALSE),"")</f>
        <v/>
      </c>
      <c r="P116" s="211" t="str">
        <f>IFERROR(VLOOKUP(TableHandbook[[#This Row],[UDC]],TableMJRPPWRIT[],7,FALSE),"")</f>
        <v/>
      </c>
      <c r="Q116" s="211" t="str">
        <f>IFERROR(VLOOKUP(TableHandbook[[#This Row],[UDC]],TableMJRPSCRAR[],7,FALSE),"")</f>
        <v/>
      </c>
      <c r="R116" s="213" t="str">
        <f>IFERROR(VLOOKUP(TableHandbook[[#This Row],[UDC]],TableMCMMJRG[],7,FALSE),"")</f>
        <v/>
      </c>
      <c r="S116" s="211" t="str">
        <f>IFERROR(VLOOKUP(TableHandbook[[#This Row],[UDC]],TableMCMMJRN[],7,FALSE),"")</f>
        <v/>
      </c>
      <c r="T116" s="211" t="str">
        <f>IFERROR(VLOOKUP(TableHandbook[[#This Row],[UDC]],TableGDMMJRN[],7,FALSE),"")</f>
        <v/>
      </c>
      <c r="U116" s="211" t="str">
        <f>IFERROR(VLOOKUP(TableHandbook[[#This Row],[UDC]],TableGCMMJRN[],7,FALSE),"")</f>
        <v/>
      </c>
      <c r="V116" s="213" t="str">
        <f>IFERROR(VLOOKUP(TableHandbook[[#This Row],[UDC]],TableMCHRIGLO[],7,FALSE),"")</f>
        <v/>
      </c>
      <c r="W116" s="211" t="str">
        <f>IFERROR(VLOOKUP(TableHandbook[[#This Row],[UDC]],TableMCHRIGHT[],7,FALSE),"")</f>
        <v/>
      </c>
      <c r="X116" s="211" t="str">
        <f>IFERROR(VLOOKUP(TableHandbook[[#This Row],[UDC]],TableGDHRIGHT[],7,FALSE),"")</f>
        <v/>
      </c>
      <c r="Y116" s="211" t="str">
        <f>IFERROR(VLOOKUP(TableHandbook[[#This Row],[UDC]],TableGCHRIGHT[],7,FALSE),"")</f>
        <v/>
      </c>
      <c r="Z116" s="213" t="str">
        <f>IFERROR(VLOOKUP(TableHandbook[[#This Row],[UDC]],TableMCGLOBL2[],7,FALSE),"")</f>
        <v/>
      </c>
      <c r="AA116" s="211" t="str">
        <f>IFERROR(VLOOKUP(TableHandbook[[#This Row],[UDC]],TableMCGLOBL[],7,FALSE),"")</f>
        <v/>
      </c>
      <c r="AB116" s="211" t="str">
        <f>IFERROR(VLOOKUP(TableHandbook[[#This Row],[UDC]],TableSTRPGLOBL[],7,FALSE),"")</f>
        <v/>
      </c>
      <c r="AC116" s="211" t="str">
        <f>IFERROR(VLOOKUP(TableHandbook[[#This Row],[UDC]],TableSTRPHRIGT[],7,FALSE),"")</f>
        <v/>
      </c>
      <c r="AD116" s="211" t="str">
        <f>IFERROR(VLOOKUP(TableHandbook[[#This Row],[UDC]],TableSTRPINTRN[],7,FALSE),"")</f>
        <v/>
      </c>
      <c r="AE116" s="211" t="str">
        <f>IFERROR(VLOOKUP(TableHandbook[[#This Row],[UDC]],TableGCGLOBL[],7,FALSE),"")</f>
        <v/>
      </c>
      <c r="AF116" s="213" t="str">
        <f>IFERROR(VLOOKUP(TableHandbook[[#This Row],[UDC]],TableMCINTREL[],7,FALSE),"")</f>
        <v/>
      </c>
      <c r="AG116" s="211" t="str">
        <f>IFERROR(VLOOKUP(TableHandbook[[#This Row],[UDC]],TableMCINTSEC[],7,FALSE),"")</f>
        <v/>
      </c>
      <c r="AH116" s="211" t="str">
        <f>IFERROR(VLOOKUP(TableHandbook[[#This Row],[UDC]],TableGDINTSEC[],7,FALSE),"")</f>
        <v/>
      </c>
      <c r="AI116" s="211" t="str">
        <f>IFERROR(VLOOKUP(TableHandbook[[#This Row],[UDC]],TableGCINTSEC[],7,FALSE),"")</f>
        <v/>
      </c>
      <c r="AJ116" s="211" t="str">
        <f>IFERROR(VLOOKUP(TableHandbook[[#This Row],[UDC]],TableGCINTELL[],7,FALSE),"")</f>
        <v/>
      </c>
      <c r="AK116" s="211" t="str">
        <f>IFERROR(VLOOKUP(TableHandbook[[#This Row],[UDC]],TableGCIPCSEC[],7,FALSE),"")</f>
        <v/>
      </c>
    </row>
    <row r="117" spans="1:37" x14ac:dyDescent="0.3">
      <c r="A117" s="231" t="s">
        <v>162</v>
      </c>
      <c r="B117" s="3">
        <v>3</v>
      </c>
      <c r="C117" s="3"/>
      <c r="D117" s="209" t="s">
        <v>537</v>
      </c>
      <c r="E117" s="3">
        <v>25</v>
      </c>
      <c r="F117" s="245" t="s">
        <v>108</v>
      </c>
      <c r="G117" s="96" t="str">
        <f>IFERROR(IF(VLOOKUP(TableHandbook[[#This Row],[UDC]],TableAvailabilities[],2,FALSE)&gt;0,"Y",""),"")</f>
        <v/>
      </c>
      <c r="H117" s="96" t="str">
        <f>IFERROR(IF(VLOOKUP(TableHandbook[[#This Row],[UDC]],TableAvailabilities[],3,FALSE)&gt;0,"Y",""),"")</f>
        <v/>
      </c>
      <c r="I117" s="96" t="str">
        <f>IFERROR(IF(VLOOKUP(TableHandbook[[#This Row],[UDC]],TableAvailabilities[],4,FALSE)&gt;0,"Y",""),"")</f>
        <v>Y</v>
      </c>
      <c r="J117" s="96" t="str">
        <f>IFERROR(IF(VLOOKUP(TableHandbook[[#This Row],[UDC]],TableAvailabilities[],5,FALSE)&gt;0,"Y",""),"")</f>
        <v>Y</v>
      </c>
      <c r="K117" s="209" t="s">
        <v>433</v>
      </c>
      <c r="L117" s="213" t="str">
        <f>IFERROR(VLOOKUP(TableHandbook[[#This Row],[UDC]],TableMCARTS[],7,FALSE),"")</f>
        <v/>
      </c>
      <c r="M117" s="211" t="str">
        <f>IFERROR(VLOOKUP(TableHandbook[[#This Row],[UDC]],TableMJRPCWRIT[],7,FALSE),"")</f>
        <v/>
      </c>
      <c r="N117" s="211" t="str">
        <f>IFERROR(VLOOKUP(TableHandbook[[#This Row],[UDC]],TableMJRPDGCMS[],7,FALSE),"")</f>
        <v>Option</v>
      </c>
      <c r="O117" s="211" t="str">
        <f>IFERROR(VLOOKUP(TableHandbook[[#This Row],[UDC]],TableMJRPFINAR[],7,FALSE),"")</f>
        <v/>
      </c>
      <c r="P117" s="211" t="str">
        <f>IFERROR(VLOOKUP(TableHandbook[[#This Row],[UDC]],TableMJRPPWRIT[],7,FALSE),"")</f>
        <v/>
      </c>
      <c r="Q117" s="211" t="str">
        <f>IFERROR(VLOOKUP(TableHandbook[[#This Row],[UDC]],TableMJRPSCRAR[],7,FALSE),"")</f>
        <v>Option</v>
      </c>
      <c r="R117" s="213" t="str">
        <f>IFERROR(VLOOKUP(TableHandbook[[#This Row],[UDC]],TableMCMMJRG[],7,FALSE),"")</f>
        <v/>
      </c>
      <c r="S117" s="211" t="str">
        <f>IFERROR(VLOOKUP(TableHandbook[[#This Row],[UDC]],TableMCMMJRN[],7,FALSE),"")</f>
        <v/>
      </c>
      <c r="T117" s="211" t="str">
        <f>IFERROR(VLOOKUP(TableHandbook[[#This Row],[UDC]],TableGDMMJRN[],7,FALSE),"")</f>
        <v/>
      </c>
      <c r="U117" s="211" t="str">
        <f>IFERROR(VLOOKUP(TableHandbook[[#This Row],[UDC]],TableGCMMJRN[],7,FALSE),"")</f>
        <v/>
      </c>
      <c r="V117" s="213" t="str">
        <f>IFERROR(VLOOKUP(TableHandbook[[#This Row],[UDC]],TableMCHRIGLO[],7,FALSE),"")</f>
        <v/>
      </c>
      <c r="W117" s="211" t="str">
        <f>IFERROR(VLOOKUP(TableHandbook[[#This Row],[UDC]],TableMCHRIGHT[],7,FALSE),"")</f>
        <v/>
      </c>
      <c r="X117" s="211" t="str">
        <f>IFERROR(VLOOKUP(TableHandbook[[#This Row],[UDC]],TableGDHRIGHT[],7,FALSE),"")</f>
        <v/>
      </c>
      <c r="Y117" s="211" t="str">
        <f>IFERROR(VLOOKUP(TableHandbook[[#This Row],[UDC]],TableGCHRIGHT[],7,FALSE),"")</f>
        <v/>
      </c>
      <c r="Z117" s="213" t="str">
        <f>IFERROR(VLOOKUP(TableHandbook[[#This Row],[UDC]],TableMCGLOBL2[],7,FALSE),"")</f>
        <v/>
      </c>
      <c r="AA117" s="211" t="str">
        <f>IFERROR(VLOOKUP(TableHandbook[[#This Row],[UDC]],TableMCGLOBL[],7,FALSE),"")</f>
        <v/>
      </c>
      <c r="AB117" s="211" t="str">
        <f>IFERROR(VLOOKUP(TableHandbook[[#This Row],[UDC]],TableSTRPGLOBL[],7,FALSE),"")</f>
        <v/>
      </c>
      <c r="AC117" s="211" t="str">
        <f>IFERROR(VLOOKUP(TableHandbook[[#This Row],[UDC]],TableSTRPHRIGT[],7,FALSE),"")</f>
        <v/>
      </c>
      <c r="AD117" s="211" t="str">
        <f>IFERROR(VLOOKUP(TableHandbook[[#This Row],[UDC]],TableSTRPINTRN[],7,FALSE),"")</f>
        <v/>
      </c>
      <c r="AE117" s="211" t="str">
        <f>IFERROR(VLOOKUP(TableHandbook[[#This Row],[UDC]],TableGCGLOBL[],7,FALSE),"")</f>
        <v/>
      </c>
      <c r="AF117" s="213" t="str">
        <f>IFERROR(VLOOKUP(TableHandbook[[#This Row],[UDC]],TableMCINTREL[],7,FALSE),"")</f>
        <v/>
      </c>
      <c r="AG117" s="211" t="str">
        <f>IFERROR(VLOOKUP(TableHandbook[[#This Row],[UDC]],TableMCINTSEC[],7,FALSE),"")</f>
        <v/>
      </c>
      <c r="AH117" s="211" t="str">
        <f>IFERROR(VLOOKUP(TableHandbook[[#This Row],[UDC]],TableGDINTSEC[],7,FALSE),"")</f>
        <v/>
      </c>
      <c r="AI117" s="211" t="str">
        <f>IFERROR(VLOOKUP(TableHandbook[[#This Row],[UDC]],TableGCINTSEC[],7,FALSE),"")</f>
        <v/>
      </c>
      <c r="AJ117" s="211" t="str">
        <f>IFERROR(VLOOKUP(TableHandbook[[#This Row],[UDC]],TableGCINTELL[],7,FALSE),"")</f>
        <v/>
      </c>
      <c r="AK117" s="211" t="str">
        <f>IFERROR(VLOOKUP(TableHandbook[[#This Row],[UDC]],TableGCIPCSEC[],7,FALSE),"")</f>
        <v/>
      </c>
    </row>
    <row r="118" spans="1:37" x14ac:dyDescent="0.3">
      <c r="A118" s="2" t="s">
        <v>538</v>
      </c>
      <c r="B118" s="3">
        <v>2</v>
      </c>
      <c r="C118" s="3"/>
      <c r="D118" s="209" t="s">
        <v>539</v>
      </c>
      <c r="E118" s="3">
        <v>25</v>
      </c>
      <c r="F118" s="149" t="s">
        <v>108</v>
      </c>
      <c r="G118" s="96" t="str">
        <f>IFERROR(IF(VLOOKUP(TableHandbook[[#This Row],[UDC]],TableAvailabilities[],2,FALSE)&gt;0,"Y",""),"")</f>
        <v/>
      </c>
      <c r="H118" s="96" t="str">
        <f>IFERROR(IF(VLOOKUP(TableHandbook[[#This Row],[UDC]],TableAvailabilities[],3,FALSE)&gt;0,"Y",""),"")</f>
        <v/>
      </c>
      <c r="I118" s="96" t="str">
        <f>IFERROR(IF(VLOOKUP(TableHandbook[[#This Row],[UDC]],TableAvailabilities[],4,FALSE)&gt;0,"Y",""),"")</f>
        <v/>
      </c>
      <c r="J118" s="96" t="str">
        <f>IFERROR(IF(VLOOKUP(TableHandbook[[#This Row],[UDC]],TableAvailabilities[],5,FALSE)&gt;0,"Y",""),"")</f>
        <v/>
      </c>
      <c r="K118" s="209" t="s">
        <v>436</v>
      </c>
      <c r="L118" s="213" t="str">
        <f>IFERROR(VLOOKUP(TableHandbook[[#This Row],[UDC]],TableMCARTS[],7,FALSE),"")</f>
        <v/>
      </c>
      <c r="M118" s="211" t="str">
        <f>IFERROR(VLOOKUP(TableHandbook[[#This Row],[UDC]],TableMJRPCWRIT[],7,FALSE),"")</f>
        <v/>
      </c>
      <c r="N118" s="211" t="str">
        <f>IFERROR(VLOOKUP(TableHandbook[[#This Row],[UDC]],TableMJRPDGCMS[],7,FALSE),"")</f>
        <v/>
      </c>
      <c r="O118" s="211" t="str">
        <f>IFERROR(VLOOKUP(TableHandbook[[#This Row],[UDC]],TableMJRPFINAR[],7,FALSE),"")</f>
        <v/>
      </c>
      <c r="P118" s="211" t="str">
        <f>IFERROR(VLOOKUP(TableHandbook[[#This Row],[UDC]],TableMJRPPWRIT[],7,FALSE),"")</f>
        <v/>
      </c>
      <c r="Q118" s="211" t="str">
        <f>IFERROR(VLOOKUP(TableHandbook[[#This Row],[UDC]],TableMJRPSCRAR[],7,FALSE),"")</f>
        <v/>
      </c>
      <c r="R118" s="213" t="str">
        <f>IFERROR(VLOOKUP(TableHandbook[[#This Row],[UDC]],TableMCMMJRG[],7,FALSE),"")</f>
        <v/>
      </c>
      <c r="S118" s="211" t="str">
        <f>IFERROR(VLOOKUP(TableHandbook[[#This Row],[UDC]],TableMCMMJRN[],7,FALSE),"")</f>
        <v/>
      </c>
      <c r="T118" s="211" t="str">
        <f>IFERROR(VLOOKUP(TableHandbook[[#This Row],[UDC]],TableGDMMJRN[],7,FALSE),"")</f>
        <v/>
      </c>
      <c r="U118" s="211" t="str">
        <f>IFERROR(VLOOKUP(TableHandbook[[#This Row],[UDC]],TableGCMMJRN[],7,FALSE),"")</f>
        <v/>
      </c>
      <c r="V118" s="213" t="str">
        <f>IFERROR(VLOOKUP(TableHandbook[[#This Row],[UDC]],TableMCHRIGLO[],7,FALSE),"")</f>
        <v/>
      </c>
      <c r="W118" s="211" t="str">
        <f>IFERROR(VLOOKUP(TableHandbook[[#This Row],[UDC]],TableMCHRIGHT[],7,FALSE),"")</f>
        <v/>
      </c>
      <c r="X118" s="211" t="str">
        <f>IFERROR(VLOOKUP(TableHandbook[[#This Row],[UDC]],TableGDHRIGHT[],7,FALSE),"")</f>
        <v/>
      </c>
      <c r="Y118" s="211" t="str">
        <f>IFERROR(VLOOKUP(TableHandbook[[#This Row],[UDC]],TableGCHRIGHT[],7,FALSE),"")</f>
        <v/>
      </c>
      <c r="Z118" s="213" t="str">
        <f>IFERROR(VLOOKUP(TableHandbook[[#This Row],[UDC]],TableMCGLOBL2[],7,FALSE),"")</f>
        <v/>
      </c>
      <c r="AA118" s="211" t="str">
        <f>IFERROR(VLOOKUP(TableHandbook[[#This Row],[UDC]],TableMCGLOBL[],7,FALSE),"")</f>
        <v/>
      </c>
      <c r="AB118" s="211" t="str">
        <f>IFERROR(VLOOKUP(TableHandbook[[#This Row],[UDC]],TableSTRPGLOBL[],7,FALSE),"")</f>
        <v/>
      </c>
      <c r="AC118" s="211" t="str">
        <f>IFERROR(VLOOKUP(TableHandbook[[#This Row],[UDC]],TableSTRPHRIGT[],7,FALSE),"")</f>
        <v/>
      </c>
      <c r="AD118" s="211" t="str">
        <f>IFERROR(VLOOKUP(TableHandbook[[#This Row],[UDC]],TableSTRPINTRN[],7,FALSE),"")</f>
        <v/>
      </c>
      <c r="AE118" s="211" t="str">
        <f>IFERROR(VLOOKUP(TableHandbook[[#This Row],[UDC]],TableGCGLOBL[],7,FALSE),"")</f>
        <v/>
      </c>
      <c r="AF118" s="213" t="str">
        <f>IFERROR(VLOOKUP(TableHandbook[[#This Row],[UDC]],TableMCINTREL[],7,FALSE),"")</f>
        <v/>
      </c>
      <c r="AG118" s="211" t="str">
        <f>IFERROR(VLOOKUP(TableHandbook[[#This Row],[UDC]],TableMCINTSEC[],7,FALSE),"")</f>
        <v/>
      </c>
      <c r="AH118" s="211" t="str">
        <f>IFERROR(VLOOKUP(TableHandbook[[#This Row],[UDC]],TableGDINTSEC[],7,FALSE),"")</f>
        <v/>
      </c>
      <c r="AI118" s="211" t="str">
        <f>IFERROR(VLOOKUP(TableHandbook[[#This Row],[UDC]],TableGCINTSEC[],7,FALSE),"")</f>
        <v/>
      </c>
      <c r="AJ118" s="211" t="str">
        <f>IFERROR(VLOOKUP(TableHandbook[[#This Row],[UDC]],TableGCINTELL[],7,FALSE),"")</f>
        <v/>
      </c>
      <c r="AK118" s="211" t="str">
        <f>IFERROR(VLOOKUP(TableHandbook[[#This Row],[UDC]],TableGCIPCSEC[],7,FALSE),"")</f>
        <v/>
      </c>
    </row>
    <row r="119" spans="1:37" x14ac:dyDescent="0.3">
      <c r="A119" s="231" t="s">
        <v>212</v>
      </c>
      <c r="B119" s="3">
        <v>4</v>
      </c>
      <c r="C119" s="3"/>
      <c r="D119" s="209" t="s">
        <v>540</v>
      </c>
      <c r="E119" s="3">
        <v>25</v>
      </c>
      <c r="F119" s="245" t="s">
        <v>108</v>
      </c>
      <c r="G119" s="96" t="str">
        <f>IFERROR(IF(VLOOKUP(TableHandbook[[#This Row],[UDC]],TableAvailabilities[],2,FALSE)&gt;0,"Y",""),"")</f>
        <v/>
      </c>
      <c r="H119" s="96" t="str">
        <f>IFERROR(IF(VLOOKUP(TableHandbook[[#This Row],[UDC]],TableAvailabilities[],3,FALSE)&gt;0,"Y",""),"")</f>
        <v/>
      </c>
      <c r="I119" s="96" t="str">
        <f>IFERROR(IF(VLOOKUP(TableHandbook[[#This Row],[UDC]],TableAvailabilities[],4,FALSE)&gt;0,"Y",""),"")</f>
        <v/>
      </c>
      <c r="J119" s="96" t="str">
        <f>IFERROR(IF(VLOOKUP(TableHandbook[[#This Row],[UDC]],TableAvailabilities[],5,FALSE)&gt;0,"Y",""),"")</f>
        <v>Y</v>
      </c>
      <c r="K119" s="209" t="s">
        <v>433</v>
      </c>
      <c r="L119" s="213" t="str">
        <f>IFERROR(VLOOKUP(TableHandbook[[#This Row],[UDC]],TableMCARTS[],7,FALSE),"")</f>
        <v/>
      </c>
      <c r="M119" s="211" t="str">
        <f>IFERROR(VLOOKUP(TableHandbook[[#This Row],[UDC]],TableMJRPCWRIT[],7,FALSE),"")</f>
        <v/>
      </c>
      <c r="N119" s="211" t="str">
        <f>IFERROR(VLOOKUP(TableHandbook[[#This Row],[UDC]],TableMJRPDGCMS[],7,FALSE),"")</f>
        <v>Option</v>
      </c>
      <c r="O119" s="211" t="str">
        <f>IFERROR(VLOOKUP(TableHandbook[[#This Row],[UDC]],TableMJRPFINAR[],7,FALSE),"")</f>
        <v/>
      </c>
      <c r="P119" s="211" t="str">
        <f>IFERROR(VLOOKUP(TableHandbook[[#This Row],[UDC]],TableMJRPPWRIT[],7,FALSE),"")</f>
        <v/>
      </c>
      <c r="Q119" s="211" t="str">
        <f>IFERROR(VLOOKUP(TableHandbook[[#This Row],[UDC]],TableMJRPSCRAR[],7,FALSE),"")</f>
        <v/>
      </c>
      <c r="R119" s="213" t="str">
        <f>IFERROR(VLOOKUP(TableHandbook[[#This Row],[UDC]],TableMCMMJRG[],7,FALSE),"")</f>
        <v/>
      </c>
      <c r="S119" s="211" t="str">
        <f>IFERROR(VLOOKUP(TableHandbook[[#This Row],[UDC]],TableMCMMJRN[],7,FALSE),"")</f>
        <v/>
      </c>
      <c r="T119" s="211" t="str">
        <f>IFERROR(VLOOKUP(TableHandbook[[#This Row],[UDC]],TableGDMMJRN[],7,FALSE),"")</f>
        <v/>
      </c>
      <c r="U119" s="211" t="str">
        <f>IFERROR(VLOOKUP(TableHandbook[[#This Row],[UDC]],TableGCMMJRN[],7,FALSE),"")</f>
        <v/>
      </c>
      <c r="V119" s="213" t="str">
        <f>IFERROR(VLOOKUP(TableHandbook[[#This Row],[UDC]],TableMCHRIGLO[],7,FALSE),"")</f>
        <v/>
      </c>
      <c r="W119" s="211" t="str">
        <f>IFERROR(VLOOKUP(TableHandbook[[#This Row],[UDC]],TableMCHRIGHT[],7,FALSE),"")</f>
        <v/>
      </c>
      <c r="X119" s="211" t="str">
        <f>IFERROR(VLOOKUP(TableHandbook[[#This Row],[UDC]],TableGDHRIGHT[],7,FALSE),"")</f>
        <v/>
      </c>
      <c r="Y119" s="211" t="str">
        <f>IFERROR(VLOOKUP(TableHandbook[[#This Row],[UDC]],TableGCHRIGHT[],7,FALSE),"")</f>
        <v/>
      </c>
      <c r="Z119" s="213" t="str">
        <f>IFERROR(VLOOKUP(TableHandbook[[#This Row],[UDC]],TableMCGLOBL2[],7,FALSE),"")</f>
        <v/>
      </c>
      <c r="AA119" s="211" t="str">
        <f>IFERROR(VLOOKUP(TableHandbook[[#This Row],[UDC]],TableMCGLOBL[],7,FALSE),"")</f>
        <v/>
      </c>
      <c r="AB119" s="211" t="str">
        <f>IFERROR(VLOOKUP(TableHandbook[[#This Row],[UDC]],TableSTRPGLOBL[],7,FALSE),"")</f>
        <v/>
      </c>
      <c r="AC119" s="211" t="str">
        <f>IFERROR(VLOOKUP(TableHandbook[[#This Row],[UDC]],TableSTRPHRIGT[],7,FALSE),"")</f>
        <v/>
      </c>
      <c r="AD119" s="211" t="str">
        <f>IFERROR(VLOOKUP(TableHandbook[[#This Row],[UDC]],TableSTRPINTRN[],7,FALSE),"")</f>
        <v/>
      </c>
      <c r="AE119" s="211" t="str">
        <f>IFERROR(VLOOKUP(TableHandbook[[#This Row],[UDC]],TableGCGLOBL[],7,FALSE),"")</f>
        <v/>
      </c>
      <c r="AF119" s="213" t="str">
        <f>IFERROR(VLOOKUP(TableHandbook[[#This Row],[UDC]],TableMCINTREL[],7,FALSE),"")</f>
        <v/>
      </c>
      <c r="AG119" s="211" t="str">
        <f>IFERROR(VLOOKUP(TableHandbook[[#This Row],[UDC]],TableMCINTSEC[],7,FALSE),"")</f>
        <v/>
      </c>
      <c r="AH119" s="211" t="str">
        <f>IFERROR(VLOOKUP(TableHandbook[[#This Row],[UDC]],TableGDINTSEC[],7,FALSE),"")</f>
        <v/>
      </c>
      <c r="AI119" s="211" t="str">
        <f>IFERROR(VLOOKUP(TableHandbook[[#This Row],[UDC]],TableGCINTSEC[],7,FALSE),"")</f>
        <v/>
      </c>
      <c r="AJ119" s="211" t="str">
        <f>IFERROR(VLOOKUP(TableHandbook[[#This Row],[UDC]],TableGCINTELL[],7,FALSE),"")</f>
        <v/>
      </c>
      <c r="AK119" s="211" t="str">
        <f>IFERROR(VLOOKUP(TableHandbook[[#This Row],[UDC]],TableGCIPCSEC[],7,FALSE),"")</f>
        <v/>
      </c>
    </row>
    <row r="120" spans="1:37" x14ac:dyDescent="0.3">
      <c r="A120" s="2" t="s">
        <v>541</v>
      </c>
      <c r="B120" s="3">
        <v>3</v>
      </c>
      <c r="C120" s="3"/>
      <c r="D120" s="209" t="s">
        <v>542</v>
      </c>
      <c r="E120" s="3">
        <v>25</v>
      </c>
      <c r="F120" s="149" t="s">
        <v>108</v>
      </c>
      <c r="G120" s="96" t="str">
        <f>IFERROR(IF(VLOOKUP(TableHandbook[[#This Row],[UDC]],TableAvailabilities[],2,FALSE)&gt;0,"Y",""),"")</f>
        <v/>
      </c>
      <c r="H120" s="96" t="str">
        <f>IFERROR(IF(VLOOKUP(TableHandbook[[#This Row],[UDC]],TableAvailabilities[],3,FALSE)&gt;0,"Y",""),"")</f>
        <v/>
      </c>
      <c r="I120" s="96" t="str">
        <f>IFERROR(IF(VLOOKUP(TableHandbook[[#This Row],[UDC]],TableAvailabilities[],4,FALSE)&gt;0,"Y",""),"")</f>
        <v/>
      </c>
      <c r="J120" s="96" t="str">
        <f>IFERROR(IF(VLOOKUP(TableHandbook[[#This Row],[UDC]],TableAvailabilities[],5,FALSE)&gt;0,"Y",""),"")</f>
        <v/>
      </c>
      <c r="K120" s="209" t="s">
        <v>436</v>
      </c>
      <c r="L120" s="213" t="str">
        <f>IFERROR(VLOOKUP(TableHandbook[[#This Row],[UDC]],TableMCARTS[],7,FALSE),"")</f>
        <v/>
      </c>
      <c r="M120" s="211" t="str">
        <f>IFERROR(VLOOKUP(TableHandbook[[#This Row],[UDC]],TableMJRPCWRIT[],7,FALSE),"")</f>
        <v/>
      </c>
      <c r="N120" s="211" t="str">
        <f>IFERROR(VLOOKUP(TableHandbook[[#This Row],[UDC]],TableMJRPDGCMS[],7,FALSE),"")</f>
        <v/>
      </c>
      <c r="O120" s="211" t="str">
        <f>IFERROR(VLOOKUP(TableHandbook[[#This Row],[UDC]],TableMJRPFINAR[],7,FALSE),"")</f>
        <v/>
      </c>
      <c r="P120" s="211" t="str">
        <f>IFERROR(VLOOKUP(TableHandbook[[#This Row],[UDC]],TableMJRPPWRIT[],7,FALSE),"")</f>
        <v/>
      </c>
      <c r="Q120" s="211" t="str">
        <f>IFERROR(VLOOKUP(TableHandbook[[#This Row],[UDC]],TableMJRPSCRAR[],7,FALSE),"")</f>
        <v/>
      </c>
      <c r="R120" s="213" t="str">
        <f>IFERROR(VLOOKUP(TableHandbook[[#This Row],[UDC]],TableMCMMJRG[],7,FALSE),"")</f>
        <v/>
      </c>
      <c r="S120" s="211" t="str">
        <f>IFERROR(VLOOKUP(TableHandbook[[#This Row],[UDC]],TableMCMMJRN[],7,FALSE),"")</f>
        <v/>
      </c>
      <c r="T120" s="211" t="str">
        <f>IFERROR(VLOOKUP(TableHandbook[[#This Row],[UDC]],TableGDMMJRN[],7,FALSE),"")</f>
        <v/>
      </c>
      <c r="U120" s="211" t="str">
        <f>IFERROR(VLOOKUP(TableHandbook[[#This Row],[UDC]],TableGCMMJRN[],7,FALSE),"")</f>
        <v/>
      </c>
      <c r="V120" s="213" t="str">
        <f>IFERROR(VLOOKUP(TableHandbook[[#This Row],[UDC]],TableMCHRIGLO[],7,FALSE),"")</f>
        <v/>
      </c>
      <c r="W120" s="211" t="str">
        <f>IFERROR(VLOOKUP(TableHandbook[[#This Row],[UDC]],TableMCHRIGHT[],7,FALSE),"")</f>
        <v/>
      </c>
      <c r="X120" s="211" t="str">
        <f>IFERROR(VLOOKUP(TableHandbook[[#This Row],[UDC]],TableGDHRIGHT[],7,FALSE),"")</f>
        <v/>
      </c>
      <c r="Y120" s="211" t="str">
        <f>IFERROR(VLOOKUP(TableHandbook[[#This Row],[UDC]],TableGCHRIGHT[],7,FALSE),"")</f>
        <v/>
      </c>
      <c r="Z120" s="213" t="str">
        <f>IFERROR(VLOOKUP(TableHandbook[[#This Row],[UDC]],TableMCGLOBL2[],7,FALSE),"")</f>
        <v/>
      </c>
      <c r="AA120" s="211" t="str">
        <f>IFERROR(VLOOKUP(TableHandbook[[#This Row],[UDC]],TableMCGLOBL[],7,FALSE),"")</f>
        <v/>
      </c>
      <c r="AB120" s="211" t="str">
        <f>IFERROR(VLOOKUP(TableHandbook[[#This Row],[UDC]],TableSTRPGLOBL[],7,FALSE),"")</f>
        <v/>
      </c>
      <c r="AC120" s="211" t="str">
        <f>IFERROR(VLOOKUP(TableHandbook[[#This Row],[UDC]],TableSTRPHRIGT[],7,FALSE),"")</f>
        <v/>
      </c>
      <c r="AD120" s="211" t="str">
        <f>IFERROR(VLOOKUP(TableHandbook[[#This Row],[UDC]],TableSTRPINTRN[],7,FALSE),"")</f>
        <v/>
      </c>
      <c r="AE120" s="211" t="str">
        <f>IFERROR(VLOOKUP(TableHandbook[[#This Row],[UDC]],TableGCGLOBL[],7,FALSE),"")</f>
        <v/>
      </c>
      <c r="AF120" s="213" t="str">
        <f>IFERROR(VLOOKUP(TableHandbook[[#This Row],[UDC]],TableMCINTREL[],7,FALSE),"")</f>
        <v/>
      </c>
      <c r="AG120" s="211" t="str">
        <f>IFERROR(VLOOKUP(TableHandbook[[#This Row],[UDC]],TableMCINTSEC[],7,FALSE),"")</f>
        <v/>
      </c>
      <c r="AH120" s="211" t="str">
        <f>IFERROR(VLOOKUP(TableHandbook[[#This Row],[UDC]],TableGDINTSEC[],7,FALSE),"")</f>
        <v/>
      </c>
      <c r="AI120" s="211" t="str">
        <f>IFERROR(VLOOKUP(TableHandbook[[#This Row],[UDC]],TableGCINTSEC[],7,FALSE),"")</f>
        <v/>
      </c>
      <c r="AJ120" s="211" t="str">
        <f>IFERROR(VLOOKUP(TableHandbook[[#This Row],[UDC]],TableGCINTELL[],7,FALSE),"")</f>
        <v/>
      </c>
      <c r="AK120" s="211" t="str">
        <f>IFERROR(VLOOKUP(TableHandbook[[#This Row],[UDC]],TableGCIPCSEC[],7,FALSE),"")</f>
        <v/>
      </c>
    </row>
    <row r="121" spans="1:37" x14ac:dyDescent="0.3">
      <c r="A121" s="231" t="s">
        <v>215</v>
      </c>
      <c r="B121" s="3">
        <v>3</v>
      </c>
      <c r="C121" s="3"/>
      <c r="D121" s="209" t="s">
        <v>543</v>
      </c>
      <c r="E121" s="3">
        <v>25</v>
      </c>
      <c r="F121" s="245" t="s">
        <v>108</v>
      </c>
      <c r="G121" s="96" t="str">
        <f>IFERROR(IF(VLOOKUP(TableHandbook[[#This Row],[UDC]],TableAvailabilities[],2,FALSE)&gt;0,"Y",""),"")</f>
        <v>Y</v>
      </c>
      <c r="H121" s="96" t="str">
        <f>IFERROR(IF(VLOOKUP(TableHandbook[[#This Row],[UDC]],TableAvailabilities[],3,FALSE)&gt;0,"Y",""),"")</f>
        <v>Y</v>
      </c>
      <c r="I121" s="96" t="str">
        <f>IFERROR(IF(VLOOKUP(TableHandbook[[#This Row],[UDC]],TableAvailabilities[],4,FALSE)&gt;0,"Y",""),"")</f>
        <v/>
      </c>
      <c r="J121" s="96" t="str">
        <f>IFERROR(IF(VLOOKUP(TableHandbook[[#This Row],[UDC]],TableAvailabilities[],5,FALSE)&gt;0,"Y",""),"")</f>
        <v/>
      </c>
      <c r="K121" s="209" t="s">
        <v>433</v>
      </c>
      <c r="L121" s="213" t="str">
        <f>IFERROR(VLOOKUP(TableHandbook[[#This Row],[UDC]],TableMCARTS[],7,FALSE),"")</f>
        <v/>
      </c>
      <c r="M121" s="211" t="str">
        <f>IFERROR(VLOOKUP(TableHandbook[[#This Row],[UDC]],TableMJRPCWRIT[],7,FALSE),"")</f>
        <v/>
      </c>
      <c r="N121" s="211" t="str">
        <f>IFERROR(VLOOKUP(TableHandbook[[#This Row],[UDC]],TableMJRPDGCMS[],7,FALSE),"")</f>
        <v>Option</v>
      </c>
      <c r="O121" s="211" t="str">
        <f>IFERROR(VLOOKUP(TableHandbook[[#This Row],[UDC]],TableMJRPFINAR[],7,FALSE),"")</f>
        <v/>
      </c>
      <c r="P121" s="211" t="str">
        <f>IFERROR(VLOOKUP(TableHandbook[[#This Row],[UDC]],TableMJRPPWRIT[],7,FALSE),"")</f>
        <v>Option</v>
      </c>
      <c r="Q121" s="211" t="str">
        <f>IFERROR(VLOOKUP(TableHandbook[[#This Row],[UDC]],TableMJRPSCRAR[],7,FALSE),"")</f>
        <v/>
      </c>
      <c r="R121" s="213" t="str">
        <f>IFERROR(VLOOKUP(TableHandbook[[#This Row],[UDC]],TableMCMMJRG[],7,FALSE),"")</f>
        <v>AltCore</v>
      </c>
      <c r="S121" s="211" t="str">
        <f>IFERROR(VLOOKUP(TableHandbook[[#This Row],[UDC]],TableMCMMJRN[],7,FALSE),"")</f>
        <v>Option</v>
      </c>
      <c r="T121" s="211" t="str">
        <f>IFERROR(VLOOKUP(TableHandbook[[#This Row],[UDC]],TableGDMMJRN[],7,FALSE),"")</f>
        <v/>
      </c>
      <c r="U121" s="211" t="str">
        <f>IFERROR(VLOOKUP(TableHandbook[[#This Row],[UDC]],TableGCMMJRN[],7,FALSE),"")</f>
        <v/>
      </c>
      <c r="V121" s="213" t="str">
        <f>IFERROR(VLOOKUP(TableHandbook[[#This Row],[UDC]],TableMCHRIGLO[],7,FALSE),"")</f>
        <v/>
      </c>
      <c r="W121" s="211" t="str">
        <f>IFERROR(VLOOKUP(TableHandbook[[#This Row],[UDC]],TableMCHRIGHT[],7,FALSE),"")</f>
        <v/>
      </c>
      <c r="X121" s="211" t="str">
        <f>IFERROR(VLOOKUP(TableHandbook[[#This Row],[UDC]],TableGDHRIGHT[],7,FALSE),"")</f>
        <v/>
      </c>
      <c r="Y121" s="211" t="str">
        <f>IFERROR(VLOOKUP(TableHandbook[[#This Row],[UDC]],TableGCHRIGHT[],7,FALSE),"")</f>
        <v/>
      </c>
      <c r="Z121" s="213" t="str">
        <f>IFERROR(VLOOKUP(TableHandbook[[#This Row],[UDC]],TableMCGLOBL2[],7,FALSE),"")</f>
        <v/>
      </c>
      <c r="AA121" s="211" t="str">
        <f>IFERROR(VLOOKUP(TableHandbook[[#This Row],[UDC]],TableMCGLOBL[],7,FALSE),"")</f>
        <v/>
      </c>
      <c r="AB121" s="211" t="str">
        <f>IFERROR(VLOOKUP(TableHandbook[[#This Row],[UDC]],TableSTRPGLOBL[],7,FALSE),"")</f>
        <v/>
      </c>
      <c r="AC121" s="211" t="str">
        <f>IFERROR(VLOOKUP(TableHandbook[[#This Row],[UDC]],TableSTRPHRIGT[],7,FALSE),"")</f>
        <v/>
      </c>
      <c r="AD121" s="211" t="str">
        <f>IFERROR(VLOOKUP(TableHandbook[[#This Row],[UDC]],TableSTRPINTRN[],7,FALSE),"")</f>
        <v/>
      </c>
      <c r="AE121" s="211" t="str">
        <f>IFERROR(VLOOKUP(TableHandbook[[#This Row],[UDC]],TableGCGLOBL[],7,FALSE),"")</f>
        <v/>
      </c>
      <c r="AF121" s="213" t="str">
        <f>IFERROR(VLOOKUP(TableHandbook[[#This Row],[UDC]],TableMCINTREL[],7,FALSE),"")</f>
        <v/>
      </c>
      <c r="AG121" s="211" t="str">
        <f>IFERROR(VLOOKUP(TableHandbook[[#This Row],[UDC]],TableMCINTSEC[],7,FALSE),"")</f>
        <v/>
      </c>
      <c r="AH121" s="211" t="str">
        <f>IFERROR(VLOOKUP(TableHandbook[[#This Row],[UDC]],TableGDINTSEC[],7,FALSE),"")</f>
        <v/>
      </c>
      <c r="AI121" s="211" t="str">
        <f>IFERROR(VLOOKUP(TableHandbook[[#This Row],[UDC]],TableGCINTSEC[],7,FALSE),"")</f>
        <v/>
      </c>
      <c r="AJ121" s="211" t="str">
        <f>IFERROR(VLOOKUP(TableHandbook[[#This Row],[UDC]],TableGCINTELL[],7,FALSE),"")</f>
        <v/>
      </c>
      <c r="AK121" s="211" t="str">
        <f>IFERROR(VLOOKUP(TableHandbook[[#This Row],[UDC]],TableGCIPCSEC[],7,FALSE),"")</f>
        <v/>
      </c>
    </row>
    <row r="122" spans="1:37" x14ac:dyDescent="0.3">
      <c r="A122" s="2" t="s">
        <v>544</v>
      </c>
      <c r="B122" s="3">
        <v>2</v>
      </c>
      <c r="C122" s="3"/>
      <c r="D122" s="209" t="s">
        <v>545</v>
      </c>
      <c r="E122" s="3">
        <v>25</v>
      </c>
      <c r="F122" s="149" t="s">
        <v>108</v>
      </c>
      <c r="G122" s="96" t="str">
        <f>IFERROR(IF(VLOOKUP(TableHandbook[[#This Row],[UDC]],TableAvailabilities[],2,FALSE)&gt;0,"Y",""),"")</f>
        <v/>
      </c>
      <c r="H122" s="96" t="str">
        <f>IFERROR(IF(VLOOKUP(TableHandbook[[#This Row],[UDC]],TableAvailabilities[],3,FALSE)&gt;0,"Y",""),"")</f>
        <v/>
      </c>
      <c r="I122" s="96" t="str">
        <f>IFERROR(IF(VLOOKUP(TableHandbook[[#This Row],[UDC]],TableAvailabilities[],4,FALSE)&gt;0,"Y",""),"")</f>
        <v/>
      </c>
      <c r="J122" s="96" t="str">
        <f>IFERROR(IF(VLOOKUP(TableHandbook[[#This Row],[UDC]],TableAvailabilities[],5,FALSE)&gt;0,"Y",""),"")</f>
        <v/>
      </c>
      <c r="K122" s="209" t="s">
        <v>436</v>
      </c>
      <c r="L122" s="213" t="str">
        <f>IFERROR(VLOOKUP(TableHandbook[[#This Row],[UDC]],TableMCARTS[],7,FALSE),"")</f>
        <v/>
      </c>
      <c r="M122" s="211" t="str">
        <f>IFERROR(VLOOKUP(TableHandbook[[#This Row],[UDC]],TableMJRPCWRIT[],7,FALSE),"")</f>
        <v/>
      </c>
      <c r="N122" s="211" t="str">
        <f>IFERROR(VLOOKUP(TableHandbook[[#This Row],[UDC]],TableMJRPDGCMS[],7,FALSE),"")</f>
        <v/>
      </c>
      <c r="O122" s="211" t="str">
        <f>IFERROR(VLOOKUP(TableHandbook[[#This Row],[UDC]],TableMJRPFINAR[],7,FALSE),"")</f>
        <v/>
      </c>
      <c r="P122" s="211" t="str">
        <f>IFERROR(VLOOKUP(TableHandbook[[#This Row],[UDC]],TableMJRPPWRIT[],7,FALSE),"")</f>
        <v/>
      </c>
      <c r="Q122" s="211" t="str">
        <f>IFERROR(VLOOKUP(TableHandbook[[#This Row],[UDC]],TableMJRPSCRAR[],7,FALSE),"")</f>
        <v/>
      </c>
      <c r="R122" s="213" t="str">
        <f>IFERROR(VLOOKUP(TableHandbook[[#This Row],[UDC]],TableMCMMJRG[],7,FALSE),"")</f>
        <v/>
      </c>
      <c r="S122" s="211" t="str">
        <f>IFERROR(VLOOKUP(TableHandbook[[#This Row],[UDC]],TableMCMMJRN[],7,FALSE),"")</f>
        <v/>
      </c>
      <c r="T122" s="211" t="str">
        <f>IFERROR(VLOOKUP(TableHandbook[[#This Row],[UDC]],TableGDMMJRN[],7,FALSE),"")</f>
        <v/>
      </c>
      <c r="U122" s="211" t="str">
        <f>IFERROR(VLOOKUP(TableHandbook[[#This Row],[UDC]],TableGCMMJRN[],7,FALSE),"")</f>
        <v/>
      </c>
      <c r="V122" s="213" t="str">
        <f>IFERROR(VLOOKUP(TableHandbook[[#This Row],[UDC]],TableMCHRIGLO[],7,FALSE),"")</f>
        <v/>
      </c>
      <c r="W122" s="211" t="str">
        <f>IFERROR(VLOOKUP(TableHandbook[[#This Row],[UDC]],TableMCHRIGHT[],7,FALSE),"")</f>
        <v/>
      </c>
      <c r="X122" s="211" t="str">
        <f>IFERROR(VLOOKUP(TableHandbook[[#This Row],[UDC]],TableGDHRIGHT[],7,FALSE),"")</f>
        <v/>
      </c>
      <c r="Y122" s="211" t="str">
        <f>IFERROR(VLOOKUP(TableHandbook[[#This Row],[UDC]],TableGCHRIGHT[],7,FALSE),"")</f>
        <v/>
      </c>
      <c r="Z122" s="213" t="str">
        <f>IFERROR(VLOOKUP(TableHandbook[[#This Row],[UDC]],TableMCGLOBL2[],7,FALSE),"")</f>
        <v/>
      </c>
      <c r="AA122" s="211" t="str">
        <f>IFERROR(VLOOKUP(TableHandbook[[#This Row],[UDC]],TableMCGLOBL[],7,FALSE),"")</f>
        <v/>
      </c>
      <c r="AB122" s="211" t="str">
        <f>IFERROR(VLOOKUP(TableHandbook[[#This Row],[UDC]],TableSTRPGLOBL[],7,FALSE),"")</f>
        <v/>
      </c>
      <c r="AC122" s="211" t="str">
        <f>IFERROR(VLOOKUP(TableHandbook[[#This Row],[UDC]],TableSTRPHRIGT[],7,FALSE),"")</f>
        <v/>
      </c>
      <c r="AD122" s="211" t="str">
        <f>IFERROR(VLOOKUP(TableHandbook[[#This Row],[UDC]],TableSTRPINTRN[],7,FALSE),"")</f>
        <v/>
      </c>
      <c r="AE122" s="211" t="str">
        <f>IFERROR(VLOOKUP(TableHandbook[[#This Row],[UDC]],TableGCGLOBL[],7,FALSE),"")</f>
        <v/>
      </c>
      <c r="AF122" s="213" t="str">
        <f>IFERROR(VLOOKUP(TableHandbook[[#This Row],[UDC]],TableMCINTREL[],7,FALSE),"")</f>
        <v/>
      </c>
      <c r="AG122" s="211" t="str">
        <f>IFERROR(VLOOKUP(TableHandbook[[#This Row],[UDC]],TableMCINTSEC[],7,FALSE),"")</f>
        <v/>
      </c>
      <c r="AH122" s="211" t="str">
        <f>IFERROR(VLOOKUP(TableHandbook[[#This Row],[UDC]],TableGDINTSEC[],7,FALSE),"")</f>
        <v/>
      </c>
      <c r="AI122" s="211" t="str">
        <f>IFERROR(VLOOKUP(TableHandbook[[#This Row],[UDC]],TableGCINTSEC[],7,FALSE),"")</f>
        <v/>
      </c>
      <c r="AJ122" s="211" t="str">
        <f>IFERROR(VLOOKUP(TableHandbook[[#This Row],[UDC]],TableGCINTELL[],7,FALSE),"")</f>
        <v/>
      </c>
      <c r="AK122" s="211" t="str">
        <f>IFERROR(VLOOKUP(TableHandbook[[#This Row],[UDC]],TableGCIPCSEC[],7,FALSE),"")</f>
        <v/>
      </c>
    </row>
    <row r="123" spans="1:37" x14ac:dyDescent="0.3">
      <c r="A123" s="231" t="s">
        <v>182</v>
      </c>
      <c r="B123" s="3">
        <v>3</v>
      </c>
      <c r="C123" s="3"/>
      <c r="D123" s="209" t="s">
        <v>546</v>
      </c>
      <c r="E123" s="3">
        <v>25</v>
      </c>
      <c r="F123" s="245" t="s">
        <v>108</v>
      </c>
      <c r="G123" s="96" t="str">
        <f>IFERROR(IF(VLOOKUP(TableHandbook[[#This Row],[UDC]],TableAvailabilities[],2,FALSE)&gt;0,"Y",""),"")</f>
        <v/>
      </c>
      <c r="H123" s="96" t="str">
        <f>IFERROR(IF(VLOOKUP(TableHandbook[[#This Row],[UDC]],TableAvailabilities[],3,FALSE)&gt;0,"Y",""),"")</f>
        <v/>
      </c>
      <c r="I123" s="96" t="str">
        <f>IFERROR(IF(VLOOKUP(TableHandbook[[#This Row],[UDC]],TableAvailabilities[],4,FALSE)&gt;0,"Y",""),"")</f>
        <v>Y</v>
      </c>
      <c r="J123" s="96" t="str">
        <f>IFERROR(IF(VLOOKUP(TableHandbook[[#This Row],[UDC]],TableAvailabilities[],5,FALSE)&gt;0,"Y",""),"")</f>
        <v>Y</v>
      </c>
      <c r="K123" s="209" t="s">
        <v>433</v>
      </c>
      <c r="L123" s="213" t="str">
        <f>IFERROR(VLOOKUP(TableHandbook[[#This Row],[UDC]],TableMCARTS[],7,FALSE),"")</f>
        <v/>
      </c>
      <c r="M123" s="211" t="str">
        <f>IFERROR(VLOOKUP(TableHandbook[[#This Row],[UDC]],TableMJRPCWRIT[],7,FALSE),"")</f>
        <v/>
      </c>
      <c r="N123" s="211" t="str">
        <f>IFERROR(VLOOKUP(TableHandbook[[#This Row],[UDC]],TableMJRPDGCMS[],7,FALSE),"")</f>
        <v>Option</v>
      </c>
      <c r="O123" s="211" t="str">
        <f>IFERROR(VLOOKUP(TableHandbook[[#This Row],[UDC]],TableMJRPFINAR[],7,FALSE),"")</f>
        <v/>
      </c>
      <c r="P123" s="211" t="str">
        <f>IFERROR(VLOOKUP(TableHandbook[[#This Row],[UDC]],TableMJRPPWRIT[],7,FALSE),"")</f>
        <v>Option</v>
      </c>
      <c r="Q123" s="211" t="str">
        <f>IFERROR(VLOOKUP(TableHandbook[[#This Row],[UDC]],TableMJRPSCRAR[],7,FALSE),"")</f>
        <v>Option</v>
      </c>
      <c r="R123" s="213" t="str">
        <f>IFERROR(VLOOKUP(TableHandbook[[#This Row],[UDC]],TableMCMMJRG[],7,FALSE),"")</f>
        <v/>
      </c>
      <c r="S123" s="211" t="str">
        <f>IFERROR(VLOOKUP(TableHandbook[[#This Row],[UDC]],TableMCMMJRN[],7,FALSE),"")</f>
        <v/>
      </c>
      <c r="T123" s="211" t="str">
        <f>IFERROR(VLOOKUP(TableHandbook[[#This Row],[UDC]],TableGDMMJRN[],7,FALSE),"")</f>
        <v/>
      </c>
      <c r="U123" s="211" t="str">
        <f>IFERROR(VLOOKUP(TableHandbook[[#This Row],[UDC]],TableGCMMJRN[],7,FALSE),"")</f>
        <v/>
      </c>
      <c r="V123" s="213" t="str">
        <f>IFERROR(VLOOKUP(TableHandbook[[#This Row],[UDC]],TableMCHRIGLO[],7,FALSE),"")</f>
        <v/>
      </c>
      <c r="W123" s="211" t="str">
        <f>IFERROR(VLOOKUP(TableHandbook[[#This Row],[UDC]],TableMCHRIGHT[],7,FALSE),"")</f>
        <v/>
      </c>
      <c r="X123" s="211" t="str">
        <f>IFERROR(VLOOKUP(TableHandbook[[#This Row],[UDC]],TableGDHRIGHT[],7,FALSE),"")</f>
        <v/>
      </c>
      <c r="Y123" s="211" t="str">
        <f>IFERROR(VLOOKUP(TableHandbook[[#This Row],[UDC]],TableGCHRIGHT[],7,FALSE),"")</f>
        <v/>
      </c>
      <c r="Z123" s="213" t="str">
        <f>IFERROR(VLOOKUP(TableHandbook[[#This Row],[UDC]],TableMCGLOBL2[],7,FALSE),"")</f>
        <v/>
      </c>
      <c r="AA123" s="211" t="str">
        <f>IFERROR(VLOOKUP(TableHandbook[[#This Row],[UDC]],TableMCGLOBL[],7,FALSE),"")</f>
        <v/>
      </c>
      <c r="AB123" s="211" t="str">
        <f>IFERROR(VLOOKUP(TableHandbook[[#This Row],[UDC]],TableSTRPGLOBL[],7,FALSE),"")</f>
        <v/>
      </c>
      <c r="AC123" s="211" t="str">
        <f>IFERROR(VLOOKUP(TableHandbook[[#This Row],[UDC]],TableSTRPHRIGT[],7,FALSE),"")</f>
        <v/>
      </c>
      <c r="AD123" s="211" t="str">
        <f>IFERROR(VLOOKUP(TableHandbook[[#This Row],[UDC]],TableSTRPINTRN[],7,FALSE),"")</f>
        <v/>
      </c>
      <c r="AE123" s="211" t="str">
        <f>IFERROR(VLOOKUP(TableHandbook[[#This Row],[UDC]],TableGCGLOBL[],7,FALSE),"")</f>
        <v/>
      </c>
      <c r="AF123" s="213" t="str">
        <f>IFERROR(VLOOKUP(TableHandbook[[#This Row],[UDC]],TableMCINTREL[],7,FALSE),"")</f>
        <v/>
      </c>
      <c r="AG123" s="211" t="str">
        <f>IFERROR(VLOOKUP(TableHandbook[[#This Row],[UDC]],TableMCINTSEC[],7,FALSE),"")</f>
        <v/>
      </c>
      <c r="AH123" s="211" t="str">
        <f>IFERROR(VLOOKUP(TableHandbook[[#This Row],[UDC]],TableGDINTSEC[],7,FALSE),"")</f>
        <v/>
      </c>
      <c r="AI123" s="211" t="str">
        <f>IFERROR(VLOOKUP(TableHandbook[[#This Row],[UDC]],TableGCINTSEC[],7,FALSE),"")</f>
        <v/>
      </c>
      <c r="AJ123" s="211" t="str">
        <f>IFERROR(VLOOKUP(TableHandbook[[#This Row],[UDC]],TableGCINTELL[],7,FALSE),"")</f>
        <v/>
      </c>
      <c r="AK123" s="211" t="str">
        <f>IFERROR(VLOOKUP(TableHandbook[[#This Row],[UDC]],TableGCIPCSEC[],7,FALSE),"")</f>
        <v/>
      </c>
    </row>
    <row r="124" spans="1:37" x14ac:dyDescent="0.3">
      <c r="A124" s="2" t="s">
        <v>547</v>
      </c>
      <c r="B124" s="3">
        <v>2</v>
      </c>
      <c r="C124" s="3"/>
      <c r="D124" s="209" t="s">
        <v>548</v>
      </c>
      <c r="E124" s="3">
        <v>25</v>
      </c>
      <c r="F124" s="149" t="s">
        <v>108</v>
      </c>
      <c r="G124" s="96" t="str">
        <f>IFERROR(IF(VLOOKUP(TableHandbook[[#This Row],[UDC]],TableAvailabilities[],2,FALSE)&gt;0,"Y",""),"")</f>
        <v/>
      </c>
      <c r="H124" s="96" t="str">
        <f>IFERROR(IF(VLOOKUP(TableHandbook[[#This Row],[UDC]],TableAvailabilities[],3,FALSE)&gt;0,"Y",""),"")</f>
        <v/>
      </c>
      <c r="I124" s="96" t="str">
        <f>IFERROR(IF(VLOOKUP(TableHandbook[[#This Row],[UDC]],TableAvailabilities[],4,FALSE)&gt;0,"Y",""),"")</f>
        <v/>
      </c>
      <c r="J124" s="96" t="str">
        <f>IFERROR(IF(VLOOKUP(TableHandbook[[#This Row],[UDC]],TableAvailabilities[],5,FALSE)&gt;0,"Y",""),"")</f>
        <v/>
      </c>
      <c r="K124" s="209" t="s">
        <v>436</v>
      </c>
      <c r="L124" s="213" t="str">
        <f>IFERROR(VLOOKUP(TableHandbook[[#This Row],[UDC]],TableMCARTS[],7,FALSE),"")</f>
        <v/>
      </c>
      <c r="M124" s="211" t="str">
        <f>IFERROR(VLOOKUP(TableHandbook[[#This Row],[UDC]],TableMJRPCWRIT[],7,FALSE),"")</f>
        <v/>
      </c>
      <c r="N124" s="211" t="str">
        <f>IFERROR(VLOOKUP(TableHandbook[[#This Row],[UDC]],TableMJRPDGCMS[],7,FALSE),"")</f>
        <v/>
      </c>
      <c r="O124" s="211" t="str">
        <f>IFERROR(VLOOKUP(TableHandbook[[#This Row],[UDC]],TableMJRPFINAR[],7,FALSE),"")</f>
        <v/>
      </c>
      <c r="P124" s="211" t="str">
        <f>IFERROR(VLOOKUP(TableHandbook[[#This Row],[UDC]],TableMJRPPWRIT[],7,FALSE),"")</f>
        <v/>
      </c>
      <c r="Q124" s="211" t="str">
        <f>IFERROR(VLOOKUP(TableHandbook[[#This Row],[UDC]],TableMJRPSCRAR[],7,FALSE),"")</f>
        <v/>
      </c>
      <c r="R124" s="213" t="str">
        <f>IFERROR(VLOOKUP(TableHandbook[[#This Row],[UDC]],TableMCMMJRG[],7,FALSE),"")</f>
        <v/>
      </c>
      <c r="S124" s="211" t="str">
        <f>IFERROR(VLOOKUP(TableHandbook[[#This Row],[UDC]],TableMCMMJRN[],7,FALSE),"")</f>
        <v/>
      </c>
      <c r="T124" s="211" t="str">
        <f>IFERROR(VLOOKUP(TableHandbook[[#This Row],[UDC]],TableGDMMJRN[],7,FALSE),"")</f>
        <v/>
      </c>
      <c r="U124" s="211" t="str">
        <f>IFERROR(VLOOKUP(TableHandbook[[#This Row],[UDC]],TableGCMMJRN[],7,FALSE),"")</f>
        <v/>
      </c>
      <c r="V124" s="213" t="str">
        <f>IFERROR(VLOOKUP(TableHandbook[[#This Row],[UDC]],TableMCHRIGLO[],7,FALSE),"")</f>
        <v/>
      </c>
      <c r="W124" s="211" t="str">
        <f>IFERROR(VLOOKUP(TableHandbook[[#This Row],[UDC]],TableMCHRIGHT[],7,FALSE),"")</f>
        <v/>
      </c>
      <c r="X124" s="211" t="str">
        <f>IFERROR(VLOOKUP(TableHandbook[[#This Row],[UDC]],TableGDHRIGHT[],7,FALSE),"")</f>
        <v/>
      </c>
      <c r="Y124" s="211" t="str">
        <f>IFERROR(VLOOKUP(TableHandbook[[#This Row],[UDC]],TableGCHRIGHT[],7,FALSE),"")</f>
        <v/>
      </c>
      <c r="Z124" s="213" t="str">
        <f>IFERROR(VLOOKUP(TableHandbook[[#This Row],[UDC]],TableMCGLOBL2[],7,FALSE),"")</f>
        <v/>
      </c>
      <c r="AA124" s="211" t="str">
        <f>IFERROR(VLOOKUP(TableHandbook[[#This Row],[UDC]],TableMCGLOBL[],7,FALSE),"")</f>
        <v/>
      </c>
      <c r="AB124" s="211" t="str">
        <f>IFERROR(VLOOKUP(TableHandbook[[#This Row],[UDC]],TableSTRPGLOBL[],7,FALSE),"")</f>
        <v/>
      </c>
      <c r="AC124" s="211" t="str">
        <f>IFERROR(VLOOKUP(TableHandbook[[#This Row],[UDC]],TableSTRPHRIGT[],7,FALSE),"")</f>
        <v/>
      </c>
      <c r="AD124" s="211" t="str">
        <f>IFERROR(VLOOKUP(TableHandbook[[#This Row],[UDC]],TableSTRPINTRN[],7,FALSE),"")</f>
        <v/>
      </c>
      <c r="AE124" s="211" t="str">
        <f>IFERROR(VLOOKUP(TableHandbook[[#This Row],[UDC]],TableGCGLOBL[],7,FALSE),"")</f>
        <v/>
      </c>
      <c r="AF124" s="213" t="str">
        <f>IFERROR(VLOOKUP(TableHandbook[[#This Row],[UDC]],TableMCINTREL[],7,FALSE),"")</f>
        <v/>
      </c>
      <c r="AG124" s="211" t="str">
        <f>IFERROR(VLOOKUP(TableHandbook[[#This Row],[UDC]],TableMCINTSEC[],7,FALSE),"")</f>
        <v/>
      </c>
      <c r="AH124" s="211" t="str">
        <f>IFERROR(VLOOKUP(TableHandbook[[#This Row],[UDC]],TableGDINTSEC[],7,FALSE),"")</f>
        <v/>
      </c>
      <c r="AI124" s="211" t="str">
        <f>IFERROR(VLOOKUP(TableHandbook[[#This Row],[UDC]],TableGCINTSEC[],7,FALSE),"")</f>
        <v/>
      </c>
      <c r="AJ124" s="211" t="str">
        <f>IFERROR(VLOOKUP(TableHandbook[[#This Row],[UDC]],TableGCINTELL[],7,FALSE),"")</f>
        <v/>
      </c>
      <c r="AK124" s="211" t="str">
        <f>IFERROR(VLOOKUP(TableHandbook[[#This Row],[UDC]],TableGCIPCSEC[],7,FALSE),"")</f>
        <v/>
      </c>
    </row>
    <row r="125" spans="1:37" x14ac:dyDescent="0.3">
      <c r="A125" s="231" t="s">
        <v>223</v>
      </c>
      <c r="B125" s="3">
        <v>3</v>
      </c>
      <c r="C125" s="3"/>
      <c r="D125" s="209" t="s">
        <v>549</v>
      </c>
      <c r="E125" s="3">
        <v>25</v>
      </c>
      <c r="F125" s="245" t="s">
        <v>550</v>
      </c>
      <c r="G125" s="96" t="str">
        <f>IFERROR(IF(VLOOKUP(TableHandbook[[#This Row],[UDC]],TableAvailabilities[],2,FALSE)&gt;0,"Y",""),"")</f>
        <v/>
      </c>
      <c r="H125" s="96" t="str">
        <f>IFERROR(IF(VLOOKUP(TableHandbook[[#This Row],[UDC]],TableAvailabilities[],3,FALSE)&gt;0,"Y",""),"")</f>
        <v/>
      </c>
      <c r="I125" s="96" t="str">
        <f>IFERROR(IF(VLOOKUP(TableHandbook[[#This Row],[UDC]],TableAvailabilities[],4,FALSE)&gt;0,"Y",""),"")</f>
        <v>Y</v>
      </c>
      <c r="J125" s="96" t="str">
        <f>IFERROR(IF(VLOOKUP(TableHandbook[[#This Row],[UDC]],TableAvailabilities[],5,FALSE)&gt;0,"Y",""),"")</f>
        <v>Y</v>
      </c>
      <c r="K125" s="209" t="s">
        <v>433</v>
      </c>
      <c r="L125" s="213" t="str">
        <f>IFERROR(VLOOKUP(TableHandbook[[#This Row],[UDC]],TableMCARTS[],7,FALSE),"")</f>
        <v/>
      </c>
      <c r="M125" s="211" t="str">
        <f>IFERROR(VLOOKUP(TableHandbook[[#This Row],[UDC]],TableMJRPCWRIT[],7,FALSE),"")</f>
        <v/>
      </c>
      <c r="N125" s="211" t="str">
        <f>IFERROR(VLOOKUP(TableHandbook[[#This Row],[UDC]],TableMJRPDGCMS[],7,FALSE),"")</f>
        <v>Option</v>
      </c>
      <c r="O125" s="211" t="str">
        <f>IFERROR(VLOOKUP(TableHandbook[[#This Row],[UDC]],TableMJRPFINAR[],7,FALSE),"")</f>
        <v/>
      </c>
      <c r="P125" s="211" t="str">
        <f>IFERROR(VLOOKUP(TableHandbook[[#This Row],[UDC]],TableMJRPPWRIT[],7,FALSE),"")</f>
        <v/>
      </c>
      <c r="Q125" s="211" t="str">
        <f>IFERROR(VLOOKUP(TableHandbook[[#This Row],[UDC]],TableMJRPSCRAR[],7,FALSE),"")</f>
        <v/>
      </c>
      <c r="R125" s="213" t="str">
        <f>IFERROR(VLOOKUP(TableHandbook[[#This Row],[UDC]],TableMCMMJRG[],7,FALSE),"")</f>
        <v/>
      </c>
      <c r="S125" s="211" t="str">
        <f>IFERROR(VLOOKUP(TableHandbook[[#This Row],[UDC]],TableMCMMJRN[],7,FALSE),"")</f>
        <v/>
      </c>
      <c r="T125" s="211" t="str">
        <f>IFERROR(VLOOKUP(TableHandbook[[#This Row],[UDC]],TableGDMMJRN[],7,FALSE),"")</f>
        <v/>
      </c>
      <c r="U125" s="211" t="str">
        <f>IFERROR(VLOOKUP(TableHandbook[[#This Row],[UDC]],TableGCMMJRN[],7,FALSE),"")</f>
        <v/>
      </c>
      <c r="V125" s="213" t="str">
        <f>IFERROR(VLOOKUP(TableHandbook[[#This Row],[UDC]],TableMCHRIGLO[],7,FALSE),"")</f>
        <v/>
      </c>
      <c r="W125" s="211" t="str">
        <f>IFERROR(VLOOKUP(TableHandbook[[#This Row],[UDC]],TableMCHRIGHT[],7,FALSE),"")</f>
        <v/>
      </c>
      <c r="X125" s="211" t="str">
        <f>IFERROR(VLOOKUP(TableHandbook[[#This Row],[UDC]],TableGDHRIGHT[],7,FALSE),"")</f>
        <v/>
      </c>
      <c r="Y125" s="211" t="str">
        <f>IFERROR(VLOOKUP(TableHandbook[[#This Row],[UDC]],TableGCHRIGHT[],7,FALSE),"")</f>
        <v/>
      </c>
      <c r="Z125" s="213" t="str">
        <f>IFERROR(VLOOKUP(TableHandbook[[#This Row],[UDC]],TableMCGLOBL2[],7,FALSE),"")</f>
        <v/>
      </c>
      <c r="AA125" s="211" t="str">
        <f>IFERROR(VLOOKUP(TableHandbook[[#This Row],[UDC]],TableMCGLOBL[],7,FALSE),"")</f>
        <v/>
      </c>
      <c r="AB125" s="211" t="str">
        <f>IFERROR(VLOOKUP(TableHandbook[[#This Row],[UDC]],TableSTRPGLOBL[],7,FALSE),"")</f>
        <v/>
      </c>
      <c r="AC125" s="211" t="str">
        <f>IFERROR(VLOOKUP(TableHandbook[[#This Row],[UDC]],TableSTRPHRIGT[],7,FALSE),"")</f>
        <v/>
      </c>
      <c r="AD125" s="211" t="str">
        <f>IFERROR(VLOOKUP(TableHandbook[[#This Row],[UDC]],TableSTRPINTRN[],7,FALSE),"")</f>
        <v/>
      </c>
      <c r="AE125" s="211" t="str">
        <f>IFERROR(VLOOKUP(TableHandbook[[#This Row],[UDC]],TableGCGLOBL[],7,FALSE),"")</f>
        <v/>
      </c>
      <c r="AF125" s="213" t="str">
        <f>IFERROR(VLOOKUP(TableHandbook[[#This Row],[UDC]],TableMCINTREL[],7,FALSE),"")</f>
        <v/>
      </c>
      <c r="AG125" s="211" t="str">
        <f>IFERROR(VLOOKUP(TableHandbook[[#This Row],[UDC]],TableMCINTSEC[],7,FALSE),"")</f>
        <v/>
      </c>
      <c r="AH125" s="211" t="str">
        <f>IFERROR(VLOOKUP(TableHandbook[[#This Row],[UDC]],TableGDINTSEC[],7,FALSE),"")</f>
        <v/>
      </c>
      <c r="AI125" s="211" t="str">
        <f>IFERROR(VLOOKUP(TableHandbook[[#This Row],[UDC]],TableGCINTSEC[],7,FALSE),"")</f>
        <v/>
      </c>
      <c r="AJ125" s="211" t="str">
        <f>IFERROR(VLOOKUP(TableHandbook[[#This Row],[UDC]],TableGCINTELL[],7,FALSE),"")</f>
        <v/>
      </c>
      <c r="AK125" s="211" t="str">
        <f>IFERROR(VLOOKUP(TableHandbook[[#This Row],[UDC]],TableGCIPCSEC[],7,FALSE),"")</f>
        <v/>
      </c>
    </row>
    <row r="126" spans="1:37" x14ac:dyDescent="0.3">
      <c r="A126" s="2" t="s">
        <v>551</v>
      </c>
      <c r="B126" s="3">
        <v>2</v>
      </c>
      <c r="C126" s="3"/>
      <c r="D126" s="209" t="s">
        <v>552</v>
      </c>
      <c r="E126" s="3">
        <v>25</v>
      </c>
      <c r="F126" s="149" t="s">
        <v>550</v>
      </c>
      <c r="G126" s="96" t="str">
        <f>IFERROR(IF(VLOOKUP(TableHandbook[[#This Row],[UDC]],TableAvailabilities[],2,FALSE)&gt;0,"Y",""),"")</f>
        <v/>
      </c>
      <c r="H126" s="96" t="str">
        <f>IFERROR(IF(VLOOKUP(TableHandbook[[#This Row],[UDC]],TableAvailabilities[],3,FALSE)&gt;0,"Y",""),"")</f>
        <v/>
      </c>
      <c r="I126" s="96" t="str">
        <f>IFERROR(IF(VLOOKUP(TableHandbook[[#This Row],[UDC]],TableAvailabilities[],4,FALSE)&gt;0,"Y",""),"")</f>
        <v/>
      </c>
      <c r="J126" s="96" t="str">
        <f>IFERROR(IF(VLOOKUP(TableHandbook[[#This Row],[UDC]],TableAvailabilities[],5,FALSE)&gt;0,"Y",""),"")</f>
        <v/>
      </c>
      <c r="K126" s="209" t="s">
        <v>436</v>
      </c>
      <c r="L126" s="213" t="str">
        <f>IFERROR(VLOOKUP(TableHandbook[[#This Row],[UDC]],TableMCARTS[],7,FALSE),"")</f>
        <v/>
      </c>
      <c r="M126" s="211" t="str">
        <f>IFERROR(VLOOKUP(TableHandbook[[#This Row],[UDC]],TableMJRPCWRIT[],7,FALSE),"")</f>
        <v/>
      </c>
      <c r="N126" s="211" t="str">
        <f>IFERROR(VLOOKUP(TableHandbook[[#This Row],[UDC]],TableMJRPDGCMS[],7,FALSE),"")</f>
        <v/>
      </c>
      <c r="O126" s="211" t="str">
        <f>IFERROR(VLOOKUP(TableHandbook[[#This Row],[UDC]],TableMJRPFINAR[],7,FALSE),"")</f>
        <v/>
      </c>
      <c r="P126" s="211" t="str">
        <f>IFERROR(VLOOKUP(TableHandbook[[#This Row],[UDC]],TableMJRPPWRIT[],7,FALSE),"")</f>
        <v/>
      </c>
      <c r="Q126" s="211" t="str">
        <f>IFERROR(VLOOKUP(TableHandbook[[#This Row],[UDC]],TableMJRPSCRAR[],7,FALSE),"")</f>
        <v/>
      </c>
      <c r="R126" s="213" t="str">
        <f>IFERROR(VLOOKUP(TableHandbook[[#This Row],[UDC]],TableMCMMJRG[],7,FALSE),"")</f>
        <v/>
      </c>
      <c r="S126" s="211" t="str">
        <f>IFERROR(VLOOKUP(TableHandbook[[#This Row],[UDC]],TableMCMMJRN[],7,FALSE),"")</f>
        <v/>
      </c>
      <c r="T126" s="211" t="str">
        <f>IFERROR(VLOOKUP(TableHandbook[[#This Row],[UDC]],TableGDMMJRN[],7,FALSE),"")</f>
        <v/>
      </c>
      <c r="U126" s="211" t="str">
        <f>IFERROR(VLOOKUP(TableHandbook[[#This Row],[UDC]],TableGCMMJRN[],7,FALSE),"")</f>
        <v/>
      </c>
      <c r="V126" s="213" t="str">
        <f>IFERROR(VLOOKUP(TableHandbook[[#This Row],[UDC]],TableMCHRIGLO[],7,FALSE),"")</f>
        <v/>
      </c>
      <c r="W126" s="211" t="str">
        <f>IFERROR(VLOOKUP(TableHandbook[[#This Row],[UDC]],TableMCHRIGHT[],7,FALSE),"")</f>
        <v/>
      </c>
      <c r="X126" s="211" t="str">
        <f>IFERROR(VLOOKUP(TableHandbook[[#This Row],[UDC]],TableGDHRIGHT[],7,FALSE),"")</f>
        <v/>
      </c>
      <c r="Y126" s="211" t="str">
        <f>IFERROR(VLOOKUP(TableHandbook[[#This Row],[UDC]],TableGCHRIGHT[],7,FALSE),"")</f>
        <v/>
      </c>
      <c r="Z126" s="213" t="str">
        <f>IFERROR(VLOOKUP(TableHandbook[[#This Row],[UDC]],TableMCGLOBL2[],7,FALSE),"")</f>
        <v/>
      </c>
      <c r="AA126" s="211" t="str">
        <f>IFERROR(VLOOKUP(TableHandbook[[#This Row],[UDC]],TableMCGLOBL[],7,FALSE),"")</f>
        <v/>
      </c>
      <c r="AB126" s="211" t="str">
        <f>IFERROR(VLOOKUP(TableHandbook[[#This Row],[UDC]],TableSTRPGLOBL[],7,FALSE),"")</f>
        <v/>
      </c>
      <c r="AC126" s="211" t="str">
        <f>IFERROR(VLOOKUP(TableHandbook[[#This Row],[UDC]],TableSTRPHRIGT[],7,FALSE),"")</f>
        <v/>
      </c>
      <c r="AD126" s="211" t="str">
        <f>IFERROR(VLOOKUP(TableHandbook[[#This Row],[UDC]],TableSTRPINTRN[],7,FALSE),"")</f>
        <v/>
      </c>
      <c r="AE126" s="211" t="str">
        <f>IFERROR(VLOOKUP(TableHandbook[[#This Row],[UDC]],TableGCGLOBL[],7,FALSE),"")</f>
        <v/>
      </c>
      <c r="AF126" s="213" t="str">
        <f>IFERROR(VLOOKUP(TableHandbook[[#This Row],[UDC]],TableMCINTREL[],7,FALSE),"")</f>
        <v/>
      </c>
      <c r="AG126" s="211" t="str">
        <f>IFERROR(VLOOKUP(TableHandbook[[#This Row],[UDC]],TableMCINTSEC[],7,FALSE),"")</f>
        <v/>
      </c>
      <c r="AH126" s="211" t="str">
        <f>IFERROR(VLOOKUP(TableHandbook[[#This Row],[UDC]],TableGDINTSEC[],7,FALSE),"")</f>
        <v/>
      </c>
      <c r="AI126" s="211" t="str">
        <f>IFERROR(VLOOKUP(TableHandbook[[#This Row],[UDC]],TableGCINTSEC[],7,FALSE),"")</f>
        <v/>
      </c>
      <c r="AJ126" s="211" t="str">
        <f>IFERROR(VLOOKUP(TableHandbook[[#This Row],[UDC]],TableGCINTELL[],7,FALSE),"")</f>
        <v/>
      </c>
      <c r="AK126" s="211" t="str">
        <f>IFERROR(VLOOKUP(TableHandbook[[#This Row],[UDC]],TableGCIPCSEC[],7,FALSE),"")</f>
        <v/>
      </c>
    </row>
    <row r="127" spans="1:37" x14ac:dyDescent="0.3">
      <c r="A127" s="231" t="s">
        <v>227</v>
      </c>
      <c r="B127" s="3">
        <v>3</v>
      </c>
      <c r="C127" s="3"/>
      <c r="D127" s="209" t="s">
        <v>553</v>
      </c>
      <c r="E127" s="3">
        <v>25</v>
      </c>
      <c r="F127" s="245" t="s">
        <v>108</v>
      </c>
      <c r="G127" s="96" t="str">
        <f>IFERROR(IF(VLOOKUP(TableHandbook[[#This Row],[UDC]],TableAvailabilities[],2,FALSE)&gt;0,"Y",""),"")</f>
        <v/>
      </c>
      <c r="H127" s="96" t="str">
        <f>IFERROR(IF(VLOOKUP(TableHandbook[[#This Row],[UDC]],TableAvailabilities[],3,FALSE)&gt;0,"Y",""),"")</f>
        <v>Y</v>
      </c>
      <c r="I127" s="96" t="str">
        <f>IFERROR(IF(VLOOKUP(TableHandbook[[#This Row],[UDC]],TableAvailabilities[],4,FALSE)&gt;0,"Y",""),"")</f>
        <v/>
      </c>
      <c r="J127" s="96" t="str">
        <f>IFERROR(IF(VLOOKUP(TableHandbook[[#This Row],[UDC]],TableAvailabilities[],5,FALSE)&gt;0,"Y",""),"")</f>
        <v/>
      </c>
      <c r="K127" s="209" t="s">
        <v>433</v>
      </c>
      <c r="L127" s="213" t="str">
        <f>IFERROR(VLOOKUP(TableHandbook[[#This Row],[UDC]],TableMCARTS[],7,FALSE),"")</f>
        <v/>
      </c>
      <c r="M127" s="211" t="str">
        <f>IFERROR(VLOOKUP(TableHandbook[[#This Row],[UDC]],TableMJRPCWRIT[],7,FALSE),"")</f>
        <v/>
      </c>
      <c r="N127" s="211" t="str">
        <f>IFERROR(VLOOKUP(TableHandbook[[#This Row],[UDC]],TableMJRPDGCMS[],7,FALSE),"")</f>
        <v>Option</v>
      </c>
      <c r="O127" s="211" t="str">
        <f>IFERROR(VLOOKUP(TableHandbook[[#This Row],[UDC]],TableMJRPFINAR[],7,FALSE),"")</f>
        <v/>
      </c>
      <c r="P127" s="211" t="str">
        <f>IFERROR(VLOOKUP(TableHandbook[[#This Row],[UDC]],TableMJRPPWRIT[],7,FALSE),"")</f>
        <v/>
      </c>
      <c r="Q127" s="211" t="str">
        <f>IFERROR(VLOOKUP(TableHandbook[[#This Row],[UDC]],TableMJRPSCRAR[],7,FALSE),"")</f>
        <v/>
      </c>
      <c r="R127" s="213" t="str">
        <f>IFERROR(VLOOKUP(TableHandbook[[#This Row],[UDC]],TableMCMMJRG[],7,FALSE),"")</f>
        <v/>
      </c>
      <c r="S127" s="211" t="str">
        <f>IFERROR(VLOOKUP(TableHandbook[[#This Row],[UDC]],TableMCMMJRN[],7,FALSE),"")</f>
        <v/>
      </c>
      <c r="T127" s="211" t="str">
        <f>IFERROR(VLOOKUP(TableHandbook[[#This Row],[UDC]],TableGDMMJRN[],7,FALSE),"")</f>
        <v/>
      </c>
      <c r="U127" s="211" t="str">
        <f>IFERROR(VLOOKUP(TableHandbook[[#This Row],[UDC]],TableGCMMJRN[],7,FALSE),"")</f>
        <v/>
      </c>
      <c r="V127" s="213" t="str">
        <f>IFERROR(VLOOKUP(TableHandbook[[#This Row],[UDC]],TableMCHRIGLO[],7,FALSE),"")</f>
        <v/>
      </c>
      <c r="W127" s="211" t="str">
        <f>IFERROR(VLOOKUP(TableHandbook[[#This Row],[UDC]],TableMCHRIGHT[],7,FALSE),"")</f>
        <v/>
      </c>
      <c r="X127" s="211" t="str">
        <f>IFERROR(VLOOKUP(TableHandbook[[#This Row],[UDC]],TableGDHRIGHT[],7,FALSE),"")</f>
        <v/>
      </c>
      <c r="Y127" s="211" t="str">
        <f>IFERROR(VLOOKUP(TableHandbook[[#This Row],[UDC]],TableGCHRIGHT[],7,FALSE),"")</f>
        <v/>
      </c>
      <c r="Z127" s="213" t="str">
        <f>IFERROR(VLOOKUP(TableHandbook[[#This Row],[UDC]],TableMCGLOBL2[],7,FALSE),"")</f>
        <v/>
      </c>
      <c r="AA127" s="211" t="str">
        <f>IFERROR(VLOOKUP(TableHandbook[[#This Row],[UDC]],TableMCGLOBL[],7,FALSE),"")</f>
        <v/>
      </c>
      <c r="AB127" s="211" t="str">
        <f>IFERROR(VLOOKUP(TableHandbook[[#This Row],[UDC]],TableSTRPGLOBL[],7,FALSE),"")</f>
        <v/>
      </c>
      <c r="AC127" s="211" t="str">
        <f>IFERROR(VLOOKUP(TableHandbook[[#This Row],[UDC]],TableSTRPHRIGT[],7,FALSE),"")</f>
        <v/>
      </c>
      <c r="AD127" s="211" t="str">
        <f>IFERROR(VLOOKUP(TableHandbook[[#This Row],[UDC]],TableSTRPINTRN[],7,FALSE),"")</f>
        <v/>
      </c>
      <c r="AE127" s="211" t="str">
        <f>IFERROR(VLOOKUP(TableHandbook[[#This Row],[UDC]],TableGCGLOBL[],7,FALSE),"")</f>
        <v/>
      </c>
      <c r="AF127" s="213" t="str">
        <f>IFERROR(VLOOKUP(TableHandbook[[#This Row],[UDC]],TableMCINTREL[],7,FALSE),"")</f>
        <v/>
      </c>
      <c r="AG127" s="211" t="str">
        <f>IFERROR(VLOOKUP(TableHandbook[[#This Row],[UDC]],TableMCINTSEC[],7,FALSE),"")</f>
        <v/>
      </c>
      <c r="AH127" s="211" t="str">
        <f>IFERROR(VLOOKUP(TableHandbook[[#This Row],[UDC]],TableGDINTSEC[],7,FALSE),"")</f>
        <v/>
      </c>
      <c r="AI127" s="211" t="str">
        <f>IFERROR(VLOOKUP(TableHandbook[[#This Row],[UDC]],TableGCINTSEC[],7,FALSE),"")</f>
        <v/>
      </c>
      <c r="AJ127" s="211" t="str">
        <f>IFERROR(VLOOKUP(TableHandbook[[#This Row],[UDC]],TableGCINTELL[],7,FALSE),"")</f>
        <v/>
      </c>
      <c r="AK127" s="211" t="str">
        <f>IFERROR(VLOOKUP(TableHandbook[[#This Row],[UDC]],TableGCIPCSEC[],7,FALSE),"")</f>
        <v/>
      </c>
    </row>
    <row r="128" spans="1:37" x14ac:dyDescent="0.3">
      <c r="A128" s="2" t="s">
        <v>554</v>
      </c>
      <c r="B128" s="3">
        <v>2</v>
      </c>
      <c r="C128" s="3"/>
      <c r="D128" s="209" t="s">
        <v>555</v>
      </c>
      <c r="E128" s="3">
        <v>25</v>
      </c>
      <c r="F128" s="149" t="s">
        <v>108</v>
      </c>
      <c r="G128" s="96" t="str">
        <f>IFERROR(IF(VLOOKUP(TableHandbook[[#This Row],[UDC]],TableAvailabilities[],2,FALSE)&gt;0,"Y",""),"")</f>
        <v/>
      </c>
      <c r="H128" s="96" t="str">
        <f>IFERROR(IF(VLOOKUP(TableHandbook[[#This Row],[UDC]],TableAvailabilities[],3,FALSE)&gt;0,"Y",""),"")</f>
        <v/>
      </c>
      <c r="I128" s="96" t="str">
        <f>IFERROR(IF(VLOOKUP(TableHandbook[[#This Row],[UDC]],TableAvailabilities[],4,FALSE)&gt;0,"Y",""),"")</f>
        <v/>
      </c>
      <c r="J128" s="96" t="str">
        <f>IFERROR(IF(VLOOKUP(TableHandbook[[#This Row],[UDC]],TableAvailabilities[],5,FALSE)&gt;0,"Y",""),"")</f>
        <v/>
      </c>
      <c r="K128" s="209" t="s">
        <v>436</v>
      </c>
      <c r="L128" s="213" t="str">
        <f>IFERROR(VLOOKUP(TableHandbook[[#This Row],[UDC]],TableMCARTS[],7,FALSE),"")</f>
        <v/>
      </c>
      <c r="M128" s="211" t="str">
        <f>IFERROR(VLOOKUP(TableHandbook[[#This Row],[UDC]],TableMJRPCWRIT[],7,FALSE),"")</f>
        <v/>
      </c>
      <c r="N128" s="211" t="str">
        <f>IFERROR(VLOOKUP(TableHandbook[[#This Row],[UDC]],TableMJRPDGCMS[],7,FALSE),"")</f>
        <v/>
      </c>
      <c r="O128" s="211" t="str">
        <f>IFERROR(VLOOKUP(TableHandbook[[#This Row],[UDC]],TableMJRPFINAR[],7,FALSE),"")</f>
        <v/>
      </c>
      <c r="P128" s="211" t="str">
        <f>IFERROR(VLOOKUP(TableHandbook[[#This Row],[UDC]],TableMJRPPWRIT[],7,FALSE),"")</f>
        <v/>
      </c>
      <c r="Q128" s="211" t="str">
        <f>IFERROR(VLOOKUP(TableHandbook[[#This Row],[UDC]],TableMJRPSCRAR[],7,FALSE),"")</f>
        <v/>
      </c>
      <c r="R128" s="213" t="str">
        <f>IFERROR(VLOOKUP(TableHandbook[[#This Row],[UDC]],TableMCMMJRG[],7,FALSE),"")</f>
        <v/>
      </c>
      <c r="S128" s="211" t="str">
        <f>IFERROR(VLOOKUP(TableHandbook[[#This Row],[UDC]],TableMCMMJRN[],7,FALSE),"")</f>
        <v/>
      </c>
      <c r="T128" s="211" t="str">
        <f>IFERROR(VLOOKUP(TableHandbook[[#This Row],[UDC]],TableGDMMJRN[],7,FALSE),"")</f>
        <v/>
      </c>
      <c r="U128" s="211" t="str">
        <f>IFERROR(VLOOKUP(TableHandbook[[#This Row],[UDC]],TableGCMMJRN[],7,FALSE),"")</f>
        <v/>
      </c>
      <c r="V128" s="213" t="str">
        <f>IFERROR(VLOOKUP(TableHandbook[[#This Row],[UDC]],TableMCHRIGLO[],7,FALSE),"")</f>
        <v/>
      </c>
      <c r="W128" s="211" t="str">
        <f>IFERROR(VLOOKUP(TableHandbook[[#This Row],[UDC]],TableMCHRIGHT[],7,FALSE),"")</f>
        <v/>
      </c>
      <c r="X128" s="211" t="str">
        <f>IFERROR(VLOOKUP(TableHandbook[[#This Row],[UDC]],TableGDHRIGHT[],7,FALSE),"")</f>
        <v/>
      </c>
      <c r="Y128" s="211" t="str">
        <f>IFERROR(VLOOKUP(TableHandbook[[#This Row],[UDC]],TableGCHRIGHT[],7,FALSE),"")</f>
        <v/>
      </c>
      <c r="Z128" s="213" t="str">
        <f>IFERROR(VLOOKUP(TableHandbook[[#This Row],[UDC]],TableMCGLOBL2[],7,FALSE),"")</f>
        <v/>
      </c>
      <c r="AA128" s="211" t="str">
        <f>IFERROR(VLOOKUP(TableHandbook[[#This Row],[UDC]],TableMCGLOBL[],7,FALSE),"")</f>
        <v/>
      </c>
      <c r="AB128" s="211" t="str">
        <f>IFERROR(VLOOKUP(TableHandbook[[#This Row],[UDC]],TableSTRPGLOBL[],7,FALSE),"")</f>
        <v/>
      </c>
      <c r="AC128" s="211" t="str">
        <f>IFERROR(VLOOKUP(TableHandbook[[#This Row],[UDC]],TableSTRPHRIGT[],7,FALSE),"")</f>
        <v/>
      </c>
      <c r="AD128" s="211" t="str">
        <f>IFERROR(VLOOKUP(TableHandbook[[#This Row],[UDC]],TableSTRPINTRN[],7,FALSE),"")</f>
        <v/>
      </c>
      <c r="AE128" s="211" t="str">
        <f>IFERROR(VLOOKUP(TableHandbook[[#This Row],[UDC]],TableGCGLOBL[],7,FALSE),"")</f>
        <v/>
      </c>
      <c r="AF128" s="213" t="str">
        <f>IFERROR(VLOOKUP(TableHandbook[[#This Row],[UDC]],TableMCINTREL[],7,FALSE),"")</f>
        <v/>
      </c>
      <c r="AG128" s="211" t="str">
        <f>IFERROR(VLOOKUP(TableHandbook[[#This Row],[UDC]],TableMCINTSEC[],7,FALSE),"")</f>
        <v/>
      </c>
      <c r="AH128" s="211" t="str">
        <f>IFERROR(VLOOKUP(TableHandbook[[#This Row],[UDC]],TableGDINTSEC[],7,FALSE),"")</f>
        <v/>
      </c>
      <c r="AI128" s="211" t="str">
        <f>IFERROR(VLOOKUP(TableHandbook[[#This Row],[UDC]],TableGCINTSEC[],7,FALSE),"")</f>
        <v/>
      </c>
      <c r="AJ128" s="211" t="str">
        <f>IFERROR(VLOOKUP(TableHandbook[[#This Row],[UDC]],TableGCINTELL[],7,FALSE),"")</f>
        <v/>
      </c>
      <c r="AK128" s="211" t="str">
        <f>IFERROR(VLOOKUP(TableHandbook[[#This Row],[UDC]],TableGCIPCSEC[],7,FALSE),"")</f>
        <v/>
      </c>
    </row>
    <row r="129" spans="1:37" x14ac:dyDescent="0.3">
      <c r="A129" s="231" t="s">
        <v>229</v>
      </c>
      <c r="B129" s="3">
        <v>4</v>
      </c>
      <c r="C129" s="3"/>
      <c r="D129" s="209" t="s">
        <v>556</v>
      </c>
      <c r="E129" s="3">
        <v>25</v>
      </c>
      <c r="F129" s="245" t="s">
        <v>108</v>
      </c>
      <c r="G129" s="96" t="str">
        <f>IFERROR(IF(VLOOKUP(TableHandbook[[#This Row],[UDC]],TableAvailabilities[],2,FALSE)&gt;0,"Y",""),"")</f>
        <v/>
      </c>
      <c r="H129" s="96" t="str">
        <f>IFERROR(IF(VLOOKUP(TableHandbook[[#This Row],[UDC]],TableAvailabilities[],3,FALSE)&gt;0,"Y",""),"")</f>
        <v/>
      </c>
      <c r="I129" s="96" t="str">
        <f>IFERROR(IF(VLOOKUP(TableHandbook[[#This Row],[UDC]],TableAvailabilities[],4,FALSE)&gt;0,"Y",""),"")</f>
        <v/>
      </c>
      <c r="J129" s="96" t="str">
        <f>IFERROR(IF(VLOOKUP(TableHandbook[[#This Row],[UDC]],TableAvailabilities[],5,FALSE)&gt;0,"Y",""),"")</f>
        <v>Y</v>
      </c>
      <c r="K129" s="209" t="s">
        <v>433</v>
      </c>
      <c r="L129" s="213" t="str">
        <f>IFERROR(VLOOKUP(TableHandbook[[#This Row],[UDC]],TableMCARTS[],7,FALSE),"")</f>
        <v/>
      </c>
      <c r="M129" s="211" t="str">
        <f>IFERROR(VLOOKUP(TableHandbook[[#This Row],[UDC]],TableMJRPCWRIT[],7,FALSE),"")</f>
        <v/>
      </c>
      <c r="N129" s="211" t="str">
        <f>IFERROR(VLOOKUP(TableHandbook[[#This Row],[UDC]],TableMJRPDGCMS[],7,FALSE),"")</f>
        <v>Option</v>
      </c>
      <c r="O129" s="211" t="str">
        <f>IFERROR(VLOOKUP(TableHandbook[[#This Row],[UDC]],TableMJRPFINAR[],7,FALSE),"")</f>
        <v/>
      </c>
      <c r="P129" s="211" t="str">
        <f>IFERROR(VLOOKUP(TableHandbook[[#This Row],[UDC]],TableMJRPPWRIT[],7,FALSE),"")</f>
        <v/>
      </c>
      <c r="Q129" s="211" t="str">
        <f>IFERROR(VLOOKUP(TableHandbook[[#This Row],[UDC]],TableMJRPSCRAR[],7,FALSE),"")</f>
        <v/>
      </c>
      <c r="R129" s="213" t="str">
        <f>IFERROR(VLOOKUP(TableHandbook[[#This Row],[UDC]],TableMCMMJRG[],7,FALSE),"")</f>
        <v/>
      </c>
      <c r="S129" s="211" t="str">
        <f>IFERROR(VLOOKUP(TableHandbook[[#This Row],[UDC]],TableMCMMJRN[],7,FALSE),"")</f>
        <v/>
      </c>
      <c r="T129" s="211" t="str">
        <f>IFERROR(VLOOKUP(TableHandbook[[#This Row],[UDC]],TableGDMMJRN[],7,FALSE),"")</f>
        <v/>
      </c>
      <c r="U129" s="211" t="str">
        <f>IFERROR(VLOOKUP(TableHandbook[[#This Row],[UDC]],TableGCMMJRN[],7,FALSE),"")</f>
        <v/>
      </c>
      <c r="V129" s="213" t="str">
        <f>IFERROR(VLOOKUP(TableHandbook[[#This Row],[UDC]],TableMCHRIGLO[],7,FALSE),"")</f>
        <v/>
      </c>
      <c r="W129" s="211" t="str">
        <f>IFERROR(VLOOKUP(TableHandbook[[#This Row],[UDC]],TableMCHRIGHT[],7,FALSE),"")</f>
        <v/>
      </c>
      <c r="X129" s="211" t="str">
        <f>IFERROR(VLOOKUP(TableHandbook[[#This Row],[UDC]],TableGDHRIGHT[],7,FALSE),"")</f>
        <v/>
      </c>
      <c r="Y129" s="211" t="str">
        <f>IFERROR(VLOOKUP(TableHandbook[[#This Row],[UDC]],TableGCHRIGHT[],7,FALSE),"")</f>
        <v/>
      </c>
      <c r="Z129" s="213" t="str">
        <f>IFERROR(VLOOKUP(TableHandbook[[#This Row],[UDC]],TableMCGLOBL2[],7,FALSE),"")</f>
        <v/>
      </c>
      <c r="AA129" s="211" t="str">
        <f>IFERROR(VLOOKUP(TableHandbook[[#This Row],[UDC]],TableMCGLOBL[],7,FALSE),"")</f>
        <v/>
      </c>
      <c r="AB129" s="211" t="str">
        <f>IFERROR(VLOOKUP(TableHandbook[[#This Row],[UDC]],TableSTRPGLOBL[],7,FALSE),"")</f>
        <v/>
      </c>
      <c r="AC129" s="211" t="str">
        <f>IFERROR(VLOOKUP(TableHandbook[[#This Row],[UDC]],TableSTRPHRIGT[],7,FALSE),"")</f>
        <v/>
      </c>
      <c r="AD129" s="211" t="str">
        <f>IFERROR(VLOOKUP(TableHandbook[[#This Row],[UDC]],TableSTRPINTRN[],7,FALSE),"")</f>
        <v/>
      </c>
      <c r="AE129" s="211" t="str">
        <f>IFERROR(VLOOKUP(TableHandbook[[#This Row],[UDC]],TableGCGLOBL[],7,FALSE),"")</f>
        <v/>
      </c>
      <c r="AF129" s="213" t="str">
        <f>IFERROR(VLOOKUP(TableHandbook[[#This Row],[UDC]],TableMCINTREL[],7,FALSE),"")</f>
        <v/>
      </c>
      <c r="AG129" s="211" t="str">
        <f>IFERROR(VLOOKUP(TableHandbook[[#This Row],[UDC]],TableMCINTSEC[],7,FALSE),"")</f>
        <v/>
      </c>
      <c r="AH129" s="211" t="str">
        <f>IFERROR(VLOOKUP(TableHandbook[[#This Row],[UDC]],TableGDINTSEC[],7,FALSE),"")</f>
        <v/>
      </c>
      <c r="AI129" s="211" t="str">
        <f>IFERROR(VLOOKUP(TableHandbook[[#This Row],[UDC]],TableGCINTSEC[],7,FALSE),"")</f>
        <v/>
      </c>
      <c r="AJ129" s="211" t="str">
        <f>IFERROR(VLOOKUP(TableHandbook[[#This Row],[UDC]],TableGCINTELL[],7,FALSE),"")</f>
        <v/>
      </c>
      <c r="AK129" s="211" t="str">
        <f>IFERROR(VLOOKUP(TableHandbook[[#This Row],[UDC]],TableGCIPCSEC[],7,FALSE),"")</f>
        <v/>
      </c>
    </row>
    <row r="130" spans="1:37" x14ac:dyDescent="0.3">
      <c r="A130" s="2" t="s">
        <v>557</v>
      </c>
      <c r="B130" s="3">
        <v>3</v>
      </c>
      <c r="C130" s="3"/>
      <c r="D130" s="209" t="s">
        <v>558</v>
      </c>
      <c r="E130" s="3">
        <v>25</v>
      </c>
      <c r="F130" s="149" t="s">
        <v>108</v>
      </c>
      <c r="G130" s="96" t="str">
        <f>IFERROR(IF(VLOOKUP(TableHandbook[[#This Row],[UDC]],TableAvailabilities[],2,FALSE)&gt;0,"Y",""),"")</f>
        <v/>
      </c>
      <c r="H130" s="96" t="str">
        <f>IFERROR(IF(VLOOKUP(TableHandbook[[#This Row],[UDC]],TableAvailabilities[],3,FALSE)&gt;0,"Y",""),"")</f>
        <v/>
      </c>
      <c r="I130" s="96" t="str">
        <f>IFERROR(IF(VLOOKUP(TableHandbook[[#This Row],[UDC]],TableAvailabilities[],4,FALSE)&gt;0,"Y",""),"")</f>
        <v/>
      </c>
      <c r="J130" s="96" t="str">
        <f>IFERROR(IF(VLOOKUP(TableHandbook[[#This Row],[UDC]],TableAvailabilities[],5,FALSE)&gt;0,"Y",""),"")</f>
        <v/>
      </c>
      <c r="K130" s="209" t="s">
        <v>436</v>
      </c>
      <c r="L130" s="213" t="str">
        <f>IFERROR(VLOOKUP(TableHandbook[[#This Row],[UDC]],TableMCARTS[],7,FALSE),"")</f>
        <v/>
      </c>
      <c r="M130" s="211" t="str">
        <f>IFERROR(VLOOKUP(TableHandbook[[#This Row],[UDC]],TableMJRPCWRIT[],7,FALSE),"")</f>
        <v/>
      </c>
      <c r="N130" s="211" t="str">
        <f>IFERROR(VLOOKUP(TableHandbook[[#This Row],[UDC]],TableMJRPDGCMS[],7,FALSE),"")</f>
        <v/>
      </c>
      <c r="O130" s="211" t="str">
        <f>IFERROR(VLOOKUP(TableHandbook[[#This Row],[UDC]],TableMJRPFINAR[],7,FALSE),"")</f>
        <v/>
      </c>
      <c r="P130" s="211" t="str">
        <f>IFERROR(VLOOKUP(TableHandbook[[#This Row],[UDC]],TableMJRPPWRIT[],7,FALSE),"")</f>
        <v/>
      </c>
      <c r="Q130" s="211" t="str">
        <f>IFERROR(VLOOKUP(TableHandbook[[#This Row],[UDC]],TableMJRPSCRAR[],7,FALSE),"")</f>
        <v/>
      </c>
      <c r="R130" s="213" t="str">
        <f>IFERROR(VLOOKUP(TableHandbook[[#This Row],[UDC]],TableMCMMJRG[],7,FALSE),"")</f>
        <v/>
      </c>
      <c r="S130" s="211" t="str">
        <f>IFERROR(VLOOKUP(TableHandbook[[#This Row],[UDC]],TableMCMMJRN[],7,FALSE),"")</f>
        <v/>
      </c>
      <c r="T130" s="211" t="str">
        <f>IFERROR(VLOOKUP(TableHandbook[[#This Row],[UDC]],TableGDMMJRN[],7,FALSE),"")</f>
        <v/>
      </c>
      <c r="U130" s="211" t="str">
        <f>IFERROR(VLOOKUP(TableHandbook[[#This Row],[UDC]],TableGCMMJRN[],7,FALSE),"")</f>
        <v/>
      </c>
      <c r="V130" s="213" t="str">
        <f>IFERROR(VLOOKUP(TableHandbook[[#This Row],[UDC]],TableMCHRIGLO[],7,FALSE),"")</f>
        <v/>
      </c>
      <c r="W130" s="211" t="str">
        <f>IFERROR(VLOOKUP(TableHandbook[[#This Row],[UDC]],TableMCHRIGHT[],7,FALSE),"")</f>
        <v/>
      </c>
      <c r="X130" s="211" t="str">
        <f>IFERROR(VLOOKUP(TableHandbook[[#This Row],[UDC]],TableGDHRIGHT[],7,FALSE),"")</f>
        <v/>
      </c>
      <c r="Y130" s="211" t="str">
        <f>IFERROR(VLOOKUP(TableHandbook[[#This Row],[UDC]],TableGCHRIGHT[],7,FALSE),"")</f>
        <v/>
      </c>
      <c r="Z130" s="213" t="str">
        <f>IFERROR(VLOOKUP(TableHandbook[[#This Row],[UDC]],TableMCGLOBL2[],7,FALSE),"")</f>
        <v/>
      </c>
      <c r="AA130" s="211" t="str">
        <f>IFERROR(VLOOKUP(TableHandbook[[#This Row],[UDC]],TableMCGLOBL[],7,FALSE),"")</f>
        <v/>
      </c>
      <c r="AB130" s="211" t="str">
        <f>IFERROR(VLOOKUP(TableHandbook[[#This Row],[UDC]],TableSTRPGLOBL[],7,FALSE),"")</f>
        <v/>
      </c>
      <c r="AC130" s="211" t="str">
        <f>IFERROR(VLOOKUP(TableHandbook[[#This Row],[UDC]],TableSTRPHRIGT[],7,FALSE),"")</f>
        <v/>
      </c>
      <c r="AD130" s="211" t="str">
        <f>IFERROR(VLOOKUP(TableHandbook[[#This Row],[UDC]],TableSTRPINTRN[],7,FALSE),"")</f>
        <v/>
      </c>
      <c r="AE130" s="211" t="str">
        <f>IFERROR(VLOOKUP(TableHandbook[[#This Row],[UDC]],TableGCGLOBL[],7,FALSE),"")</f>
        <v/>
      </c>
      <c r="AF130" s="213" t="str">
        <f>IFERROR(VLOOKUP(TableHandbook[[#This Row],[UDC]],TableMCINTREL[],7,FALSE),"")</f>
        <v/>
      </c>
      <c r="AG130" s="211" t="str">
        <f>IFERROR(VLOOKUP(TableHandbook[[#This Row],[UDC]],TableMCINTSEC[],7,FALSE),"")</f>
        <v/>
      </c>
      <c r="AH130" s="211" t="str">
        <f>IFERROR(VLOOKUP(TableHandbook[[#This Row],[UDC]],TableGDINTSEC[],7,FALSE),"")</f>
        <v/>
      </c>
      <c r="AI130" s="211" t="str">
        <f>IFERROR(VLOOKUP(TableHandbook[[#This Row],[UDC]],TableGCINTSEC[],7,FALSE),"")</f>
        <v/>
      </c>
      <c r="AJ130" s="211" t="str">
        <f>IFERROR(VLOOKUP(TableHandbook[[#This Row],[UDC]],TableGCINTELL[],7,FALSE),"")</f>
        <v/>
      </c>
      <c r="AK130" s="211" t="str">
        <f>IFERROR(VLOOKUP(TableHandbook[[#This Row],[UDC]],TableGCIPCSEC[],7,FALSE),"")</f>
        <v/>
      </c>
    </row>
    <row r="131" spans="1:37" x14ac:dyDescent="0.3">
      <c r="A131" s="231" t="s">
        <v>164</v>
      </c>
      <c r="B131" s="3">
        <v>2</v>
      </c>
      <c r="C131" s="3"/>
      <c r="D131" s="209" t="s">
        <v>559</v>
      </c>
      <c r="E131" s="3">
        <v>25</v>
      </c>
      <c r="F131" s="245" t="s">
        <v>108</v>
      </c>
      <c r="G131" s="96" t="str">
        <f>IFERROR(IF(VLOOKUP(TableHandbook[[#This Row],[UDC]],TableAvailabilities[],2,FALSE)&gt;0,"Y",""),"")</f>
        <v>Y</v>
      </c>
      <c r="H131" s="96" t="str">
        <f>IFERROR(IF(VLOOKUP(TableHandbook[[#This Row],[UDC]],TableAvailabilities[],3,FALSE)&gt;0,"Y",""),"")</f>
        <v>Y</v>
      </c>
      <c r="I131" s="96" t="str">
        <f>IFERROR(IF(VLOOKUP(TableHandbook[[#This Row],[UDC]],TableAvailabilities[],4,FALSE)&gt;0,"Y",""),"")</f>
        <v/>
      </c>
      <c r="J131" s="96" t="str">
        <f>IFERROR(IF(VLOOKUP(TableHandbook[[#This Row],[UDC]],TableAvailabilities[],5,FALSE)&gt;0,"Y",""),"")</f>
        <v/>
      </c>
      <c r="K131" s="209" t="s">
        <v>433</v>
      </c>
      <c r="L131" s="213" t="str">
        <f>IFERROR(VLOOKUP(TableHandbook[[#This Row],[UDC]],TableMCARTS[],7,FALSE),"")</f>
        <v/>
      </c>
      <c r="M131" s="211" t="str">
        <f>IFERROR(VLOOKUP(TableHandbook[[#This Row],[UDC]],TableMJRPCWRIT[],7,FALSE),"")</f>
        <v/>
      </c>
      <c r="N131" s="211" t="str">
        <f>IFERROR(VLOOKUP(TableHandbook[[#This Row],[UDC]],TableMJRPDGCMS[],7,FALSE),"")</f>
        <v>Option</v>
      </c>
      <c r="O131" s="211" t="str">
        <f>IFERROR(VLOOKUP(TableHandbook[[#This Row],[UDC]],TableMJRPFINAR[],7,FALSE),"")</f>
        <v/>
      </c>
      <c r="P131" s="211" t="str">
        <f>IFERROR(VLOOKUP(TableHandbook[[#This Row],[UDC]],TableMJRPPWRIT[],7,FALSE),"")</f>
        <v/>
      </c>
      <c r="Q131" s="211" t="str">
        <f>IFERROR(VLOOKUP(TableHandbook[[#This Row],[UDC]],TableMJRPSCRAR[],7,FALSE),"")</f>
        <v>AltCore</v>
      </c>
      <c r="R131" s="213" t="str">
        <f>IFERROR(VLOOKUP(TableHandbook[[#This Row],[UDC]],TableMCMMJRG[],7,FALSE),"")</f>
        <v/>
      </c>
      <c r="S131" s="211" t="str">
        <f>IFERROR(VLOOKUP(TableHandbook[[#This Row],[UDC]],TableMCMMJRN[],7,FALSE),"")</f>
        <v/>
      </c>
      <c r="T131" s="211" t="str">
        <f>IFERROR(VLOOKUP(TableHandbook[[#This Row],[UDC]],TableGDMMJRN[],7,FALSE),"")</f>
        <v/>
      </c>
      <c r="U131" s="211" t="str">
        <f>IFERROR(VLOOKUP(TableHandbook[[#This Row],[UDC]],TableGCMMJRN[],7,FALSE),"")</f>
        <v/>
      </c>
      <c r="V131" s="213" t="str">
        <f>IFERROR(VLOOKUP(TableHandbook[[#This Row],[UDC]],TableMCHRIGLO[],7,FALSE),"")</f>
        <v/>
      </c>
      <c r="W131" s="211" t="str">
        <f>IFERROR(VLOOKUP(TableHandbook[[#This Row],[UDC]],TableMCHRIGHT[],7,FALSE),"")</f>
        <v/>
      </c>
      <c r="X131" s="211" t="str">
        <f>IFERROR(VLOOKUP(TableHandbook[[#This Row],[UDC]],TableGDHRIGHT[],7,FALSE),"")</f>
        <v/>
      </c>
      <c r="Y131" s="211" t="str">
        <f>IFERROR(VLOOKUP(TableHandbook[[#This Row],[UDC]],TableGCHRIGHT[],7,FALSE),"")</f>
        <v/>
      </c>
      <c r="Z131" s="213" t="str">
        <f>IFERROR(VLOOKUP(TableHandbook[[#This Row],[UDC]],TableMCGLOBL2[],7,FALSE),"")</f>
        <v/>
      </c>
      <c r="AA131" s="211" t="str">
        <f>IFERROR(VLOOKUP(TableHandbook[[#This Row],[UDC]],TableMCGLOBL[],7,FALSE),"")</f>
        <v/>
      </c>
      <c r="AB131" s="211" t="str">
        <f>IFERROR(VLOOKUP(TableHandbook[[#This Row],[UDC]],TableSTRPGLOBL[],7,FALSE),"")</f>
        <v/>
      </c>
      <c r="AC131" s="211" t="str">
        <f>IFERROR(VLOOKUP(TableHandbook[[#This Row],[UDC]],TableSTRPHRIGT[],7,FALSE),"")</f>
        <v/>
      </c>
      <c r="AD131" s="211" t="str">
        <f>IFERROR(VLOOKUP(TableHandbook[[#This Row],[UDC]],TableSTRPINTRN[],7,FALSE),"")</f>
        <v/>
      </c>
      <c r="AE131" s="211" t="str">
        <f>IFERROR(VLOOKUP(TableHandbook[[#This Row],[UDC]],TableGCGLOBL[],7,FALSE),"")</f>
        <v/>
      </c>
      <c r="AF131" s="213" t="str">
        <f>IFERROR(VLOOKUP(TableHandbook[[#This Row],[UDC]],TableMCINTREL[],7,FALSE),"")</f>
        <v/>
      </c>
      <c r="AG131" s="211" t="str">
        <f>IFERROR(VLOOKUP(TableHandbook[[#This Row],[UDC]],TableMCINTSEC[],7,FALSE),"")</f>
        <v/>
      </c>
      <c r="AH131" s="211" t="str">
        <f>IFERROR(VLOOKUP(TableHandbook[[#This Row],[UDC]],TableGDINTSEC[],7,FALSE),"")</f>
        <v/>
      </c>
      <c r="AI131" s="211" t="str">
        <f>IFERROR(VLOOKUP(TableHandbook[[#This Row],[UDC]],TableGCINTSEC[],7,FALSE),"")</f>
        <v/>
      </c>
      <c r="AJ131" s="211" t="str">
        <f>IFERROR(VLOOKUP(TableHandbook[[#This Row],[UDC]],TableGCINTELL[],7,FALSE),"")</f>
        <v/>
      </c>
      <c r="AK131" s="211" t="str">
        <f>IFERROR(VLOOKUP(TableHandbook[[#This Row],[UDC]],TableGCIPCSEC[],7,FALSE),"")</f>
        <v/>
      </c>
    </row>
    <row r="132" spans="1:37" x14ac:dyDescent="0.3">
      <c r="A132" s="2" t="s">
        <v>560</v>
      </c>
      <c r="B132" s="3">
        <v>1</v>
      </c>
      <c r="C132" s="3"/>
      <c r="D132" s="209" t="s">
        <v>561</v>
      </c>
      <c r="E132" s="3">
        <v>25</v>
      </c>
      <c r="F132" s="149" t="s">
        <v>108</v>
      </c>
      <c r="G132" s="96" t="str">
        <f>IFERROR(IF(VLOOKUP(TableHandbook[[#This Row],[UDC]],TableAvailabilities[],2,FALSE)&gt;0,"Y",""),"")</f>
        <v/>
      </c>
      <c r="H132" s="96" t="str">
        <f>IFERROR(IF(VLOOKUP(TableHandbook[[#This Row],[UDC]],TableAvailabilities[],3,FALSE)&gt;0,"Y",""),"")</f>
        <v/>
      </c>
      <c r="I132" s="96" t="str">
        <f>IFERROR(IF(VLOOKUP(TableHandbook[[#This Row],[UDC]],TableAvailabilities[],4,FALSE)&gt;0,"Y",""),"")</f>
        <v/>
      </c>
      <c r="J132" s="96" t="str">
        <f>IFERROR(IF(VLOOKUP(TableHandbook[[#This Row],[UDC]],TableAvailabilities[],5,FALSE)&gt;0,"Y",""),"")</f>
        <v/>
      </c>
      <c r="K132" s="209" t="s">
        <v>436</v>
      </c>
      <c r="L132" s="213" t="str">
        <f>IFERROR(VLOOKUP(TableHandbook[[#This Row],[UDC]],TableMCARTS[],7,FALSE),"")</f>
        <v/>
      </c>
      <c r="M132" s="211" t="str">
        <f>IFERROR(VLOOKUP(TableHandbook[[#This Row],[UDC]],TableMJRPCWRIT[],7,FALSE),"")</f>
        <v/>
      </c>
      <c r="N132" s="211" t="str">
        <f>IFERROR(VLOOKUP(TableHandbook[[#This Row],[UDC]],TableMJRPDGCMS[],7,FALSE),"")</f>
        <v/>
      </c>
      <c r="O132" s="211" t="str">
        <f>IFERROR(VLOOKUP(TableHandbook[[#This Row],[UDC]],TableMJRPFINAR[],7,FALSE),"")</f>
        <v/>
      </c>
      <c r="P132" s="211" t="str">
        <f>IFERROR(VLOOKUP(TableHandbook[[#This Row],[UDC]],TableMJRPPWRIT[],7,FALSE),"")</f>
        <v/>
      </c>
      <c r="Q132" s="211" t="str">
        <f>IFERROR(VLOOKUP(TableHandbook[[#This Row],[UDC]],TableMJRPSCRAR[],7,FALSE),"")</f>
        <v/>
      </c>
      <c r="R132" s="213" t="str">
        <f>IFERROR(VLOOKUP(TableHandbook[[#This Row],[UDC]],TableMCMMJRG[],7,FALSE),"")</f>
        <v/>
      </c>
      <c r="S132" s="211" t="str">
        <f>IFERROR(VLOOKUP(TableHandbook[[#This Row],[UDC]],TableMCMMJRN[],7,FALSE),"")</f>
        <v/>
      </c>
      <c r="T132" s="211" t="str">
        <f>IFERROR(VLOOKUP(TableHandbook[[#This Row],[UDC]],TableGDMMJRN[],7,FALSE),"")</f>
        <v/>
      </c>
      <c r="U132" s="211" t="str">
        <f>IFERROR(VLOOKUP(TableHandbook[[#This Row],[UDC]],TableGCMMJRN[],7,FALSE),"")</f>
        <v/>
      </c>
      <c r="V132" s="213" t="str">
        <f>IFERROR(VLOOKUP(TableHandbook[[#This Row],[UDC]],TableMCHRIGLO[],7,FALSE),"")</f>
        <v/>
      </c>
      <c r="W132" s="211" t="str">
        <f>IFERROR(VLOOKUP(TableHandbook[[#This Row],[UDC]],TableMCHRIGHT[],7,FALSE),"")</f>
        <v/>
      </c>
      <c r="X132" s="211" t="str">
        <f>IFERROR(VLOOKUP(TableHandbook[[#This Row],[UDC]],TableGDHRIGHT[],7,FALSE),"")</f>
        <v/>
      </c>
      <c r="Y132" s="211" t="str">
        <f>IFERROR(VLOOKUP(TableHandbook[[#This Row],[UDC]],TableGCHRIGHT[],7,FALSE),"")</f>
        <v/>
      </c>
      <c r="Z132" s="213" t="str">
        <f>IFERROR(VLOOKUP(TableHandbook[[#This Row],[UDC]],TableMCGLOBL2[],7,FALSE),"")</f>
        <v/>
      </c>
      <c r="AA132" s="211" t="str">
        <f>IFERROR(VLOOKUP(TableHandbook[[#This Row],[UDC]],TableMCGLOBL[],7,FALSE),"")</f>
        <v/>
      </c>
      <c r="AB132" s="211" t="str">
        <f>IFERROR(VLOOKUP(TableHandbook[[#This Row],[UDC]],TableSTRPGLOBL[],7,FALSE),"")</f>
        <v/>
      </c>
      <c r="AC132" s="211" t="str">
        <f>IFERROR(VLOOKUP(TableHandbook[[#This Row],[UDC]],TableSTRPHRIGT[],7,FALSE),"")</f>
        <v/>
      </c>
      <c r="AD132" s="211" t="str">
        <f>IFERROR(VLOOKUP(TableHandbook[[#This Row],[UDC]],TableSTRPINTRN[],7,FALSE),"")</f>
        <v/>
      </c>
      <c r="AE132" s="211" t="str">
        <f>IFERROR(VLOOKUP(TableHandbook[[#This Row],[UDC]],TableGCGLOBL[],7,FALSE),"")</f>
        <v/>
      </c>
      <c r="AF132" s="213" t="str">
        <f>IFERROR(VLOOKUP(TableHandbook[[#This Row],[UDC]],TableMCINTREL[],7,FALSE),"")</f>
        <v/>
      </c>
      <c r="AG132" s="211" t="str">
        <f>IFERROR(VLOOKUP(TableHandbook[[#This Row],[UDC]],TableMCINTSEC[],7,FALSE),"")</f>
        <v/>
      </c>
      <c r="AH132" s="211" t="str">
        <f>IFERROR(VLOOKUP(TableHandbook[[#This Row],[UDC]],TableGDINTSEC[],7,FALSE),"")</f>
        <v/>
      </c>
      <c r="AI132" s="211" t="str">
        <f>IFERROR(VLOOKUP(TableHandbook[[#This Row],[UDC]],TableGCINTSEC[],7,FALSE),"")</f>
        <v/>
      </c>
      <c r="AJ132" s="211" t="str">
        <f>IFERROR(VLOOKUP(TableHandbook[[#This Row],[UDC]],TableGCINTELL[],7,FALSE),"")</f>
        <v/>
      </c>
      <c r="AK132" s="211" t="str">
        <f>IFERROR(VLOOKUP(TableHandbook[[#This Row],[UDC]],TableGCIPCSEC[],7,FALSE),"")</f>
        <v/>
      </c>
    </row>
    <row r="133" spans="1:37" x14ac:dyDescent="0.3">
      <c r="A133" s="231" t="s">
        <v>231</v>
      </c>
      <c r="B133" s="3">
        <v>4</v>
      </c>
      <c r="C133" s="3"/>
      <c r="D133" s="209" t="s">
        <v>562</v>
      </c>
      <c r="E133" s="3">
        <v>25</v>
      </c>
      <c r="F133" s="245" t="s">
        <v>108</v>
      </c>
      <c r="G133" s="96" t="str">
        <f>IFERROR(IF(VLOOKUP(TableHandbook[[#This Row],[UDC]],TableAvailabilities[],2,FALSE)&gt;0,"Y",""),"")</f>
        <v>Y</v>
      </c>
      <c r="H133" s="96" t="str">
        <f>IFERROR(IF(VLOOKUP(TableHandbook[[#This Row],[UDC]],TableAvailabilities[],3,FALSE)&gt;0,"Y",""),"")</f>
        <v>Y</v>
      </c>
      <c r="I133" s="96" t="str">
        <f>IFERROR(IF(VLOOKUP(TableHandbook[[#This Row],[UDC]],TableAvailabilities[],4,FALSE)&gt;0,"Y",""),"")</f>
        <v/>
      </c>
      <c r="J133" s="96" t="str">
        <f>IFERROR(IF(VLOOKUP(TableHandbook[[#This Row],[UDC]],TableAvailabilities[],5,FALSE)&gt;0,"Y",""),"")</f>
        <v/>
      </c>
      <c r="K133" s="209" t="s">
        <v>433</v>
      </c>
      <c r="L133" s="213" t="str">
        <f>IFERROR(VLOOKUP(TableHandbook[[#This Row],[UDC]],TableMCARTS[],7,FALSE),"")</f>
        <v/>
      </c>
      <c r="M133" s="211" t="str">
        <f>IFERROR(VLOOKUP(TableHandbook[[#This Row],[UDC]],TableMJRPCWRIT[],7,FALSE),"")</f>
        <v/>
      </c>
      <c r="N133" s="211" t="str">
        <f>IFERROR(VLOOKUP(TableHandbook[[#This Row],[UDC]],TableMJRPDGCMS[],7,FALSE),"")</f>
        <v>Option</v>
      </c>
      <c r="O133" s="211" t="str">
        <f>IFERROR(VLOOKUP(TableHandbook[[#This Row],[UDC]],TableMJRPFINAR[],7,FALSE),"")</f>
        <v/>
      </c>
      <c r="P133" s="211" t="str">
        <f>IFERROR(VLOOKUP(TableHandbook[[#This Row],[UDC]],TableMJRPPWRIT[],7,FALSE),"")</f>
        <v/>
      </c>
      <c r="Q133" s="211" t="str">
        <f>IFERROR(VLOOKUP(TableHandbook[[#This Row],[UDC]],TableMJRPSCRAR[],7,FALSE),"")</f>
        <v/>
      </c>
      <c r="R133" s="213" t="str">
        <f>IFERROR(VLOOKUP(TableHandbook[[#This Row],[UDC]],TableMCMMJRG[],7,FALSE),"")</f>
        <v/>
      </c>
      <c r="S133" s="211" t="str">
        <f>IFERROR(VLOOKUP(TableHandbook[[#This Row],[UDC]],TableMCMMJRN[],7,FALSE),"")</f>
        <v/>
      </c>
      <c r="T133" s="211" t="str">
        <f>IFERROR(VLOOKUP(TableHandbook[[#This Row],[UDC]],TableGDMMJRN[],7,FALSE),"")</f>
        <v/>
      </c>
      <c r="U133" s="211" t="str">
        <f>IFERROR(VLOOKUP(TableHandbook[[#This Row],[UDC]],TableGCMMJRN[],7,FALSE),"")</f>
        <v/>
      </c>
      <c r="V133" s="213" t="str">
        <f>IFERROR(VLOOKUP(TableHandbook[[#This Row],[UDC]],TableMCHRIGLO[],7,FALSE),"")</f>
        <v/>
      </c>
      <c r="W133" s="211" t="str">
        <f>IFERROR(VLOOKUP(TableHandbook[[#This Row],[UDC]],TableMCHRIGHT[],7,FALSE),"")</f>
        <v/>
      </c>
      <c r="X133" s="211" t="str">
        <f>IFERROR(VLOOKUP(TableHandbook[[#This Row],[UDC]],TableGDHRIGHT[],7,FALSE),"")</f>
        <v/>
      </c>
      <c r="Y133" s="211" t="str">
        <f>IFERROR(VLOOKUP(TableHandbook[[#This Row],[UDC]],TableGCHRIGHT[],7,FALSE),"")</f>
        <v/>
      </c>
      <c r="Z133" s="213" t="str">
        <f>IFERROR(VLOOKUP(TableHandbook[[#This Row],[UDC]],TableMCGLOBL2[],7,FALSE),"")</f>
        <v/>
      </c>
      <c r="AA133" s="211" t="str">
        <f>IFERROR(VLOOKUP(TableHandbook[[#This Row],[UDC]],TableMCGLOBL[],7,FALSE),"")</f>
        <v/>
      </c>
      <c r="AB133" s="211" t="str">
        <f>IFERROR(VLOOKUP(TableHandbook[[#This Row],[UDC]],TableSTRPGLOBL[],7,FALSE),"")</f>
        <v/>
      </c>
      <c r="AC133" s="211" t="str">
        <f>IFERROR(VLOOKUP(TableHandbook[[#This Row],[UDC]],TableSTRPHRIGT[],7,FALSE),"")</f>
        <v/>
      </c>
      <c r="AD133" s="211" t="str">
        <f>IFERROR(VLOOKUP(TableHandbook[[#This Row],[UDC]],TableSTRPINTRN[],7,FALSE),"")</f>
        <v/>
      </c>
      <c r="AE133" s="211" t="str">
        <f>IFERROR(VLOOKUP(TableHandbook[[#This Row],[UDC]],TableGCGLOBL[],7,FALSE),"")</f>
        <v/>
      </c>
      <c r="AF133" s="213" t="str">
        <f>IFERROR(VLOOKUP(TableHandbook[[#This Row],[UDC]],TableMCINTREL[],7,FALSE),"")</f>
        <v/>
      </c>
      <c r="AG133" s="211" t="str">
        <f>IFERROR(VLOOKUP(TableHandbook[[#This Row],[UDC]],TableMCINTSEC[],7,FALSE),"")</f>
        <v/>
      </c>
      <c r="AH133" s="211" t="str">
        <f>IFERROR(VLOOKUP(TableHandbook[[#This Row],[UDC]],TableGDINTSEC[],7,FALSE),"")</f>
        <v/>
      </c>
      <c r="AI133" s="211" t="str">
        <f>IFERROR(VLOOKUP(TableHandbook[[#This Row],[UDC]],TableGCINTSEC[],7,FALSE),"")</f>
        <v/>
      </c>
      <c r="AJ133" s="211" t="str">
        <f>IFERROR(VLOOKUP(TableHandbook[[#This Row],[UDC]],TableGCINTELL[],7,FALSE),"")</f>
        <v/>
      </c>
      <c r="AK133" s="211" t="str">
        <f>IFERROR(VLOOKUP(TableHandbook[[#This Row],[UDC]],TableGCIPCSEC[],7,FALSE),"")</f>
        <v/>
      </c>
    </row>
    <row r="134" spans="1:37" x14ac:dyDescent="0.3">
      <c r="A134" s="2" t="s">
        <v>563</v>
      </c>
      <c r="B134" s="3">
        <v>3</v>
      </c>
      <c r="C134" s="3"/>
      <c r="D134" s="209" t="s">
        <v>564</v>
      </c>
      <c r="E134" s="3">
        <v>25</v>
      </c>
      <c r="F134" s="149" t="s">
        <v>108</v>
      </c>
      <c r="G134" s="96" t="str">
        <f>IFERROR(IF(VLOOKUP(TableHandbook[[#This Row],[UDC]],TableAvailabilities[],2,FALSE)&gt;0,"Y",""),"")</f>
        <v/>
      </c>
      <c r="H134" s="96" t="str">
        <f>IFERROR(IF(VLOOKUP(TableHandbook[[#This Row],[UDC]],TableAvailabilities[],3,FALSE)&gt;0,"Y",""),"")</f>
        <v/>
      </c>
      <c r="I134" s="96" t="str">
        <f>IFERROR(IF(VLOOKUP(TableHandbook[[#This Row],[UDC]],TableAvailabilities[],4,FALSE)&gt;0,"Y",""),"")</f>
        <v/>
      </c>
      <c r="J134" s="96" t="str">
        <f>IFERROR(IF(VLOOKUP(TableHandbook[[#This Row],[UDC]],TableAvailabilities[],5,FALSE)&gt;0,"Y",""),"")</f>
        <v/>
      </c>
      <c r="K134" s="209" t="s">
        <v>436</v>
      </c>
      <c r="L134" s="213" t="str">
        <f>IFERROR(VLOOKUP(TableHandbook[[#This Row],[UDC]],TableMCARTS[],7,FALSE),"")</f>
        <v/>
      </c>
      <c r="M134" s="211" t="str">
        <f>IFERROR(VLOOKUP(TableHandbook[[#This Row],[UDC]],TableMJRPCWRIT[],7,FALSE),"")</f>
        <v/>
      </c>
      <c r="N134" s="211" t="str">
        <f>IFERROR(VLOOKUP(TableHandbook[[#This Row],[UDC]],TableMJRPDGCMS[],7,FALSE),"")</f>
        <v/>
      </c>
      <c r="O134" s="211" t="str">
        <f>IFERROR(VLOOKUP(TableHandbook[[#This Row],[UDC]],TableMJRPFINAR[],7,FALSE),"")</f>
        <v/>
      </c>
      <c r="P134" s="211" t="str">
        <f>IFERROR(VLOOKUP(TableHandbook[[#This Row],[UDC]],TableMJRPPWRIT[],7,FALSE),"")</f>
        <v/>
      </c>
      <c r="Q134" s="211" t="str">
        <f>IFERROR(VLOOKUP(TableHandbook[[#This Row],[UDC]],TableMJRPSCRAR[],7,FALSE),"")</f>
        <v/>
      </c>
      <c r="R134" s="213" t="str">
        <f>IFERROR(VLOOKUP(TableHandbook[[#This Row],[UDC]],TableMCMMJRG[],7,FALSE),"")</f>
        <v/>
      </c>
      <c r="S134" s="211" t="str">
        <f>IFERROR(VLOOKUP(TableHandbook[[#This Row],[UDC]],TableMCMMJRN[],7,FALSE),"")</f>
        <v/>
      </c>
      <c r="T134" s="211" t="str">
        <f>IFERROR(VLOOKUP(TableHandbook[[#This Row],[UDC]],TableGDMMJRN[],7,FALSE),"")</f>
        <v/>
      </c>
      <c r="U134" s="211" t="str">
        <f>IFERROR(VLOOKUP(TableHandbook[[#This Row],[UDC]],TableGCMMJRN[],7,FALSE),"")</f>
        <v/>
      </c>
      <c r="V134" s="213" t="str">
        <f>IFERROR(VLOOKUP(TableHandbook[[#This Row],[UDC]],TableMCHRIGLO[],7,FALSE),"")</f>
        <v/>
      </c>
      <c r="W134" s="211" t="str">
        <f>IFERROR(VLOOKUP(TableHandbook[[#This Row],[UDC]],TableMCHRIGHT[],7,FALSE),"")</f>
        <v/>
      </c>
      <c r="X134" s="211" t="str">
        <f>IFERROR(VLOOKUP(TableHandbook[[#This Row],[UDC]],TableGDHRIGHT[],7,FALSE),"")</f>
        <v/>
      </c>
      <c r="Y134" s="211" t="str">
        <f>IFERROR(VLOOKUP(TableHandbook[[#This Row],[UDC]],TableGCHRIGHT[],7,FALSE),"")</f>
        <v/>
      </c>
      <c r="Z134" s="213" t="str">
        <f>IFERROR(VLOOKUP(TableHandbook[[#This Row],[UDC]],TableMCGLOBL2[],7,FALSE),"")</f>
        <v/>
      </c>
      <c r="AA134" s="211" t="str">
        <f>IFERROR(VLOOKUP(TableHandbook[[#This Row],[UDC]],TableMCGLOBL[],7,FALSE),"")</f>
        <v/>
      </c>
      <c r="AB134" s="211" t="str">
        <f>IFERROR(VLOOKUP(TableHandbook[[#This Row],[UDC]],TableSTRPGLOBL[],7,FALSE),"")</f>
        <v/>
      </c>
      <c r="AC134" s="211" t="str">
        <f>IFERROR(VLOOKUP(TableHandbook[[#This Row],[UDC]],TableSTRPHRIGT[],7,FALSE),"")</f>
        <v/>
      </c>
      <c r="AD134" s="211" t="str">
        <f>IFERROR(VLOOKUP(TableHandbook[[#This Row],[UDC]],TableSTRPINTRN[],7,FALSE),"")</f>
        <v/>
      </c>
      <c r="AE134" s="211" t="str">
        <f>IFERROR(VLOOKUP(TableHandbook[[#This Row],[UDC]],TableGCGLOBL[],7,FALSE),"")</f>
        <v/>
      </c>
      <c r="AF134" s="213" t="str">
        <f>IFERROR(VLOOKUP(TableHandbook[[#This Row],[UDC]],TableMCINTREL[],7,FALSE),"")</f>
        <v/>
      </c>
      <c r="AG134" s="211" t="str">
        <f>IFERROR(VLOOKUP(TableHandbook[[#This Row],[UDC]],TableMCINTSEC[],7,FALSE),"")</f>
        <v/>
      </c>
      <c r="AH134" s="211" t="str">
        <f>IFERROR(VLOOKUP(TableHandbook[[#This Row],[UDC]],TableGDINTSEC[],7,FALSE),"")</f>
        <v/>
      </c>
      <c r="AI134" s="211" t="str">
        <f>IFERROR(VLOOKUP(TableHandbook[[#This Row],[UDC]],TableGCINTSEC[],7,FALSE),"")</f>
        <v/>
      </c>
      <c r="AJ134" s="211" t="str">
        <f>IFERROR(VLOOKUP(TableHandbook[[#This Row],[UDC]],TableGCINTELL[],7,FALSE),"")</f>
        <v/>
      </c>
      <c r="AK134" s="211" t="str">
        <f>IFERROR(VLOOKUP(TableHandbook[[#This Row],[UDC]],TableGCIPCSEC[],7,FALSE),"")</f>
        <v/>
      </c>
    </row>
    <row r="135" spans="1:37" x14ac:dyDescent="0.3">
      <c r="A135" s="2" t="s">
        <v>62</v>
      </c>
      <c r="B135" s="3"/>
      <c r="C135" s="3"/>
      <c r="D135" s="209" t="s">
        <v>565</v>
      </c>
      <c r="E135" s="3">
        <v>25</v>
      </c>
      <c r="F135" s="149" t="s">
        <v>416</v>
      </c>
      <c r="G135" s="96" t="str">
        <f>IFERROR(IF(VLOOKUP(TableHandbook[[#This Row],[UDC]],TableAvailabilities[],2,FALSE)&gt;0,"Y",""),"")</f>
        <v/>
      </c>
      <c r="H135" s="96" t="str">
        <f>IFERROR(IF(VLOOKUP(TableHandbook[[#This Row],[UDC]],TableAvailabilities[],3,FALSE)&gt;0,"Y",""),"")</f>
        <v/>
      </c>
      <c r="I135" s="96" t="str">
        <f>IFERROR(IF(VLOOKUP(TableHandbook[[#This Row],[UDC]],TableAvailabilities[],4,FALSE)&gt;0,"Y",""),"")</f>
        <v/>
      </c>
      <c r="J135" s="96" t="str">
        <f>IFERROR(IF(VLOOKUP(TableHandbook[[#This Row],[UDC]],TableAvailabilities[],5,FALSE)&gt;0,"Y",""),"")</f>
        <v/>
      </c>
      <c r="K135" s="209"/>
      <c r="L135" s="213" t="str">
        <f>IFERROR(VLOOKUP(TableHandbook[[#This Row],[UDC]],TableMCARTS[],7,FALSE),"")</f>
        <v/>
      </c>
      <c r="M135" s="211" t="str">
        <f>IFERROR(VLOOKUP(TableHandbook[[#This Row],[UDC]],TableMJRPCWRIT[],7,FALSE),"")</f>
        <v>Option</v>
      </c>
      <c r="N135" s="211" t="str">
        <f>IFERROR(VLOOKUP(TableHandbook[[#This Row],[UDC]],TableMJRPDGCMS[],7,FALSE),"")</f>
        <v/>
      </c>
      <c r="O135" s="211" t="str">
        <f>IFERROR(VLOOKUP(TableHandbook[[#This Row],[UDC]],TableMJRPFINAR[],7,FALSE),"")</f>
        <v/>
      </c>
      <c r="P135" s="211" t="str">
        <f>IFERROR(VLOOKUP(TableHandbook[[#This Row],[UDC]],TableMJRPPWRIT[],7,FALSE),"")</f>
        <v/>
      </c>
      <c r="Q135" s="211" t="str">
        <f>IFERROR(VLOOKUP(TableHandbook[[#This Row],[UDC]],TableMJRPSCRAR[],7,FALSE),"")</f>
        <v/>
      </c>
      <c r="R135" s="213" t="str">
        <f>IFERROR(VLOOKUP(TableHandbook[[#This Row],[UDC]],TableMCMMJRG[],7,FALSE),"")</f>
        <v/>
      </c>
      <c r="S135" s="211" t="str">
        <f>IFERROR(VLOOKUP(TableHandbook[[#This Row],[UDC]],TableMCMMJRN[],7,FALSE),"")</f>
        <v/>
      </c>
      <c r="T135" s="211" t="str">
        <f>IFERROR(VLOOKUP(TableHandbook[[#This Row],[UDC]],TableGDMMJRN[],7,FALSE),"")</f>
        <v/>
      </c>
      <c r="U135" s="211" t="str">
        <f>IFERROR(VLOOKUP(TableHandbook[[#This Row],[UDC]],TableGCMMJRN[],7,FALSE),"")</f>
        <v/>
      </c>
      <c r="V135" s="213" t="str">
        <f>IFERROR(VLOOKUP(TableHandbook[[#This Row],[UDC]],TableMCHRIGLO[],7,FALSE),"")</f>
        <v/>
      </c>
      <c r="W135" s="211" t="str">
        <f>IFERROR(VLOOKUP(TableHandbook[[#This Row],[UDC]],TableMCHRIGHT[],7,FALSE),"")</f>
        <v/>
      </c>
      <c r="X135" s="211" t="str">
        <f>IFERROR(VLOOKUP(TableHandbook[[#This Row],[UDC]],TableGDHRIGHT[],7,FALSE),"")</f>
        <v/>
      </c>
      <c r="Y135" s="211" t="str">
        <f>IFERROR(VLOOKUP(TableHandbook[[#This Row],[UDC]],TableGCHRIGHT[],7,FALSE),"")</f>
        <v/>
      </c>
      <c r="Z135" s="213" t="str">
        <f>IFERROR(VLOOKUP(TableHandbook[[#This Row],[UDC]],TableMCGLOBL2[],7,FALSE),"")</f>
        <v/>
      </c>
      <c r="AA135" s="211" t="str">
        <f>IFERROR(VLOOKUP(TableHandbook[[#This Row],[UDC]],TableMCGLOBL[],7,FALSE),"")</f>
        <v/>
      </c>
      <c r="AB135" s="211" t="str">
        <f>IFERROR(VLOOKUP(TableHandbook[[#This Row],[UDC]],TableSTRPGLOBL[],7,FALSE),"")</f>
        <v/>
      </c>
      <c r="AC135" s="211" t="str">
        <f>IFERROR(VLOOKUP(TableHandbook[[#This Row],[UDC]],TableSTRPHRIGT[],7,FALSE),"")</f>
        <v/>
      </c>
      <c r="AD135" s="211" t="str">
        <f>IFERROR(VLOOKUP(TableHandbook[[#This Row],[UDC]],TableSTRPINTRN[],7,FALSE),"")</f>
        <v/>
      </c>
      <c r="AE135" s="211" t="str">
        <f>IFERROR(VLOOKUP(TableHandbook[[#This Row],[UDC]],TableGCGLOBL[],7,FALSE),"")</f>
        <v/>
      </c>
      <c r="AF135" s="213" t="str">
        <f>IFERROR(VLOOKUP(TableHandbook[[#This Row],[UDC]],TableMCINTREL[],7,FALSE),"")</f>
        <v/>
      </c>
      <c r="AG135" s="211" t="str">
        <f>IFERROR(VLOOKUP(TableHandbook[[#This Row],[UDC]],TableMCINTSEC[],7,FALSE),"")</f>
        <v/>
      </c>
      <c r="AH135" s="211" t="str">
        <f>IFERROR(VLOOKUP(TableHandbook[[#This Row],[UDC]],TableGDINTSEC[],7,FALSE),"")</f>
        <v/>
      </c>
      <c r="AI135" s="211" t="str">
        <f>IFERROR(VLOOKUP(TableHandbook[[#This Row],[UDC]],TableGCINTSEC[],7,FALSE),"")</f>
        <v/>
      </c>
      <c r="AJ135" s="211" t="str">
        <f>IFERROR(VLOOKUP(TableHandbook[[#This Row],[UDC]],TableGCINTELL[],7,FALSE),"")</f>
        <v/>
      </c>
      <c r="AK135" s="211" t="str">
        <f>IFERROR(VLOOKUP(TableHandbook[[#This Row],[UDC]],TableGCIPCSEC[],7,FALSE),"")</f>
        <v/>
      </c>
    </row>
    <row r="136" spans="1:37" x14ac:dyDescent="0.3">
      <c r="A136" s="231" t="s">
        <v>63</v>
      </c>
      <c r="B136" s="3">
        <v>0</v>
      </c>
      <c r="C136" s="3"/>
      <c r="D136" s="209" t="s">
        <v>566</v>
      </c>
      <c r="E136" s="3">
        <v>25</v>
      </c>
      <c r="F136" s="149" t="s">
        <v>416</v>
      </c>
      <c r="G136" s="96" t="str">
        <f>IFERROR(IF(VLOOKUP(TableHandbook[[#This Row],[UDC]],TableAvailabilities[],2,FALSE)&gt;0,"Y",""),"")</f>
        <v/>
      </c>
      <c r="H136" s="96" t="str">
        <f>IFERROR(IF(VLOOKUP(TableHandbook[[#This Row],[UDC]],TableAvailabilities[],3,FALSE)&gt;0,"Y",""),"")</f>
        <v/>
      </c>
      <c r="I136" s="96" t="str">
        <f>IFERROR(IF(VLOOKUP(TableHandbook[[#This Row],[UDC]],TableAvailabilities[],4,FALSE)&gt;0,"Y",""),"")</f>
        <v/>
      </c>
      <c r="J136" s="96" t="str">
        <f>IFERROR(IF(VLOOKUP(TableHandbook[[#This Row],[UDC]],TableAvailabilities[],5,FALSE)&gt;0,"Y",""),"")</f>
        <v/>
      </c>
      <c r="K136" s="209"/>
      <c r="L136" s="213" t="str">
        <f>IFERROR(VLOOKUP(TableHandbook[[#This Row],[UDC]],TableMCARTS[],7,FALSE),"")</f>
        <v/>
      </c>
      <c r="M136" s="211" t="str">
        <f>IFERROR(VLOOKUP(TableHandbook[[#This Row],[UDC]],TableMJRPCWRIT[],7,FALSE),"")</f>
        <v/>
      </c>
      <c r="N136" s="211" t="str">
        <f>IFERROR(VLOOKUP(TableHandbook[[#This Row],[UDC]],TableMJRPDGCMS[],7,FALSE),"")</f>
        <v>Option</v>
      </c>
      <c r="O136" s="211" t="str">
        <f>IFERROR(VLOOKUP(TableHandbook[[#This Row],[UDC]],TableMJRPFINAR[],7,FALSE),"")</f>
        <v/>
      </c>
      <c r="P136" s="211" t="str">
        <f>IFERROR(VLOOKUP(TableHandbook[[#This Row],[UDC]],TableMJRPPWRIT[],7,FALSE),"")</f>
        <v/>
      </c>
      <c r="Q136" s="211" t="str">
        <f>IFERROR(VLOOKUP(TableHandbook[[#This Row],[UDC]],TableMJRPSCRAR[],7,FALSE),"")</f>
        <v/>
      </c>
      <c r="R136" s="213" t="str">
        <f>IFERROR(VLOOKUP(TableHandbook[[#This Row],[UDC]],TableMCMMJRG[],7,FALSE),"")</f>
        <v/>
      </c>
      <c r="S136" s="211" t="str">
        <f>IFERROR(VLOOKUP(TableHandbook[[#This Row],[UDC]],TableMCMMJRN[],7,FALSE),"")</f>
        <v/>
      </c>
      <c r="T136" s="211" t="str">
        <f>IFERROR(VLOOKUP(TableHandbook[[#This Row],[UDC]],TableGDMMJRN[],7,FALSE),"")</f>
        <v/>
      </c>
      <c r="U136" s="211" t="str">
        <f>IFERROR(VLOOKUP(TableHandbook[[#This Row],[UDC]],TableGCMMJRN[],7,FALSE),"")</f>
        <v/>
      </c>
      <c r="V136" s="213" t="str">
        <f>IFERROR(VLOOKUP(TableHandbook[[#This Row],[UDC]],TableMCHRIGLO[],7,FALSE),"")</f>
        <v/>
      </c>
      <c r="W136" s="211" t="str">
        <f>IFERROR(VLOOKUP(TableHandbook[[#This Row],[UDC]],TableMCHRIGHT[],7,FALSE),"")</f>
        <v/>
      </c>
      <c r="X136" s="211" t="str">
        <f>IFERROR(VLOOKUP(TableHandbook[[#This Row],[UDC]],TableGDHRIGHT[],7,FALSE),"")</f>
        <v/>
      </c>
      <c r="Y136" s="211" t="str">
        <f>IFERROR(VLOOKUP(TableHandbook[[#This Row],[UDC]],TableGCHRIGHT[],7,FALSE),"")</f>
        <v/>
      </c>
      <c r="Z136" s="213" t="str">
        <f>IFERROR(VLOOKUP(TableHandbook[[#This Row],[UDC]],TableMCGLOBL2[],7,FALSE),"")</f>
        <v/>
      </c>
      <c r="AA136" s="211" t="str">
        <f>IFERROR(VLOOKUP(TableHandbook[[#This Row],[UDC]],TableMCGLOBL[],7,FALSE),"")</f>
        <v/>
      </c>
      <c r="AB136" s="211" t="str">
        <f>IFERROR(VLOOKUP(TableHandbook[[#This Row],[UDC]],TableSTRPGLOBL[],7,FALSE),"")</f>
        <v/>
      </c>
      <c r="AC136" s="211" t="str">
        <f>IFERROR(VLOOKUP(TableHandbook[[#This Row],[UDC]],TableSTRPHRIGT[],7,FALSE),"")</f>
        <v/>
      </c>
      <c r="AD136" s="211" t="str">
        <f>IFERROR(VLOOKUP(TableHandbook[[#This Row],[UDC]],TableSTRPINTRN[],7,FALSE),"")</f>
        <v/>
      </c>
      <c r="AE136" s="211" t="str">
        <f>IFERROR(VLOOKUP(TableHandbook[[#This Row],[UDC]],TableGCGLOBL[],7,FALSE),"")</f>
        <v/>
      </c>
      <c r="AF136" s="213" t="str">
        <f>IFERROR(VLOOKUP(TableHandbook[[#This Row],[UDC]],TableMCINTREL[],7,FALSE),"")</f>
        <v/>
      </c>
      <c r="AG136" s="211" t="str">
        <f>IFERROR(VLOOKUP(TableHandbook[[#This Row],[UDC]],TableMCINTSEC[],7,FALSE),"")</f>
        <v/>
      </c>
      <c r="AH136" s="211" t="str">
        <f>IFERROR(VLOOKUP(TableHandbook[[#This Row],[UDC]],TableGDINTSEC[],7,FALSE),"")</f>
        <v/>
      </c>
      <c r="AI136" s="211" t="str">
        <f>IFERROR(VLOOKUP(TableHandbook[[#This Row],[UDC]],TableGCINTSEC[],7,FALSE),"")</f>
        <v/>
      </c>
      <c r="AJ136" s="211" t="str">
        <f>IFERROR(VLOOKUP(TableHandbook[[#This Row],[UDC]],TableGCINTELL[],7,FALSE),"")</f>
        <v/>
      </c>
      <c r="AK136" s="211" t="str">
        <f>IFERROR(VLOOKUP(TableHandbook[[#This Row],[UDC]],TableGCIPCSEC[],7,FALSE),"")</f>
        <v/>
      </c>
    </row>
    <row r="137" spans="1:37" x14ac:dyDescent="0.3">
      <c r="A137" s="2" t="s">
        <v>174</v>
      </c>
      <c r="B137" s="3"/>
      <c r="C137" s="3"/>
      <c r="D137" s="209" t="s">
        <v>567</v>
      </c>
      <c r="E137" s="3">
        <v>125</v>
      </c>
      <c r="F137" s="149"/>
      <c r="G137" s="96" t="str">
        <f>IFERROR(IF(VLOOKUP(TableHandbook[[#This Row],[UDC]],TableAvailabilities[],2,FALSE)&gt;0,"Y",""),"")</f>
        <v/>
      </c>
      <c r="H137" s="96" t="str">
        <f>IFERROR(IF(VLOOKUP(TableHandbook[[#This Row],[UDC]],TableAvailabilities[],3,FALSE)&gt;0,"Y",""),"")</f>
        <v/>
      </c>
      <c r="I137" s="96" t="str">
        <f>IFERROR(IF(VLOOKUP(TableHandbook[[#This Row],[UDC]],TableAvailabilities[],4,FALSE)&gt;0,"Y",""),"")</f>
        <v/>
      </c>
      <c r="J137" s="96" t="str">
        <f>IFERROR(IF(VLOOKUP(TableHandbook[[#This Row],[UDC]],TableAvailabilities[],5,FALSE)&gt;0,"Y",""),"")</f>
        <v/>
      </c>
      <c r="K137" s="209" t="s">
        <v>568</v>
      </c>
      <c r="L137" s="213" t="str">
        <f>IFERROR(VLOOKUP(TableHandbook[[#This Row],[UDC]],TableMCARTS[],7,FALSE),"")</f>
        <v/>
      </c>
      <c r="M137" s="211" t="str">
        <f>IFERROR(VLOOKUP(TableHandbook[[#This Row],[UDC]],TableMJRPCWRIT[],7,FALSE),"")</f>
        <v/>
      </c>
      <c r="N137" s="211" t="str">
        <f>IFERROR(VLOOKUP(TableHandbook[[#This Row],[UDC]],TableMJRPDGCMS[],7,FALSE),"")</f>
        <v/>
      </c>
      <c r="O137" s="211" t="str">
        <f>IFERROR(VLOOKUP(TableHandbook[[#This Row],[UDC]],TableMJRPFINAR[],7,FALSE),"")</f>
        <v/>
      </c>
      <c r="P137" s="211" t="str">
        <f>IFERROR(VLOOKUP(TableHandbook[[#This Row],[UDC]],TableMJRPPWRIT[],7,FALSE),"")</f>
        <v/>
      </c>
      <c r="Q137" s="211" t="str">
        <f>IFERROR(VLOOKUP(TableHandbook[[#This Row],[UDC]],TableMJRPSCRAR[],7,FALSE),"")</f>
        <v/>
      </c>
      <c r="R137" s="213" t="str">
        <f>IFERROR(VLOOKUP(TableHandbook[[#This Row],[UDC]],TableMCMMJRG[],7,FALSE),"")</f>
        <v/>
      </c>
      <c r="S137" s="211" t="str">
        <f>IFERROR(VLOOKUP(TableHandbook[[#This Row],[UDC]],TableMCMMJRN[],7,FALSE),"")</f>
        <v/>
      </c>
      <c r="T137" s="211" t="str">
        <f>IFERROR(VLOOKUP(TableHandbook[[#This Row],[UDC]],TableGDMMJRN[],7,FALSE),"")</f>
        <v/>
      </c>
      <c r="U137" s="211" t="str">
        <f>IFERROR(VLOOKUP(TableHandbook[[#This Row],[UDC]],TableGCMMJRN[],7,FALSE),"")</f>
        <v/>
      </c>
      <c r="V137" s="213" t="str">
        <f>IFERROR(VLOOKUP(TableHandbook[[#This Row],[UDC]],TableMCHRIGLO[],7,FALSE),"")</f>
        <v/>
      </c>
      <c r="W137" s="211" t="str">
        <f>IFERROR(VLOOKUP(TableHandbook[[#This Row],[UDC]],TableMCHRIGHT[],7,FALSE),"")</f>
        <v/>
      </c>
      <c r="X137" s="211" t="str">
        <f>IFERROR(VLOOKUP(TableHandbook[[#This Row],[UDC]],TableGDHRIGHT[],7,FALSE),"")</f>
        <v/>
      </c>
      <c r="Y137" s="211" t="str">
        <f>IFERROR(VLOOKUP(TableHandbook[[#This Row],[UDC]],TableGCHRIGHT[],7,FALSE),"")</f>
        <v/>
      </c>
      <c r="Z137" s="213" t="str">
        <f>IFERROR(VLOOKUP(TableHandbook[[#This Row],[UDC]],TableMCGLOBL2[],7,FALSE),"")</f>
        <v/>
      </c>
      <c r="AA137" s="211" t="str">
        <f>IFERROR(VLOOKUP(TableHandbook[[#This Row],[UDC]],TableMCGLOBL[],7,FALSE),"")</f>
        <v/>
      </c>
      <c r="AB137" s="211" t="str">
        <f>IFERROR(VLOOKUP(TableHandbook[[#This Row],[UDC]],TableSTRPGLOBL[],7,FALSE),"")</f>
        <v/>
      </c>
      <c r="AC137" s="211" t="str">
        <f>IFERROR(VLOOKUP(TableHandbook[[#This Row],[UDC]],TableSTRPHRIGT[],7,FALSE),"")</f>
        <v/>
      </c>
      <c r="AD137" s="211" t="str">
        <f>IFERROR(VLOOKUP(TableHandbook[[#This Row],[UDC]],TableSTRPINTRN[],7,FALSE),"")</f>
        <v/>
      </c>
      <c r="AE137" s="211" t="str">
        <f>IFERROR(VLOOKUP(TableHandbook[[#This Row],[UDC]],TableGCGLOBL[],7,FALSE),"")</f>
        <v/>
      </c>
      <c r="AF137" s="213" t="str">
        <f>IFERROR(VLOOKUP(TableHandbook[[#This Row],[UDC]],TableMCINTREL[],7,FALSE),"")</f>
        <v/>
      </c>
      <c r="AG137" s="211" t="str">
        <f>IFERROR(VLOOKUP(TableHandbook[[#This Row],[UDC]],TableMCINTSEC[],7,FALSE),"")</f>
        <v/>
      </c>
      <c r="AH137" s="211" t="str">
        <f>IFERROR(VLOOKUP(TableHandbook[[#This Row],[UDC]],TableGDINTSEC[],7,FALSE),"")</f>
        <v/>
      </c>
      <c r="AI137" s="211" t="str">
        <f>IFERROR(VLOOKUP(TableHandbook[[#This Row],[UDC]],TableGCINTSEC[],7,FALSE),"")</f>
        <v/>
      </c>
      <c r="AJ137" s="211" t="str">
        <f>IFERROR(VLOOKUP(TableHandbook[[#This Row],[UDC]],TableGCINTELL[],7,FALSE),"")</f>
        <v/>
      </c>
      <c r="AK137" s="211" t="str">
        <f>IFERROR(VLOOKUP(TableHandbook[[#This Row],[UDC]],TableGCIPCSEC[],7,FALSE),"")</f>
        <v/>
      </c>
    </row>
    <row r="138" spans="1:37" x14ac:dyDescent="0.3">
      <c r="A138" s="2" t="s">
        <v>213</v>
      </c>
      <c r="B138" s="3"/>
      <c r="C138" s="3"/>
      <c r="D138" s="209" t="s">
        <v>569</v>
      </c>
      <c r="E138" s="3">
        <v>150</v>
      </c>
      <c r="F138" s="149"/>
      <c r="G138" s="96" t="str">
        <f>IFERROR(IF(VLOOKUP(TableHandbook[[#This Row],[UDC]],TableAvailabilities[],2,FALSE)&gt;0,"Y",""),"")</f>
        <v/>
      </c>
      <c r="H138" s="96" t="str">
        <f>IFERROR(IF(VLOOKUP(TableHandbook[[#This Row],[UDC]],TableAvailabilities[],3,FALSE)&gt;0,"Y",""),"")</f>
        <v/>
      </c>
      <c r="I138" s="96" t="str">
        <f>IFERROR(IF(VLOOKUP(TableHandbook[[#This Row],[UDC]],TableAvailabilities[],4,FALSE)&gt;0,"Y",""),"")</f>
        <v/>
      </c>
      <c r="J138" s="96" t="str">
        <f>IFERROR(IF(VLOOKUP(TableHandbook[[#This Row],[UDC]],TableAvailabilities[],5,FALSE)&gt;0,"Y",""),"")</f>
        <v/>
      </c>
      <c r="K138" s="209" t="s">
        <v>568</v>
      </c>
      <c r="L138" s="213" t="str">
        <f>IFERROR(VLOOKUP(TableHandbook[[#This Row],[UDC]],TableMCARTS[],7,FALSE),"")</f>
        <v/>
      </c>
      <c r="M138" s="211" t="str">
        <f>IFERROR(VLOOKUP(TableHandbook[[#This Row],[UDC]],TableMJRPCWRIT[],7,FALSE),"")</f>
        <v/>
      </c>
      <c r="N138" s="211" t="str">
        <f>IFERROR(VLOOKUP(TableHandbook[[#This Row],[UDC]],TableMJRPDGCMS[],7,FALSE),"")</f>
        <v/>
      </c>
      <c r="O138" s="211" t="str">
        <f>IFERROR(VLOOKUP(TableHandbook[[#This Row],[UDC]],TableMJRPFINAR[],7,FALSE),"")</f>
        <v/>
      </c>
      <c r="P138" s="211" t="str">
        <f>IFERROR(VLOOKUP(TableHandbook[[#This Row],[UDC]],TableMJRPPWRIT[],7,FALSE),"")</f>
        <v/>
      </c>
      <c r="Q138" s="211" t="str">
        <f>IFERROR(VLOOKUP(TableHandbook[[#This Row],[UDC]],TableMJRPSCRAR[],7,FALSE),"")</f>
        <v/>
      </c>
      <c r="R138" s="213" t="str">
        <f>IFERROR(VLOOKUP(TableHandbook[[#This Row],[UDC]],TableMCMMJRG[],7,FALSE),"")</f>
        <v/>
      </c>
      <c r="S138" s="211" t="str">
        <f>IFERROR(VLOOKUP(TableHandbook[[#This Row],[UDC]],TableMCMMJRN[],7,FALSE),"")</f>
        <v/>
      </c>
      <c r="T138" s="211" t="str">
        <f>IFERROR(VLOOKUP(TableHandbook[[#This Row],[UDC]],TableGDMMJRN[],7,FALSE),"")</f>
        <v/>
      </c>
      <c r="U138" s="211" t="str">
        <f>IFERROR(VLOOKUP(TableHandbook[[#This Row],[UDC]],TableGCMMJRN[],7,FALSE),"")</f>
        <v/>
      </c>
      <c r="V138" s="213" t="str">
        <f>IFERROR(VLOOKUP(TableHandbook[[#This Row],[UDC]],TableMCHRIGLO[],7,FALSE),"")</f>
        <v/>
      </c>
      <c r="W138" s="211" t="str">
        <f>IFERROR(VLOOKUP(TableHandbook[[#This Row],[UDC]],TableMCHRIGHT[],7,FALSE),"")</f>
        <v/>
      </c>
      <c r="X138" s="211" t="str">
        <f>IFERROR(VLOOKUP(TableHandbook[[#This Row],[UDC]],TableGDHRIGHT[],7,FALSE),"")</f>
        <v/>
      </c>
      <c r="Y138" s="211" t="str">
        <f>IFERROR(VLOOKUP(TableHandbook[[#This Row],[UDC]],TableGCHRIGHT[],7,FALSE),"")</f>
        <v/>
      </c>
      <c r="Z138" s="213" t="str">
        <f>IFERROR(VLOOKUP(TableHandbook[[#This Row],[UDC]],TableMCGLOBL2[],7,FALSE),"")</f>
        <v/>
      </c>
      <c r="AA138" s="211" t="str">
        <f>IFERROR(VLOOKUP(TableHandbook[[#This Row],[UDC]],TableMCGLOBL[],7,FALSE),"")</f>
        <v/>
      </c>
      <c r="AB138" s="211" t="str">
        <f>IFERROR(VLOOKUP(TableHandbook[[#This Row],[UDC]],TableSTRPGLOBL[],7,FALSE),"")</f>
        <v/>
      </c>
      <c r="AC138" s="211" t="str">
        <f>IFERROR(VLOOKUP(TableHandbook[[#This Row],[UDC]],TableSTRPHRIGT[],7,FALSE),"")</f>
        <v/>
      </c>
      <c r="AD138" s="211" t="str">
        <f>IFERROR(VLOOKUP(TableHandbook[[#This Row],[UDC]],TableSTRPINTRN[],7,FALSE),"")</f>
        <v/>
      </c>
      <c r="AE138" s="211" t="str">
        <f>IFERROR(VLOOKUP(TableHandbook[[#This Row],[UDC]],TableGCGLOBL[],7,FALSE),"")</f>
        <v/>
      </c>
      <c r="AF138" s="213" t="str">
        <f>IFERROR(VLOOKUP(TableHandbook[[#This Row],[UDC]],TableMCINTREL[],7,FALSE),"")</f>
        <v/>
      </c>
      <c r="AG138" s="211" t="str">
        <f>IFERROR(VLOOKUP(TableHandbook[[#This Row],[UDC]],TableMCINTSEC[],7,FALSE),"")</f>
        <v/>
      </c>
      <c r="AH138" s="211" t="str">
        <f>IFERROR(VLOOKUP(TableHandbook[[#This Row],[UDC]],TableGDINTSEC[],7,FALSE),"")</f>
        <v/>
      </c>
      <c r="AI138" s="211" t="str">
        <f>IFERROR(VLOOKUP(TableHandbook[[#This Row],[UDC]],TableGCINTSEC[],7,FALSE),"")</f>
        <v/>
      </c>
      <c r="AJ138" s="211" t="str">
        <f>IFERROR(VLOOKUP(TableHandbook[[#This Row],[UDC]],TableGCINTELL[],7,FALSE),"")</f>
        <v/>
      </c>
      <c r="AK138" s="211" t="str">
        <f>IFERROR(VLOOKUP(TableHandbook[[#This Row],[UDC]],TableGCIPCSEC[],7,FALSE),"")</f>
        <v/>
      </c>
    </row>
    <row r="139" spans="1:37" x14ac:dyDescent="0.3">
      <c r="A139" s="2" t="s">
        <v>74</v>
      </c>
      <c r="B139" s="3"/>
      <c r="C139" s="3"/>
      <c r="D139" s="209" t="s">
        <v>570</v>
      </c>
      <c r="E139" s="3">
        <v>25</v>
      </c>
      <c r="F139" s="149" t="s">
        <v>416</v>
      </c>
      <c r="G139" s="96" t="str">
        <f>IFERROR(IF(VLOOKUP(TableHandbook[[#This Row],[UDC]],TableAvailabilities[],2,FALSE)&gt;0,"Y",""),"")</f>
        <v/>
      </c>
      <c r="H139" s="96" t="str">
        <f>IFERROR(IF(VLOOKUP(TableHandbook[[#This Row],[UDC]],TableAvailabilities[],3,FALSE)&gt;0,"Y",""),"")</f>
        <v/>
      </c>
      <c r="I139" s="96" t="str">
        <f>IFERROR(IF(VLOOKUP(TableHandbook[[#This Row],[UDC]],TableAvailabilities[],4,FALSE)&gt;0,"Y",""),"")</f>
        <v/>
      </c>
      <c r="J139" s="96" t="str">
        <f>IFERROR(IF(VLOOKUP(TableHandbook[[#This Row],[UDC]],TableAvailabilities[],5,FALSE)&gt;0,"Y",""),"")</f>
        <v/>
      </c>
      <c r="K139" s="209"/>
      <c r="L139" s="213" t="str">
        <f>IFERROR(VLOOKUP(TableHandbook[[#This Row],[UDC]],TableMCARTS[],7,FALSE),"")</f>
        <v/>
      </c>
      <c r="M139" s="211" t="str">
        <f>IFERROR(VLOOKUP(TableHandbook[[#This Row],[UDC]],TableMJRPCWRIT[],7,FALSE),"")</f>
        <v/>
      </c>
      <c r="N139" s="211" t="str">
        <f>IFERROR(VLOOKUP(TableHandbook[[#This Row],[UDC]],TableMJRPDGCMS[],7,FALSE),"")</f>
        <v/>
      </c>
      <c r="O139" s="211" t="str">
        <f>IFERROR(VLOOKUP(TableHandbook[[#This Row],[UDC]],TableMJRPFINAR[],7,FALSE),"")</f>
        <v>Option</v>
      </c>
      <c r="P139" s="211" t="str">
        <f>IFERROR(VLOOKUP(TableHandbook[[#This Row],[UDC]],TableMJRPPWRIT[],7,FALSE),"")</f>
        <v/>
      </c>
      <c r="Q139" s="211" t="str">
        <f>IFERROR(VLOOKUP(TableHandbook[[#This Row],[UDC]],TableMJRPSCRAR[],7,FALSE),"")</f>
        <v/>
      </c>
      <c r="R139" s="213" t="str">
        <f>IFERROR(VLOOKUP(TableHandbook[[#This Row],[UDC]],TableMCMMJRG[],7,FALSE),"")</f>
        <v/>
      </c>
      <c r="S139" s="211" t="str">
        <f>IFERROR(VLOOKUP(TableHandbook[[#This Row],[UDC]],TableMCMMJRN[],7,FALSE),"")</f>
        <v/>
      </c>
      <c r="T139" s="211" t="str">
        <f>IFERROR(VLOOKUP(TableHandbook[[#This Row],[UDC]],TableGDMMJRN[],7,FALSE),"")</f>
        <v/>
      </c>
      <c r="U139" s="211" t="str">
        <f>IFERROR(VLOOKUP(TableHandbook[[#This Row],[UDC]],TableGCMMJRN[],7,FALSE),"")</f>
        <v/>
      </c>
      <c r="V139" s="213" t="str">
        <f>IFERROR(VLOOKUP(TableHandbook[[#This Row],[UDC]],TableMCHRIGLO[],7,FALSE),"")</f>
        <v/>
      </c>
      <c r="W139" s="211" t="str">
        <f>IFERROR(VLOOKUP(TableHandbook[[#This Row],[UDC]],TableMCHRIGHT[],7,FALSE),"")</f>
        <v/>
      </c>
      <c r="X139" s="211" t="str">
        <f>IFERROR(VLOOKUP(TableHandbook[[#This Row],[UDC]],TableGDHRIGHT[],7,FALSE),"")</f>
        <v/>
      </c>
      <c r="Y139" s="211" t="str">
        <f>IFERROR(VLOOKUP(TableHandbook[[#This Row],[UDC]],TableGCHRIGHT[],7,FALSE),"")</f>
        <v/>
      </c>
      <c r="Z139" s="213" t="str">
        <f>IFERROR(VLOOKUP(TableHandbook[[#This Row],[UDC]],TableMCGLOBL2[],7,FALSE),"")</f>
        <v/>
      </c>
      <c r="AA139" s="211" t="str">
        <f>IFERROR(VLOOKUP(TableHandbook[[#This Row],[UDC]],TableMCGLOBL[],7,FALSE),"")</f>
        <v/>
      </c>
      <c r="AB139" s="211" t="str">
        <f>IFERROR(VLOOKUP(TableHandbook[[#This Row],[UDC]],TableSTRPGLOBL[],7,FALSE),"")</f>
        <v/>
      </c>
      <c r="AC139" s="211" t="str">
        <f>IFERROR(VLOOKUP(TableHandbook[[#This Row],[UDC]],TableSTRPHRIGT[],7,FALSE),"")</f>
        <v/>
      </c>
      <c r="AD139" s="211" t="str">
        <f>IFERROR(VLOOKUP(TableHandbook[[#This Row],[UDC]],TableSTRPINTRN[],7,FALSE),"")</f>
        <v/>
      </c>
      <c r="AE139" s="211" t="str">
        <f>IFERROR(VLOOKUP(TableHandbook[[#This Row],[UDC]],TableGCGLOBL[],7,FALSE),"")</f>
        <v/>
      </c>
      <c r="AF139" s="213" t="str">
        <f>IFERROR(VLOOKUP(TableHandbook[[#This Row],[UDC]],TableMCINTREL[],7,FALSE),"")</f>
        <v/>
      </c>
      <c r="AG139" s="211" t="str">
        <f>IFERROR(VLOOKUP(TableHandbook[[#This Row],[UDC]],TableMCINTSEC[],7,FALSE),"")</f>
        <v/>
      </c>
      <c r="AH139" s="211" t="str">
        <f>IFERROR(VLOOKUP(TableHandbook[[#This Row],[UDC]],TableGDINTSEC[],7,FALSE),"")</f>
        <v/>
      </c>
      <c r="AI139" s="211" t="str">
        <f>IFERROR(VLOOKUP(TableHandbook[[#This Row],[UDC]],TableGCINTSEC[],7,FALSE),"")</f>
        <v/>
      </c>
      <c r="AJ139" s="211" t="str">
        <f>IFERROR(VLOOKUP(TableHandbook[[#This Row],[UDC]],TableGCINTELL[],7,FALSE),"")</f>
        <v/>
      </c>
      <c r="AK139" s="211" t="str">
        <f>IFERROR(VLOOKUP(TableHandbook[[#This Row],[UDC]],TableGCIPCSEC[],7,FALSE),"")</f>
        <v/>
      </c>
    </row>
    <row r="140" spans="1:37" x14ac:dyDescent="0.3">
      <c r="A140" s="2" t="s">
        <v>99</v>
      </c>
      <c r="B140" s="3"/>
      <c r="C140" s="3"/>
      <c r="D140" s="209" t="s">
        <v>571</v>
      </c>
      <c r="E140" s="3">
        <v>25</v>
      </c>
      <c r="F140" s="149" t="s">
        <v>416</v>
      </c>
      <c r="G140" s="96" t="str">
        <f>IFERROR(IF(VLOOKUP(TableHandbook[[#This Row],[UDC]],TableAvailabilities[],2,FALSE)&gt;0,"Y",""),"")</f>
        <v/>
      </c>
      <c r="H140" s="96" t="str">
        <f>IFERROR(IF(VLOOKUP(TableHandbook[[#This Row],[UDC]],TableAvailabilities[],3,FALSE)&gt;0,"Y",""),"")</f>
        <v/>
      </c>
      <c r="I140" s="96" t="str">
        <f>IFERROR(IF(VLOOKUP(TableHandbook[[#This Row],[UDC]],TableAvailabilities[],4,FALSE)&gt;0,"Y",""),"")</f>
        <v/>
      </c>
      <c r="J140" s="96" t="str">
        <f>IFERROR(IF(VLOOKUP(TableHandbook[[#This Row],[UDC]],TableAvailabilities[],5,FALSE)&gt;0,"Y",""),"")</f>
        <v/>
      </c>
      <c r="K140" s="209"/>
      <c r="L140" s="213" t="str">
        <f>IFERROR(VLOOKUP(TableHandbook[[#This Row],[UDC]],TableMCARTS[],7,FALSE),"")</f>
        <v/>
      </c>
      <c r="M140" s="211" t="str">
        <f>IFERROR(VLOOKUP(TableHandbook[[#This Row],[UDC]],TableMJRPCWRIT[],7,FALSE),"")</f>
        <v/>
      </c>
      <c r="N140" s="211" t="str">
        <f>IFERROR(VLOOKUP(TableHandbook[[#This Row],[UDC]],TableMJRPDGCMS[],7,FALSE),"")</f>
        <v/>
      </c>
      <c r="O140" s="211" t="str">
        <f>IFERROR(VLOOKUP(TableHandbook[[#This Row],[UDC]],TableMJRPFINAR[],7,FALSE),"")</f>
        <v>Option</v>
      </c>
      <c r="P140" s="211" t="str">
        <f>IFERROR(VLOOKUP(TableHandbook[[#This Row],[UDC]],TableMJRPPWRIT[],7,FALSE),"")</f>
        <v/>
      </c>
      <c r="Q140" s="211" t="str">
        <f>IFERROR(VLOOKUP(TableHandbook[[#This Row],[UDC]],TableMJRPSCRAR[],7,FALSE),"")</f>
        <v/>
      </c>
      <c r="R140" s="213" t="str">
        <f>IFERROR(VLOOKUP(TableHandbook[[#This Row],[UDC]],TableMCMMJRG[],7,FALSE),"")</f>
        <v/>
      </c>
      <c r="S140" s="211" t="str">
        <f>IFERROR(VLOOKUP(TableHandbook[[#This Row],[UDC]],TableMCMMJRN[],7,FALSE),"")</f>
        <v/>
      </c>
      <c r="T140" s="211" t="str">
        <f>IFERROR(VLOOKUP(TableHandbook[[#This Row],[UDC]],TableGDMMJRN[],7,FALSE),"")</f>
        <v/>
      </c>
      <c r="U140" s="211" t="str">
        <f>IFERROR(VLOOKUP(TableHandbook[[#This Row],[UDC]],TableGCMMJRN[],7,FALSE),"")</f>
        <v/>
      </c>
      <c r="V140" s="213" t="str">
        <f>IFERROR(VLOOKUP(TableHandbook[[#This Row],[UDC]],TableMCHRIGLO[],7,FALSE),"")</f>
        <v/>
      </c>
      <c r="W140" s="211" t="str">
        <f>IFERROR(VLOOKUP(TableHandbook[[#This Row],[UDC]],TableMCHRIGHT[],7,FALSE),"")</f>
        <v/>
      </c>
      <c r="X140" s="211" t="str">
        <f>IFERROR(VLOOKUP(TableHandbook[[#This Row],[UDC]],TableGDHRIGHT[],7,FALSE),"")</f>
        <v/>
      </c>
      <c r="Y140" s="211" t="str">
        <f>IFERROR(VLOOKUP(TableHandbook[[#This Row],[UDC]],TableGCHRIGHT[],7,FALSE),"")</f>
        <v/>
      </c>
      <c r="Z140" s="213" t="str">
        <f>IFERROR(VLOOKUP(TableHandbook[[#This Row],[UDC]],TableMCGLOBL2[],7,FALSE),"")</f>
        <v/>
      </c>
      <c r="AA140" s="211" t="str">
        <f>IFERROR(VLOOKUP(TableHandbook[[#This Row],[UDC]],TableMCGLOBL[],7,FALSE),"")</f>
        <v/>
      </c>
      <c r="AB140" s="211" t="str">
        <f>IFERROR(VLOOKUP(TableHandbook[[#This Row],[UDC]],TableSTRPGLOBL[],7,FALSE),"")</f>
        <v/>
      </c>
      <c r="AC140" s="211" t="str">
        <f>IFERROR(VLOOKUP(TableHandbook[[#This Row],[UDC]],TableSTRPHRIGT[],7,FALSE),"")</f>
        <v/>
      </c>
      <c r="AD140" s="211" t="str">
        <f>IFERROR(VLOOKUP(TableHandbook[[#This Row],[UDC]],TableSTRPINTRN[],7,FALSE),"")</f>
        <v/>
      </c>
      <c r="AE140" s="211" t="str">
        <f>IFERROR(VLOOKUP(TableHandbook[[#This Row],[UDC]],TableGCGLOBL[],7,FALSE),"")</f>
        <v/>
      </c>
      <c r="AF140" s="213" t="str">
        <f>IFERROR(VLOOKUP(TableHandbook[[#This Row],[UDC]],TableMCINTREL[],7,FALSE),"")</f>
        <v/>
      </c>
      <c r="AG140" s="211" t="str">
        <f>IFERROR(VLOOKUP(TableHandbook[[#This Row],[UDC]],TableMCINTSEC[],7,FALSE),"")</f>
        <v/>
      </c>
      <c r="AH140" s="211" t="str">
        <f>IFERROR(VLOOKUP(TableHandbook[[#This Row],[UDC]],TableGDINTSEC[],7,FALSE),"")</f>
        <v/>
      </c>
      <c r="AI140" s="211" t="str">
        <f>IFERROR(VLOOKUP(TableHandbook[[#This Row],[UDC]],TableGCINTSEC[],7,FALSE),"")</f>
        <v/>
      </c>
      <c r="AJ140" s="211" t="str">
        <f>IFERROR(VLOOKUP(TableHandbook[[#This Row],[UDC]],TableGCINTELL[],7,FALSE),"")</f>
        <v/>
      </c>
      <c r="AK140" s="211" t="str">
        <f>IFERROR(VLOOKUP(TableHandbook[[#This Row],[UDC]],TableGCIPCSEC[],7,FALSE),"")</f>
        <v/>
      </c>
    </row>
    <row r="141" spans="1:37" x14ac:dyDescent="0.3">
      <c r="A141" s="2" t="s">
        <v>572</v>
      </c>
      <c r="B141" s="3"/>
      <c r="C141" s="3"/>
      <c r="D141" s="209" t="s">
        <v>573</v>
      </c>
      <c r="E141" s="3">
        <v>25</v>
      </c>
      <c r="F141" s="149" t="s">
        <v>416</v>
      </c>
      <c r="G141" s="96" t="str">
        <f>IFERROR(IF(VLOOKUP(TableHandbook[[#This Row],[UDC]],TableAvailabilities[],2,FALSE)&gt;0,"Y",""),"")</f>
        <v/>
      </c>
      <c r="H141" s="96" t="str">
        <f>IFERROR(IF(VLOOKUP(TableHandbook[[#This Row],[UDC]],TableAvailabilities[],3,FALSE)&gt;0,"Y",""),"")</f>
        <v/>
      </c>
      <c r="I141" s="96" t="str">
        <f>IFERROR(IF(VLOOKUP(TableHandbook[[#This Row],[UDC]],TableAvailabilities[],4,FALSE)&gt;0,"Y",""),"")</f>
        <v/>
      </c>
      <c r="J141" s="96" t="str">
        <f>IFERROR(IF(VLOOKUP(TableHandbook[[#This Row],[UDC]],TableAvailabilities[],5,FALSE)&gt;0,"Y",""),"")</f>
        <v/>
      </c>
      <c r="K141" s="209"/>
      <c r="L141" s="213" t="str">
        <f>IFERROR(VLOOKUP(TableHandbook[[#This Row],[UDC]],TableMCARTS[],7,FALSE),"")</f>
        <v/>
      </c>
      <c r="M141" s="211" t="str">
        <f>IFERROR(VLOOKUP(TableHandbook[[#This Row],[UDC]],TableMJRPCWRIT[],7,FALSE),"")</f>
        <v/>
      </c>
      <c r="N141" s="211" t="str">
        <f>IFERROR(VLOOKUP(TableHandbook[[#This Row],[UDC]],TableMJRPDGCMS[],7,FALSE),"")</f>
        <v/>
      </c>
      <c r="O141" s="211" t="str">
        <f>IFERROR(VLOOKUP(TableHandbook[[#This Row],[UDC]],TableMJRPFINAR[],7,FALSE),"")</f>
        <v/>
      </c>
      <c r="P141" s="211" t="str">
        <f>IFERROR(VLOOKUP(TableHandbook[[#This Row],[UDC]],TableMJRPPWRIT[],7,FALSE),"")</f>
        <v/>
      </c>
      <c r="Q141" s="211" t="str">
        <f>IFERROR(VLOOKUP(TableHandbook[[#This Row],[UDC]],TableMJRPSCRAR[],7,FALSE),"")</f>
        <v/>
      </c>
      <c r="R141" s="213" t="str">
        <f>IFERROR(VLOOKUP(TableHandbook[[#This Row],[UDC]],TableMCMMJRG[],7,FALSE),"")</f>
        <v/>
      </c>
      <c r="S141" s="211" t="str">
        <f>IFERROR(VLOOKUP(TableHandbook[[#This Row],[UDC]],TableMCMMJRN[],7,FALSE),"")</f>
        <v/>
      </c>
      <c r="T141" s="211" t="str">
        <f>IFERROR(VLOOKUP(TableHandbook[[#This Row],[UDC]],TableGDMMJRN[],7,FALSE),"")</f>
        <v/>
      </c>
      <c r="U141" s="211" t="str">
        <f>IFERROR(VLOOKUP(TableHandbook[[#This Row],[UDC]],TableGCMMJRN[],7,FALSE),"")</f>
        <v/>
      </c>
      <c r="V141" s="213" t="str">
        <f>IFERROR(VLOOKUP(TableHandbook[[#This Row],[UDC]],TableMCHRIGLO[],7,FALSE),"")</f>
        <v/>
      </c>
      <c r="W141" s="211" t="str">
        <f>IFERROR(VLOOKUP(TableHandbook[[#This Row],[UDC]],TableMCHRIGHT[],7,FALSE),"")</f>
        <v/>
      </c>
      <c r="X141" s="211" t="str">
        <f>IFERROR(VLOOKUP(TableHandbook[[#This Row],[UDC]],TableGDHRIGHT[],7,FALSE),"")</f>
        <v/>
      </c>
      <c r="Y141" s="211" t="str">
        <f>IFERROR(VLOOKUP(TableHandbook[[#This Row],[UDC]],TableGCHRIGHT[],7,FALSE),"")</f>
        <v>Option</v>
      </c>
      <c r="Z141" s="213" t="str">
        <f>IFERROR(VLOOKUP(TableHandbook[[#This Row],[UDC]],TableMCGLOBL2[],7,FALSE),"")</f>
        <v/>
      </c>
      <c r="AA141" s="211" t="str">
        <f>IFERROR(VLOOKUP(TableHandbook[[#This Row],[UDC]],TableMCGLOBL[],7,FALSE),"")</f>
        <v/>
      </c>
      <c r="AB141" s="211" t="str">
        <f>IFERROR(VLOOKUP(TableHandbook[[#This Row],[UDC]],TableSTRPGLOBL[],7,FALSE),"")</f>
        <v/>
      </c>
      <c r="AC141" s="211" t="str">
        <f>IFERROR(VLOOKUP(TableHandbook[[#This Row],[UDC]],TableSTRPHRIGT[],7,FALSE),"")</f>
        <v/>
      </c>
      <c r="AD141" s="211" t="str">
        <f>IFERROR(VLOOKUP(TableHandbook[[#This Row],[UDC]],TableSTRPINTRN[],7,FALSE),"")</f>
        <v/>
      </c>
      <c r="AE141" s="211" t="str">
        <f>IFERROR(VLOOKUP(TableHandbook[[#This Row],[UDC]],TableGCGLOBL[],7,FALSE),"")</f>
        <v/>
      </c>
      <c r="AF141" s="213" t="str">
        <f>IFERROR(VLOOKUP(TableHandbook[[#This Row],[UDC]],TableMCINTREL[],7,FALSE),"")</f>
        <v/>
      </c>
      <c r="AG141" s="211" t="str">
        <f>IFERROR(VLOOKUP(TableHandbook[[#This Row],[UDC]],TableMCINTSEC[],7,FALSE),"")</f>
        <v/>
      </c>
      <c r="AH141" s="211" t="str">
        <f>IFERROR(VLOOKUP(TableHandbook[[#This Row],[UDC]],TableGDINTSEC[],7,FALSE),"")</f>
        <v/>
      </c>
      <c r="AI141" s="211" t="str">
        <f>IFERROR(VLOOKUP(TableHandbook[[#This Row],[UDC]],TableGCINTSEC[],7,FALSE),"")</f>
        <v/>
      </c>
      <c r="AJ141" s="211" t="str">
        <f>IFERROR(VLOOKUP(TableHandbook[[#This Row],[UDC]],TableGCINTELL[],7,FALSE),"")</f>
        <v/>
      </c>
      <c r="AK141" s="211" t="str">
        <f>IFERROR(VLOOKUP(TableHandbook[[#This Row],[UDC]],TableGCIPCSEC[],7,FALSE),"")</f>
        <v/>
      </c>
    </row>
    <row r="142" spans="1:37" x14ac:dyDescent="0.3">
      <c r="A142" s="2" t="s">
        <v>395</v>
      </c>
      <c r="B142" s="3">
        <v>0</v>
      </c>
      <c r="C142" s="3"/>
      <c r="D142" s="209" t="s">
        <v>574</v>
      </c>
      <c r="E142" s="3">
        <v>25</v>
      </c>
      <c r="F142" s="149" t="s">
        <v>416</v>
      </c>
      <c r="G142" s="96" t="str">
        <f>IFERROR(IF(VLOOKUP(TableHandbook[[#This Row],[UDC]],TableAvailabilities[],2,FALSE)&gt;0,"Y",""),"")</f>
        <v/>
      </c>
      <c r="H142" s="96" t="str">
        <f>IFERROR(IF(VLOOKUP(TableHandbook[[#This Row],[UDC]],TableAvailabilities[],3,FALSE)&gt;0,"Y",""),"")</f>
        <v/>
      </c>
      <c r="I142" s="96" t="str">
        <f>IFERROR(IF(VLOOKUP(TableHandbook[[#This Row],[UDC]],TableAvailabilities[],4,FALSE)&gt;0,"Y",""),"")</f>
        <v/>
      </c>
      <c r="J142" s="96" t="str">
        <f>IFERROR(IF(VLOOKUP(TableHandbook[[#This Row],[UDC]],TableAvailabilities[],5,FALSE)&gt;0,"Y",""),"")</f>
        <v/>
      </c>
      <c r="K142" s="209"/>
      <c r="L142" s="213" t="str">
        <f>IFERROR(VLOOKUP(TableHandbook[[#This Row],[UDC]],TableMCARTS[],7,FALSE),"")</f>
        <v/>
      </c>
      <c r="M142" s="211" t="str">
        <f>IFERROR(VLOOKUP(TableHandbook[[#This Row],[UDC]],TableMJRPCWRIT[],7,FALSE),"")</f>
        <v/>
      </c>
      <c r="N142" s="211" t="str">
        <f>IFERROR(VLOOKUP(TableHandbook[[#This Row],[UDC]],TableMJRPDGCMS[],7,FALSE),"")</f>
        <v/>
      </c>
      <c r="O142" s="211" t="str">
        <f>IFERROR(VLOOKUP(TableHandbook[[#This Row],[UDC]],TableMJRPFINAR[],7,FALSE),"")</f>
        <v/>
      </c>
      <c r="P142" s="211" t="str">
        <f>IFERROR(VLOOKUP(TableHandbook[[#This Row],[UDC]],TableMJRPPWRIT[],7,FALSE),"")</f>
        <v/>
      </c>
      <c r="Q142" s="211" t="str">
        <f>IFERROR(VLOOKUP(TableHandbook[[#This Row],[UDC]],TableMJRPSCRAR[],7,FALSE),"")</f>
        <v/>
      </c>
      <c r="R142" s="213" t="str">
        <f>IFERROR(VLOOKUP(TableHandbook[[#This Row],[UDC]],TableMCMMJRG[],7,FALSE),"")</f>
        <v/>
      </c>
      <c r="S142" s="211" t="str">
        <f>IFERROR(VLOOKUP(TableHandbook[[#This Row],[UDC]],TableMCMMJRN[],7,FALSE),"")</f>
        <v/>
      </c>
      <c r="T142" s="211" t="str">
        <f>IFERROR(VLOOKUP(TableHandbook[[#This Row],[UDC]],TableGDMMJRN[],7,FALSE),"")</f>
        <v/>
      </c>
      <c r="U142" s="211" t="str">
        <f>IFERROR(VLOOKUP(TableHandbook[[#This Row],[UDC]],TableGCMMJRN[],7,FALSE),"")</f>
        <v/>
      </c>
      <c r="V142" s="213" t="str">
        <f>IFERROR(VLOOKUP(TableHandbook[[#This Row],[UDC]],TableMCHRIGLO[],7,FALSE),"")</f>
        <v/>
      </c>
      <c r="W142" s="211" t="str">
        <f>IFERROR(VLOOKUP(TableHandbook[[#This Row],[UDC]],TableMCHRIGHT[],7,FALSE),"")</f>
        <v/>
      </c>
      <c r="X142" s="211" t="str">
        <f>IFERROR(VLOOKUP(TableHandbook[[#This Row],[UDC]],TableGDHRIGHT[],7,FALSE),"")</f>
        <v/>
      </c>
      <c r="Y142" s="211" t="str">
        <f>IFERROR(VLOOKUP(TableHandbook[[#This Row],[UDC]],TableGCHRIGHT[],7,FALSE),"")</f>
        <v/>
      </c>
      <c r="Z142" s="213" t="str">
        <f>IFERROR(VLOOKUP(TableHandbook[[#This Row],[UDC]],TableMCGLOBL2[],7,FALSE),"")</f>
        <v/>
      </c>
      <c r="AA142" s="211" t="str">
        <f>IFERROR(VLOOKUP(TableHandbook[[#This Row],[UDC]],TableMCGLOBL[],7,FALSE),"")</f>
        <v/>
      </c>
      <c r="AB142" s="211" t="str">
        <f>IFERROR(VLOOKUP(TableHandbook[[#This Row],[UDC]],TableSTRPGLOBL[],7,FALSE),"")</f>
        <v/>
      </c>
      <c r="AC142" s="211" t="str">
        <f>IFERROR(VLOOKUP(TableHandbook[[#This Row],[UDC]],TableSTRPHRIGT[],7,FALSE),"")</f>
        <v>Option</v>
      </c>
      <c r="AD142" s="211" t="str">
        <f>IFERROR(VLOOKUP(TableHandbook[[#This Row],[UDC]],TableSTRPINTRN[],7,FALSE),"")</f>
        <v/>
      </c>
      <c r="AE142" s="211" t="str">
        <f>IFERROR(VLOOKUP(TableHandbook[[#This Row],[UDC]],TableGCGLOBL[],7,FALSE),"")</f>
        <v/>
      </c>
      <c r="AF142" s="213" t="str">
        <f>IFERROR(VLOOKUP(TableHandbook[[#This Row],[UDC]],TableMCINTREL[],7,FALSE),"")</f>
        <v/>
      </c>
      <c r="AG142" s="211" t="str">
        <f>IFERROR(VLOOKUP(TableHandbook[[#This Row],[UDC]],TableMCINTSEC[],7,FALSE),"")</f>
        <v/>
      </c>
      <c r="AH142" s="211" t="str">
        <f>IFERROR(VLOOKUP(TableHandbook[[#This Row],[UDC]],TableGDINTSEC[],7,FALSE),"")</f>
        <v/>
      </c>
      <c r="AI142" s="211" t="str">
        <f>IFERROR(VLOOKUP(TableHandbook[[#This Row],[UDC]],TableGCINTSEC[],7,FALSE),"")</f>
        <v/>
      </c>
      <c r="AJ142" s="211" t="str">
        <f>IFERROR(VLOOKUP(TableHandbook[[#This Row],[UDC]],TableGCINTELL[],7,FALSE),"")</f>
        <v/>
      </c>
      <c r="AK142" s="211" t="str">
        <f>IFERROR(VLOOKUP(TableHandbook[[#This Row],[UDC]],TableGCIPCSEC[],7,FALSE),"")</f>
        <v/>
      </c>
    </row>
    <row r="143" spans="1:37" x14ac:dyDescent="0.3">
      <c r="A143" s="231" t="s">
        <v>355</v>
      </c>
      <c r="B143" s="3"/>
      <c r="C143" s="3"/>
      <c r="D143" s="209" t="s">
        <v>573</v>
      </c>
      <c r="E143" s="3">
        <v>25</v>
      </c>
      <c r="F143" s="149" t="s">
        <v>416</v>
      </c>
      <c r="G143" s="96" t="str">
        <f>IFERROR(IF(VLOOKUP(TableHandbook[[#This Row],[UDC]],TableAvailabilities[],2,FALSE)&gt;0,"Y",""),"")</f>
        <v/>
      </c>
      <c r="H143" s="96" t="str">
        <f>IFERROR(IF(VLOOKUP(TableHandbook[[#This Row],[UDC]],TableAvailabilities[],3,FALSE)&gt;0,"Y",""),"")</f>
        <v/>
      </c>
      <c r="I143" s="96" t="str">
        <f>IFERROR(IF(VLOOKUP(TableHandbook[[#This Row],[UDC]],TableAvailabilities[],4,FALSE)&gt;0,"Y",""),"")</f>
        <v/>
      </c>
      <c r="J143" s="96" t="str">
        <f>IFERROR(IF(VLOOKUP(TableHandbook[[#This Row],[UDC]],TableAvailabilities[],5,FALSE)&gt;0,"Y",""),"")</f>
        <v/>
      </c>
      <c r="K143" s="209"/>
      <c r="L143" s="213" t="str">
        <f>IFERROR(VLOOKUP(TableHandbook[[#This Row],[UDC]],TableMCARTS[],7,FALSE),"")</f>
        <v/>
      </c>
      <c r="M143" s="211" t="str">
        <f>IFERROR(VLOOKUP(TableHandbook[[#This Row],[UDC]],TableMJRPCWRIT[],7,FALSE),"")</f>
        <v/>
      </c>
      <c r="N143" s="211" t="str">
        <f>IFERROR(VLOOKUP(TableHandbook[[#This Row],[UDC]],TableMJRPDGCMS[],7,FALSE),"")</f>
        <v/>
      </c>
      <c r="O143" s="211" t="str">
        <f>IFERROR(VLOOKUP(TableHandbook[[#This Row],[UDC]],TableMJRPFINAR[],7,FALSE),"")</f>
        <v/>
      </c>
      <c r="P143" s="211" t="str">
        <f>IFERROR(VLOOKUP(TableHandbook[[#This Row],[UDC]],TableMJRPPWRIT[],7,FALSE),"")</f>
        <v/>
      </c>
      <c r="Q143" s="211" t="str">
        <f>IFERROR(VLOOKUP(TableHandbook[[#This Row],[UDC]],TableMJRPSCRAR[],7,FALSE),"")</f>
        <v/>
      </c>
      <c r="R143" s="213" t="str">
        <f>IFERROR(VLOOKUP(TableHandbook[[#This Row],[UDC]],TableMCMMJRG[],7,FALSE),"")</f>
        <v/>
      </c>
      <c r="S143" s="211" t="str">
        <f>IFERROR(VLOOKUP(TableHandbook[[#This Row],[UDC]],TableMCMMJRN[],7,FALSE),"")</f>
        <v/>
      </c>
      <c r="T143" s="211" t="str">
        <f>IFERROR(VLOOKUP(TableHandbook[[#This Row],[UDC]],TableGDMMJRN[],7,FALSE),"")</f>
        <v/>
      </c>
      <c r="U143" s="211" t="str">
        <f>IFERROR(VLOOKUP(TableHandbook[[#This Row],[UDC]],TableGCMMJRN[],7,FALSE),"")</f>
        <v/>
      </c>
      <c r="V143" s="213" t="str">
        <f>IFERROR(VLOOKUP(TableHandbook[[#This Row],[UDC]],TableMCHRIGLO[],7,FALSE),"")</f>
        <v/>
      </c>
      <c r="W143" s="211" t="str">
        <f>IFERROR(VLOOKUP(TableHandbook[[#This Row],[UDC]],TableMCHRIGHT[],7,FALSE),"")</f>
        <v/>
      </c>
      <c r="X143" s="211" t="str">
        <f>IFERROR(VLOOKUP(TableHandbook[[#This Row],[UDC]],TableGDHRIGHT[],7,FALSE),"")</f>
        <v/>
      </c>
      <c r="Y143" s="211" t="str">
        <f>IFERROR(VLOOKUP(TableHandbook[[#This Row],[UDC]],TableGCHRIGHT[],7,FALSE),"")</f>
        <v/>
      </c>
      <c r="Z143" s="213" t="str">
        <f>IFERROR(VLOOKUP(TableHandbook[[#This Row],[UDC]],TableMCGLOBL2[],7,FALSE),"")</f>
        <v/>
      </c>
      <c r="AA143" s="211" t="str">
        <f>IFERROR(VLOOKUP(TableHandbook[[#This Row],[UDC]],TableMCGLOBL[],7,FALSE),"")</f>
        <v/>
      </c>
      <c r="AB143" s="211" t="str">
        <f>IFERROR(VLOOKUP(TableHandbook[[#This Row],[UDC]],TableSTRPGLOBL[],7,FALSE),"")</f>
        <v/>
      </c>
      <c r="AC143" s="211" t="str">
        <f>IFERROR(VLOOKUP(TableHandbook[[#This Row],[UDC]],TableSTRPHRIGT[],7,FALSE),"")</f>
        <v/>
      </c>
      <c r="AD143" s="211" t="str">
        <f>IFERROR(VLOOKUP(TableHandbook[[#This Row],[UDC]],TableSTRPINTRN[],7,FALSE),"")</f>
        <v/>
      </c>
      <c r="AE143" s="211" t="str">
        <f>IFERROR(VLOOKUP(TableHandbook[[#This Row],[UDC]],TableGCGLOBL[],7,FALSE),"")</f>
        <v/>
      </c>
      <c r="AF143" s="213" t="str">
        <f>IFERROR(VLOOKUP(TableHandbook[[#This Row],[UDC]],TableMCINTREL[],7,FALSE),"")</f>
        <v>Option</v>
      </c>
      <c r="AG143" s="211" t="str">
        <f>IFERROR(VLOOKUP(TableHandbook[[#This Row],[UDC]],TableMCINTSEC[],7,FALSE),"")</f>
        <v/>
      </c>
      <c r="AH143" s="211" t="str">
        <f>IFERROR(VLOOKUP(TableHandbook[[#This Row],[UDC]],TableGDINTSEC[],7,FALSE),"")</f>
        <v/>
      </c>
      <c r="AI143" s="211" t="str">
        <f>IFERROR(VLOOKUP(TableHandbook[[#This Row],[UDC]],TableGCINTSEC[],7,FALSE),"")</f>
        <v/>
      </c>
      <c r="AJ143" s="211" t="str">
        <f>IFERROR(VLOOKUP(TableHandbook[[#This Row],[UDC]],TableGCINTELL[],7,FALSE),"")</f>
        <v/>
      </c>
      <c r="AK143" s="211" t="str">
        <f>IFERROR(VLOOKUP(TableHandbook[[#This Row],[UDC]],TableGCIPCSEC[],7,FALSE),"")</f>
        <v/>
      </c>
    </row>
    <row r="144" spans="1:37" x14ac:dyDescent="0.3">
      <c r="A144" s="231" t="s">
        <v>374</v>
      </c>
      <c r="B144" s="3"/>
      <c r="C144" s="3"/>
      <c r="D144" s="209" t="s">
        <v>575</v>
      </c>
      <c r="E144" s="3"/>
      <c r="F144" s="149"/>
      <c r="G144" s="96" t="str">
        <f>IFERROR(IF(VLOOKUP(TableHandbook[[#This Row],[UDC]],TableAvailabilities[],2,FALSE)&gt;0,"Y",""),"")</f>
        <v/>
      </c>
      <c r="H144" s="96" t="str">
        <f>IFERROR(IF(VLOOKUP(TableHandbook[[#This Row],[UDC]],TableAvailabilities[],3,FALSE)&gt;0,"Y",""),"")</f>
        <v/>
      </c>
      <c r="I144" s="96" t="str">
        <f>IFERROR(IF(VLOOKUP(TableHandbook[[#This Row],[UDC]],TableAvailabilities[],4,FALSE)&gt;0,"Y",""),"")</f>
        <v/>
      </c>
      <c r="J144" s="96" t="str">
        <f>IFERROR(IF(VLOOKUP(TableHandbook[[#This Row],[UDC]],TableAvailabilities[],5,FALSE)&gt;0,"Y",""),"")</f>
        <v/>
      </c>
      <c r="K144" s="209"/>
      <c r="L144" s="213" t="str">
        <f>IFERROR(VLOOKUP(TableHandbook[[#This Row],[UDC]],TableMCARTS[],7,FALSE),"")</f>
        <v/>
      </c>
      <c r="M144" s="211" t="str">
        <f>IFERROR(VLOOKUP(TableHandbook[[#This Row],[UDC]],TableMJRPCWRIT[],7,FALSE),"")</f>
        <v/>
      </c>
      <c r="N144" s="211" t="str">
        <f>IFERROR(VLOOKUP(TableHandbook[[#This Row],[UDC]],TableMJRPDGCMS[],7,FALSE),"")</f>
        <v/>
      </c>
      <c r="O144" s="211" t="str">
        <f>IFERROR(VLOOKUP(TableHandbook[[#This Row],[UDC]],TableMJRPFINAR[],7,FALSE),"")</f>
        <v/>
      </c>
      <c r="P144" s="211" t="str">
        <f>IFERROR(VLOOKUP(TableHandbook[[#This Row],[UDC]],TableMJRPPWRIT[],7,FALSE),"")</f>
        <v/>
      </c>
      <c r="Q144" s="211" t="str">
        <f>IFERROR(VLOOKUP(TableHandbook[[#This Row],[UDC]],TableMJRPSCRAR[],7,FALSE),"")</f>
        <v/>
      </c>
      <c r="R144" s="213" t="str">
        <f>IFERROR(VLOOKUP(TableHandbook[[#This Row],[UDC]],TableMCMMJRG[],7,FALSE),"")</f>
        <v/>
      </c>
      <c r="S144" s="211" t="str">
        <f>IFERROR(VLOOKUP(TableHandbook[[#This Row],[UDC]],TableMCMMJRN[],7,FALSE),"")</f>
        <v/>
      </c>
      <c r="T144" s="211" t="str">
        <f>IFERROR(VLOOKUP(TableHandbook[[#This Row],[UDC]],TableGDMMJRN[],7,FALSE),"")</f>
        <v/>
      </c>
      <c r="U144" s="211" t="str">
        <f>IFERROR(VLOOKUP(TableHandbook[[#This Row],[UDC]],TableGCMMJRN[],7,FALSE),"")</f>
        <v/>
      </c>
      <c r="V144" s="213" t="str">
        <f>IFERROR(VLOOKUP(TableHandbook[[#This Row],[UDC]],TableMCHRIGLO[],7,FALSE),"")</f>
        <v/>
      </c>
      <c r="W144" s="211" t="str">
        <f>IFERROR(VLOOKUP(TableHandbook[[#This Row],[UDC]],TableMCHRIGHT[],7,FALSE),"")</f>
        <v/>
      </c>
      <c r="X144" s="211" t="str">
        <f>IFERROR(VLOOKUP(TableHandbook[[#This Row],[UDC]],TableGDHRIGHT[],7,FALSE),"")</f>
        <v/>
      </c>
      <c r="Y144" s="211" t="str">
        <f>IFERROR(VLOOKUP(TableHandbook[[#This Row],[UDC]],TableGCHRIGHT[],7,FALSE),"")</f>
        <v/>
      </c>
      <c r="Z144" s="213" t="str">
        <f>IFERROR(VLOOKUP(TableHandbook[[#This Row],[UDC]],TableMCGLOBL2[],7,FALSE),"")</f>
        <v/>
      </c>
      <c r="AA144" s="211" t="str">
        <f>IFERROR(VLOOKUP(TableHandbook[[#This Row],[UDC]],TableMCGLOBL[],7,FALSE),"")</f>
        <v/>
      </c>
      <c r="AB144" s="211" t="str">
        <f>IFERROR(VLOOKUP(TableHandbook[[#This Row],[UDC]],TableSTRPGLOBL[],7,FALSE),"")</f>
        <v/>
      </c>
      <c r="AC144" s="211" t="str">
        <f>IFERROR(VLOOKUP(TableHandbook[[#This Row],[UDC]],TableSTRPHRIGT[],7,FALSE),"")</f>
        <v/>
      </c>
      <c r="AD144" s="211" t="str">
        <f>IFERROR(VLOOKUP(TableHandbook[[#This Row],[UDC]],TableSTRPINTRN[],7,FALSE),"")</f>
        <v/>
      </c>
      <c r="AE144" s="211" t="str">
        <f>IFERROR(VLOOKUP(TableHandbook[[#This Row],[UDC]],TableGCGLOBL[],7,FALSE),"")</f>
        <v/>
      </c>
      <c r="AF144" s="213" t="str">
        <f>IFERROR(VLOOKUP(TableHandbook[[#This Row],[UDC]],TableMCINTREL[],7,FALSE),"")</f>
        <v/>
      </c>
      <c r="AG144" s="211" t="str">
        <f>IFERROR(VLOOKUP(TableHandbook[[#This Row],[UDC]],TableMCINTSEC[],7,FALSE),"")</f>
        <v/>
      </c>
      <c r="AH144" s="211" t="str">
        <f>IFERROR(VLOOKUP(TableHandbook[[#This Row],[UDC]],TableGDINTSEC[],7,FALSE),"")</f>
        <v/>
      </c>
      <c r="AI144" s="211" t="str">
        <f>IFERROR(VLOOKUP(TableHandbook[[#This Row],[UDC]],TableGCINTSEC[],7,FALSE),"")</f>
        <v/>
      </c>
      <c r="AJ144" s="211" t="str">
        <f>IFERROR(VLOOKUP(TableHandbook[[#This Row],[UDC]],TableGCINTELL[],7,FALSE),"")</f>
        <v/>
      </c>
      <c r="AK144" s="211" t="str">
        <f>IFERROR(VLOOKUP(TableHandbook[[#This Row],[UDC]],TableGCIPCSEC[],7,FALSE),"")</f>
        <v/>
      </c>
    </row>
    <row r="145" spans="1:37" x14ac:dyDescent="0.3">
      <c r="A145" s="2" t="s">
        <v>576</v>
      </c>
      <c r="B145" s="3"/>
      <c r="C145" s="3"/>
      <c r="D145" s="209" t="s">
        <v>577</v>
      </c>
      <c r="E145" s="3">
        <v>25</v>
      </c>
      <c r="F145" s="149" t="s">
        <v>416</v>
      </c>
      <c r="G145" s="96" t="str">
        <f>IFERROR(IF(VLOOKUP(TableHandbook[[#This Row],[UDC]],TableAvailabilities[],2,FALSE)&gt;0,"Y",""),"")</f>
        <v/>
      </c>
      <c r="H145" s="96" t="str">
        <f>IFERROR(IF(VLOOKUP(TableHandbook[[#This Row],[UDC]],TableAvailabilities[],3,FALSE)&gt;0,"Y",""),"")</f>
        <v/>
      </c>
      <c r="I145" s="96" t="str">
        <f>IFERROR(IF(VLOOKUP(TableHandbook[[#This Row],[UDC]],TableAvailabilities[],4,FALSE)&gt;0,"Y",""),"")</f>
        <v/>
      </c>
      <c r="J145" s="96" t="str">
        <f>IFERROR(IF(VLOOKUP(TableHandbook[[#This Row],[UDC]],TableAvailabilities[],5,FALSE)&gt;0,"Y",""),"")</f>
        <v/>
      </c>
      <c r="K145" s="209"/>
      <c r="L145" s="213" t="str">
        <f>IFERROR(VLOOKUP(TableHandbook[[#This Row],[UDC]],TableMCARTS[],7,FALSE),"")</f>
        <v/>
      </c>
      <c r="M145" s="211" t="str">
        <f>IFERROR(VLOOKUP(TableHandbook[[#This Row],[UDC]],TableMJRPCWRIT[],7,FALSE),"")</f>
        <v/>
      </c>
      <c r="N145" s="211" t="str">
        <f>IFERROR(VLOOKUP(TableHandbook[[#This Row],[UDC]],TableMJRPDGCMS[],7,FALSE),"")</f>
        <v/>
      </c>
      <c r="O145" s="211" t="str">
        <f>IFERROR(VLOOKUP(TableHandbook[[#This Row],[UDC]],TableMJRPFINAR[],7,FALSE),"")</f>
        <v/>
      </c>
      <c r="P145" s="211" t="str">
        <f>IFERROR(VLOOKUP(TableHandbook[[#This Row],[UDC]],TableMJRPPWRIT[],7,FALSE),"")</f>
        <v/>
      </c>
      <c r="Q145" s="211" t="str">
        <f>IFERROR(VLOOKUP(TableHandbook[[#This Row],[UDC]],TableMJRPSCRAR[],7,FALSE),"")</f>
        <v/>
      </c>
      <c r="R145" s="213" t="str">
        <f>IFERROR(VLOOKUP(TableHandbook[[#This Row],[UDC]],TableMCMMJRG[],7,FALSE),"")</f>
        <v/>
      </c>
      <c r="S145" s="211" t="str">
        <f>IFERROR(VLOOKUP(TableHandbook[[#This Row],[UDC]],TableMCMMJRN[],7,FALSE),"")</f>
        <v/>
      </c>
      <c r="T145" s="211" t="str">
        <f>IFERROR(VLOOKUP(TableHandbook[[#This Row],[UDC]],TableGDMMJRN[],7,FALSE),"")</f>
        <v/>
      </c>
      <c r="U145" s="211" t="str">
        <f>IFERROR(VLOOKUP(TableHandbook[[#This Row],[UDC]],TableGCMMJRN[],7,FALSE),"")</f>
        <v/>
      </c>
      <c r="V145" s="213" t="str">
        <f>IFERROR(VLOOKUP(TableHandbook[[#This Row],[UDC]],TableMCHRIGLO[],7,FALSE),"")</f>
        <v/>
      </c>
      <c r="W145" s="211" t="str">
        <f>IFERROR(VLOOKUP(TableHandbook[[#This Row],[UDC]],TableMCHRIGHT[],7,FALSE),"")</f>
        <v/>
      </c>
      <c r="X145" s="211" t="str">
        <f>IFERROR(VLOOKUP(TableHandbook[[#This Row],[UDC]],TableGDHRIGHT[],7,FALSE),"")</f>
        <v/>
      </c>
      <c r="Y145" s="211" t="str">
        <f>IFERROR(VLOOKUP(TableHandbook[[#This Row],[UDC]],TableGCHRIGHT[],7,FALSE),"")</f>
        <v/>
      </c>
      <c r="Z145" s="213" t="str">
        <f>IFERROR(VLOOKUP(TableHandbook[[#This Row],[UDC]],TableMCGLOBL2[],7,FALSE),"")</f>
        <v/>
      </c>
      <c r="AA145" s="211" t="str">
        <f>IFERROR(VLOOKUP(TableHandbook[[#This Row],[UDC]],TableMCGLOBL[],7,FALSE),"")</f>
        <v/>
      </c>
      <c r="AB145" s="211" t="str">
        <f>IFERROR(VLOOKUP(TableHandbook[[#This Row],[UDC]],TableSTRPGLOBL[],7,FALSE),"")</f>
        <v/>
      </c>
      <c r="AC145" s="211" t="str">
        <f>IFERROR(VLOOKUP(TableHandbook[[#This Row],[UDC]],TableSTRPHRIGT[],7,FALSE),"")</f>
        <v/>
      </c>
      <c r="AD145" s="211" t="str">
        <f>IFERROR(VLOOKUP(TableHandbook[[#This Row],[UDC]],TableSTRPINTRN[],7,FALSE),"")</f>
        <v/>
      </c>
      <c r="AE145" s="211" t="str">
        <f>IFERROR(VLOOKUP(TableHandbook[[#This Row],[UDC]],TableGCGLOBL[],7,FALSE),"")</f>
        <v/>
      </c>
      <c r="AF145" s="213" t="str">
        <f>IFERROR(VLOOKUP(TableHandbook[[#This Row],[UDC]],TableMCINTREL[],7,FALSE),"")</f>
        <v/>
      </c>
      <c r="AG145" s="211" t="str">
        <f>IFERROR(VLOOKUP(TableHandbook[[#This Row],[UDC]],TableMCINTSEC[],7,FALSE),"")</f>
        <v/>
      </c>
      <c r="AH145" s="211" t="str">
        <f>IFERROR(VLOOKUP(TableHandbook[[#This Row],[UDC]],TableGDINTSEC[],7,FALSE),"")</f>
        <v/>
      </c>
      <c r="AI145" s="211" t="str">
        <f>IFERROR(VLOOKUP(TableHandbook[[#This Row],[UDC]],TableGCINTSEC[],7,FALSE),"")</f>
        <v/>
      </c>
      <c r="AJ145" s="211" t="str">
        <f>IFERROR(VLOOKUP(TableHandbook[[#This Row],[UDC]],TableGCINTELL[],7,FALSE),"")</f>
        <v/>
      </c>
      <c r="AK145" s="211" t="str">
        <f>IFERROR(VLOOKUP(TableHandbook[[#This Row],[UDC]],TableGCIPCSEC[],7,FALSE),"")</f>
        <v/>
      </c>
    </row>
    <row r="146" spans="1:37" x14ac:dyDescent="0.3">
      <c r="A146" s="2" t="s">
        <v>578</v>
      </c>
      <c r="B146" s="3"/>
      <c r="C146" s="3"/>
      <c r="D146" s="209" t="s">
        <v>579</v>
      </c>
      <c r="E146" s="3"/>
      <c r="F146" s="149"/>
      <c r="G146" s="96" t="str">
        <f>IFERROR(IF(VLOOKUP(TableHandbook[[#This Row],[UDC]],TableAvailabilities[],2,FALSE)&gt;0,"Y",""),"")</f>
        <v/>
      </c>
      <c r="H146" s="96" t="str">
        <f>IFERROR(IF(VLOOKUP(TableHandbook[[#This Row],[UDC]],TableAvailabilities[],3,FALSE)&gt;0,"Y",""),"")</f>
        <v/>
      </c>
      <c r="I146" s="96" t="str">
        <f>IFERROR(IF(VLOOKUP(TableHandbook[[#This Row],[UDC]],TableAvailabilities[],4,FALSE)&gt;0,"Y",""),"")</f>
        <v/>
      </c>
      <c r="J146" s="96" t="str">
        <f>IFERROR(IF(VLOOKUP(TableHandbook[[#This Row],[UDC]],TableAvailabilities[],5,FALSE)&gt;0,"Y",""),"")</f>
        <v/>
      </c>
      <c r="K146" s="209" t="s">
        <v>568</v>
      </c>
      <c r="L146" s="213" t="str">
        <f>IFERROR(VLOOKUP(TableHandbook[[#This Row],[UDC]],TableMCARTS[],7,FALSE),"")</f>
        <v/>
      </c>
      <c r="M146" s="211" t="str">
        <f>IFERROR(VLOOKUP(TableHandbook[[#This Row],[UDC]],TableMJRPCWRIT[],7,FALSE),"")</f>
        <v/>
      </c>
      <c r="N146" s="211" t="str">
        <f>IFERROR(VLOOKUP(TableHandbook[[#This Row],[UDC]],TableMJRPDGCMS[],7,FALSE),"")</f>
        <v/>
      </c>
      <c r="O146" s="211" t="str">
        <f>IFERROR(VLOOKUP(TableHandbook[[#This Row],[UDC]],TableMJRPFINAR[],7,FALSE),"")</f>
        <v/>
      </c>
      <c r="P146" s="211" t="str">
        <f>IFERROR(VLOOKUP(TableHandbook[[#This Row],[UDC]],TableMJRPPWRIT[],7,FALSE),"")</f>
        <v/>
      </c>
      <c r="Q146" s="211" t="str">
        <f>IFERROR(VLOOKUP(TableHandbook[[#This Row],[UDC]],TableMJRPSCRAR[],7,FALSE),"")</f>
        <v/>
      </c>
      <c r="R146" s="213" t="str">
        <f>IFERROR(VLOOKUP(TableHandbook[[#This Row],[UDC]],TableMCMMJRG[],7,FALSE),"")</f>
        <v/>
      </c>
      <c r="S146" s="211" t="str">
        <f>IFERROR(VLOOKUP(TableHandbook[[#This Row],[UDC]],TableMCMMJRN[],7,FALSE),"")</f>
        <v/>
      </c>
      <c r="T146" s="211" t="str">
        <f>IFERROR(VLOOKUP(TableHandbook[[#This Row],[UDC]],TableGDMMJRN[],7,FALSE),"")</f>
        <v/>
      </c>
      <c r="U146" s="211" t="str">
        <f>IFERROR(VLOOKUP(TableHandbook[[#This Row],[UDC]],TableGCMMJRN[],7,FALSE),"")</f>
        <v/>
      </c>
      <c r="V146" s="213" t="str">
        <f>IFERROR(VLOOKUP(TableHandbook[[#This Row],[UDC]],TableMCHRIGLO[],7,FALSE),"")</f>
        <v/>
      </c>
      <c r="W146" s="211" t="str">
        <f>IFERROR(VLOOKUP(TableHandbook[[#This Row],[UDC]],TableMCHRIGHT[],7,FALSE),"")</f>
        <v/>
      </c>
      <c r="X146" s="211" t="str">
        <f>IFERROR(VLOOKUP(TableHandbook[[#This Row],[UDC]],TableGDHRIGHT[],7,FALSE),"")</f>
        <v/>
      </c>
      <c r="Y146" s="211" t="str">
        <f>IFERROR(VLOOKUP(TableHandbook[[#This Row],[UDC]],TableGCHRIGHT[],7,FALSE),"")</f>
        <v/>
      </c>
      <c r="Z146" s="213" t="str">
        <f>IFERROR(VLOOKUP(TableHandbook[[#This Row],[UDC]],TableMCGLOBL2[],7,FALSE),"")</f>
        <v/>
      </c>
      <c r="AA146" s="211" t="str">
        <f>IFERROR(VLOOKUP(TableHandbook[[#This Row],[UDC]],TableMCGLOBL[],7,FALSE),"")</f>
        <v/>
      </c>
      <c r="AB146" s="211" t="str">
        <f>IFERROR(VLOOKUP(TableHandbook[[#This Row],[UDC]],TableSTRPGLOBL[],7,FALSE),"")</f>
        <v/>
      </c>
      <c r="AC146" s="211" t="str">
        <f>IFERROR(VLOOKUP(TableHandbook[[#This Row],[UDC]],TableSTRPHRIGT[],7,FALSE),"")</f>
        <v/>
      </c>
      <c r="AD146" s="211" t="str">
        <f>IFERROR(VLOOKUP(TableHandbook[[#This Row],[UDC]],TableSTRPINTRN[],7,FALSE),"")</f>
        <v/>
      </c>
      <c r="AE146" s="211" t="str">
        <f>IFERROR(VLOOKUP(TableHandbook[[#This Row],[UDC]],TableGCGLOBL[],7,FALSE),"")</f>
        <v/>
      </c>
      <c r="AF146" s="213" t="str">
        <f>IFERROR(VLOOKUP(TableHandbook[[#This Row],[UDC]],TableMCINTREL[],7,FALSE),"")</f>
        <v/>
      </c>
      <c r="AG146" s="211" t="str">
        <f>IFERROR(VLOOKUP(TableHandbook[[#This Row],[UDC]],TableMCINTSEC[],7,FALSE),"")</f>
        <v/>
      </c>
      <c r="AH146" s="211" t="str">
        <f>IFERROR(VLOOKUP(TableHandbook[[#This Row],[UDC]],TableGDINTSEC[],7,FALSE),"")</f>
        <v/>
      </c>
      <c r="AI146" s="211" t="str">
        <f>IFERROR(VLOOKUP(TableHandbook[[#This Row],[UDC]],TableGCINTSEC[],7,FALSE),"")</f>
        <v/>
      </c>
      <c r="AJ146" s="211" t="str">
        <f>IFERROR(VLOOKUP(TableHandbook[[#This Row],[UDC]],TableGCINTELL[],7,FALSE),"")</f>
        <v/>
      </c>
      <c r="AK146" s="211" t="str">
        <f>IFERROR(VLOOKUP(TableHandbook[[#This Row],[UDC]],TableGCIPCSEC[],7,FALSE),"")</f>
        <v/>
      </c>
    </row>
    <row r="147" spans="1:37" x14ac:dyDescent="0.3">
      <c r="A147" s="2" t="s">
        <v>392</v>
      </c>
      <c r="B147" s="3">
        <v>0</v>
      </c>
      <c r="C147" s="3"/>
      <c r="D147" s="209" t="s">
        <v>580</v>
      </c>
      <c r="E147" s="3">
        <v>25</v>
      </c>
      <c r="F147" s="149" t="s">
        <v>416</v>
      </c>
      <c r="G147" s="96" t="str">
        <f>IFERROR(IF(VLOOKUP(TableHandbook[[#This Row],[UDC]],TableAvailabilities[],2,FALSE)&gt;0,"Y",""),"")</f>
        <v/>
      </c>
      <c r="H147" s="96" t="str">
        <f>IFERROR(IF(VLOOKUP(TableHandbook[[#This Row],[UDC]],TableAvailabilities[],3,FALSE)&gt;0,"Y",""),"")</f>
        <v/>
      </c>
      <c r="I147" s="96" t="str">
        <f>IFERROR(IF(VLOOKUP(TableHandbook[[#This Row],[UDC]],TableAvailabilities[],4,FALSE)&gt;0,"Y",""),"")</f>
        <v/>
      </c>
      <c r="J147" s="96" t="str">
        <f>IFERROR(IF(VLOOKUP(TableHandbook[[#This Row],[UDC]],TableAvailabilities[],5,FALSE)&gt;0,"Y",""),"")</f>
        <v/>
      </c>
      <c r="K147" s="209"/>
      <c r="L147" s="213" t="str">
        <f>IFERROR(VLOOKUP(TableHandbook[[#This Row],[UDC]],TableMCARTS[],7,FALSE),"")</f>
        <v/>
      </c>
      <c r="M147" s="211" t="str">
        <f>IFERROR(VLOOKUP(TableHandbook[[#This Row],[UDC]],TableMJRPCWRIT[],7,FALSE),"")</f>
        <v/>
      </c>
      <c r="N147" s="211" t="str">
        <f>IFERROR(VLOOKUP(TableHandbook[[#This Row],[UDC]],TableMJRPDGCMS[],7,FALSE),"")</f>
        <v/>
      </c>
      <c r="O147" s="211" t="str">
        <f>IFERROR(VLOOKUP(TableHandbook[[#This Row],[UDC]],TableMJRPFINAR[],7,FALSE),"")</f>
        <v/>
      </c>
      <c r="P147" s="211" t="str">
        <f>IFERROR(VLOOKUP(TableHandbook[[#This Row],[UDC]],TableMJRPPWRIT[],7,FALSE),"")</f>
        <v/>
      </c>
      <c r="Q147" s="211" t="str">
        <f>IFERROR(VLOOKUP(TableHandbook[[#This Row],[UDC]],TableMJRPSCRAR[],7,FALSE),"")</f>
        <v/>
      </c>
      <c r="R147" s="213" t="str">
        <f>IFERROR(VLOOKUP(TableHandbook[[#This Row],[UDC]],TableMCMMJRG[],7,FALSE),"")</f>
        <v/>
      </c>
      <c r="S147" s="211" t="str">
        <f>IFERROR(VLOOKUP(TableHandbook[[#This Row],[UDC]],TableMCMMJRN[],7,FALSE),"")</f>
        <v/>
      </c>
      <c r="T147" s="211" t="str">
        <f>IFERROR(VLOOKUP(TableHandbook[[#This Row],[UDC]],TableGDMMJRN[],7,FALSE),"")</f>
        <v/>
      </c>
      <c r="U147" s="211" t="str">
        <f>IFERROR(VLOOKUP(TableHandbook[[#This Row],[UDC]],TableGCMMJRN[],7,FALSE),"")</f>
        <v/>
      </c>
      <c r="V147" s="213" t="str">
        <f>IFERROR(VLOOKUP(TableHandbook[[#This Row],[UDC]],TableMCHRIGLO[],7,FALSE),"")</f>
        <v/>
      </c>
      <c r="W147" s="211" t="str">
        <f>IFERROR(VLOOKUP(TableHandbook[[#This Row],[UDC]],TableMCHRIGHT[],7,FALSE),"")</f>
        <v/>
      </c>
      <c r="X147" s="211" t="str">
        <f>IFERROR(VLOOKUP(TableHandbook[[#This Row],[UDC]],TableGDHRIGHT[],7,FALSE),"")</f>
        <v/>
      </c>
      <c r="Y147" s="211" t="str">
        <f>IFERROR(VLOOKUP(TableHandbook[[#This Row],[UDC]],TableGCHRIGHT[],7,FALSE),"")</f>
        <v/>
      </c>
      <c r="Z147" s="213" t="str">
        <f>IFERROR(VLOOKUP(TableHandbook[[#This Row],[UDC]],TableMCGLOBL2[],7,FALSE),"")</f>
        <v/>
      </c>
      <c r="AA147" s="211" t="str">
        <f>IFERROR(VLOOKUP(TableHandbook[[#This Row],[UDC]],TableMCGLOBL[],7,FALSE),"")</f>
        <v/>
      </c>
      <c r="AB147" s="211" t="str">
        <f>IFERROR(VLOOKUP(TableHandbook[[#This Row],[UDC]],TableSTRPGLOBL[],7,FALSE),"")</f>
        <v/>
      </c>
      <c r="AC147" s="211" t="str">
        <f>IFERROR(VLOOKUP(TableHandbook[[#This Row],[UDC]],TableSTRPHRIGT[],7,FALSE),"")</f>
        <v/>
      </c>
      <c r="AD147" s="211" t="str">
        <f>IFERROR(VLOOKUP(TableHandbook[[#This Row],[UDC]],TableSTRPINTRN[],7,FALSE),"")</f>
        <v>Option</v>
      </c>
      <c r="AE147" s="211" t="str">
        <f>IFERROR(VLOOKUP(TableHandbook[[#This Row],[UDC]],TableGCGLOBL[],7,FALSE),"")</f>
        <v/>
      </c>
      <c r="AF147" s="213" t="str">
        <f>IFERROR(VLOOKUP(TableHandbook[[#This Row],[UDC]],TableMCINTREL[],7,FALSE),"")</f>
        <v/>
      </c>
      <c r="AG147" s="211" t="str">
        <f>IFERROR(VLOOKUP(TableHandbook[[#This Row],[UDC]],TableMCINTSEC[],7,FALSE),"")</f>
        <v/>
      </c>
      <c r="AH147" s="211" t="str">
        <f>IFERROR(VLOOKUP(TableHandbook[[#This Row],[UDC]],TableGDINTSEC[],7,FALSE),"")</f>
        <v/>
      </c>
      <c r="AI147" s="211" t="str">
        <f>IFERROR(VLOOKUP(TableHandbook[[#This Row],[UDC]],TableGCINTSEC[],7,FALSE),"")</f>
        <v/>
      </c>
      <c r="AJ147" s="211" t="str">
        <f>IFERROR(VLOOKUP(TableHandbook[[#This Row],[UDC]],TableGCINTELL[],7,FALSE),"")</f>
        <v/>
      </c>
      <c r="AK147" s="211" t="str">
        <f>IFERROR(VLOOKUP(TableHandbook[[#This Row],[UDC]],TableGCIPCSEC[],7,FALSE),"")</f>
        <v/>
      </c>
    </row>
    <row r="148" spans="1:37" x14ac:dyDescent="0.3">
      <c r="A148" s="2" t="s">
        <v>581</v>
      </c>
      <c r="B148" s="3"/>
      <c r="C148" s="3"/>
      <c r="D148" s="209" t="s">
        <v>582</v>
      </c>
      <c r="E148" s="3"/>
      <c r="F148" s="149"/>
      <c r="G148" s="96" t="str">
        <f>IFERROR(IF(VLOOKUP(TableHandbook[[#This Row],[UDC]],TableAvailabilities[],2,FALSE)&gt;0,"Y",""),"")</f>
        <v/>
      </c>
      <c r="H148" s="96" t="str">
        <f>IFERROR(IF(VLOOKUP(TableHandbook[[#This Row],[UDC]],TableAvailabilities[],3,FALSE)&gt;0,"Y",""),"")</f>
        <v/>
      </c>
      <c r="I148" s="96" t="str">
        <f>IFERROR(IF(VLOOKUP(TableHandbook[[#This Row],[UDC]],TableAvailabilities[],4,FALSE)&gt;0,"Y",""),"")</f>
        <v/>
      </c>
      <c r="J148" s="96" t="str">
        <f>IFERROR(IF(VLOOKUP(TableHandbook[[#This Row],[UDC]],TableAvailabilities[],5,FALSE)&gt;0,"Y",""),"")</f>
        <v/>
      </c>
      <c r="K148" s="209" t="s">
        <v>568</v>
      </c>
      <c r="L148" s="213" t="str">
        <f>IFERROR(VLOOKUP(TableHandbook[[#This Row],[UDC]],TableMCARTS[],7,FALSE),"")</f>
        <v/>
      </c>
      <c r="M148" s="211" t="str">
        <f>IFERROR(VLOOKUP(TableHandbook[[#This Row],[UDC]],TableMJRPCWRIT[],7,FALSE),"")</f>
        <v/>
      </c>
      <c r="N148" s="211" t="str">
        <f>IFERROR(VLOOKUP(TableHandbook[[#This Row],[UDC]],TableMJRPDGCMS[],7,FALSE),"")</f>
        <v/>
      </c>
      <c r="O148" s="211" t="str">
        <f>IFERROR(VLOOKUP(TableHandbook[[#This Row],[UDC]],TableMJRPFINAR[],7,FALSE),"")</f>
        <v/>
      </c>
      <c r="P148" s="211" t="str">
        <f>IFERROR(VLOOKUP(TableHandbook[[#This Row],[UDC]],TableMJRPPWRIT[],7,FALSE),"")</f>
        <v/>
      </c>
      <c r="Q148" s="211" t="str">
        <f>IFERROR(VLOOKUP(TableHandbook[[#This Row],[UDC]],TableMJRPSCRAR[],7,FALSE),"")</f>
        <v/>
      </c>
      <c r="R148" s="213" t="str">
        <f>IFERROR(VLOOKUP(TableHandbook[[#This Row],[UDC]],TableMCMMJRG[],7,FALSE),"")</f>
        <v/>
      </c>
      <c r="S148" s="211" t="str">
        <f>IFERROR(VLOOKUP(TableHandbook[[#This Row],[UDC]],TableMCMMJRN[],7,FALSE),"")</f>
        <v/>
      </c>
      <c r="T148" s="211" t="str">
        <f>IFERROR(VLOOKUP(TableHandbook[[#This Row],[UDC]],TableGDMMJRN[],7,FALSE),"")</f>
        <v/>
      </c>
      <c r="U148" s="211" t="str">
        <f>IFERROR(VLOOKUP(TableHandbook[[#This Row],[UDC]],TableGCMMJRN[],7,FALSE),"")</f>
        <v/>
      </c>
      <c r="V148" s="213" t="str">
        <f>IFERROR(VLOOKUP(TableHandbook[[#This Row],[UDC]],TableMCHRIGLO[],7,FALSE),"")</f>
        <v/>
      </c>
      <c r="W148" s="211" t="str">
        <f>IFERROR(VLOOKUP(TableHandbook[[#This Row],[UDC]],TableMCHRIGHT[],7,FALSE),"")</f>
        <v/>
      </c>
      <c r="X148" s="211" t="str">
        <f>IFERROR(VLOOKUP(TableHandbook[[#This Row],[UDC]],TableGDHRIGHT[],7,FALSE),"")</f>
        <v/>
      </c>
      <c r="Y148" s="211" t="str">
        <f>IFERROR(VLOOKUP(TableHandbook[[#This Row],[UDC]],TableGCHRIGHT[],7,FALSE),"")</f>
        <v/>
      </c>
      <c r="Z148" s="213" t="str">
        <f>IFERROR(VLOOKUP(TableHandbook[[#This Row],[UDC]],TableMCGLOBL2[],7,FALSE),"")</f>
        <v/>
      </c>
      <c r="AA148" s="211" t="str">
        <f>IFERROR(VLOOKUP(TableHandbook[[#This Row],[UDC]],TableMCGLOBL[],7,FALSE),"")</f>
        <v/>
      </c>
      <c r="AB148" s="211" t="str">
        <f>IFERROR(VLOOKUP(TableHandbook[[#This Row],[UDC]],TableSTRPGLOBL[],7,FALSE),"")</f>
        <v/>
      </c>
      <c r="AC148" s="211" t="str">
        <f>IFERROR(VLOOKUP(TableHandbook[[#This Row],[UDC]],TableSTRPHRIGT[],7,FALSE),"")</f>
        <v/>
      </c>
      <c r="AD148" s="211" t="str">
        <f>IFERROR(VLOOKUP(TableHandbook[[#This Row],[UDC]],TableSTRPINTRN[],7,FALSE),"")</f>
        <v/>
      </c>
      <c r="AE148" s="211" t="str">
        <f>IFERROR(VLOOKUP(TableHandbook[[#This Row],[UDC]],TableGCGLOBL[],7,FALSE),"")</f>
        <v/>
      </c>
      <c r="AF148" s="213" t="str">
        <f>IFERROR(VLOOKUP(TableHandbook[[#This Row],[UDC]],TableMCINTREL[],7,FALSE),"")</f>
        <v/>
      </c>
      <c r="AG148" s="211" t="str">
        <f>IFERROR(VLOOKUP(TableHandbook[[#This Row],[UDC]],TableMCINTSEC[],7,FALSE),"")</f>
        <v/>
      </c>
      <c r="AH148" s="211" t="str">
        <f>IFERROR(VLOOKUP(TableHandbook[[#This Row],[UDC]],TableGDINTSEC[],7,FALSE),"")</f>
        <v/>
      </c>
      <c r="AI148" s="211" t="str">
        <f>IFERROR(VLOOKUP(TableHandbook[[#This Row],[UDC]],TableGCINTSEC[],7,FALSE),"")</f>
        <v/>
      </c>
      <c r="AJ148" s="211" t="str">
        <f>IFERROR(VLOOKUP(TableHandbook[[#This Row],[UDC]],TableGCINTELL[],7,FALSE),"")</f>
        <v/>
      </c>
      <c r="AK148" s="211" t="str">
        <f>IFERROR(VLOOKUP(TableHandbook[[#This Row],[UDC]],TableGCIPCSEC[],7,FALSE),"")</f>
        <v/>
      </c>
    </row>
    <row r="149" spans="1:37" x14ac:dyDescent="0.3">
      <c r="A149" s="2" t="s">
        <v>583</v>
      </c>
      <c r="B149" s="3"/>
      <c r="C149" s="3"/>
      <c r="D149" s="209" t="s">
        <v>584</v>
      </c>
      <c r="E149" s="3"/>
      <c r="F149" s="149"/>
      <c r="G149" s="96" t="str">
        <f>IFERROR(IF(VLOOKUP(TableHandbook[[#This Row],[UDC]],TableAvailabilities[],2,FALSE)&gt;0,"Y",""),"")</f>
        <v/>
      </c>
      <c r="H149" s="96" t="str">
        <f>IFERROR(IF(VLOOKUP(TableHandbook[[#This Row],[UDC]],TableAvailabilities[],3,FALSE)&gt;0,"Y",""),"")</f>
        <v/>
      </c>
      <c r="I149" s="96" t="str">
        <f>IFERROR(IF(VLOOKUP(TableHandbook[[#This Row],[UDC]],TableAvailabilities[],4,FALSE)&gt;0,"Y",""),"")</f>
        <v/>
      </c>
      <c r="J149" s="96" t="str">
        <f>IFERROR(IF(VLOOKUP(TableHandbook[[#This Row],[UDC]],TableAvailabilities[],5,FALSE)&gt;0,"Y",""),"")</f>
        <v/>
      </c>
      <c r="K149" s="209" t="s">
        <v>568</v>
      </c>
      <c r="L149" s="213" t="str">
        <f>IFERROR(VLOOKUP(TableHandbook[[#This Row],[UDC]],TableMCARTS[],7,FALSE),"")</f>
        <v/>
      </c>
      <c r="M149" s="211" t="str">
        <f>IFERROR(VLOOKUP(TableHandbook[[#This Row],[UDC]],TableMJRPCWRIT[],7,FALSE),"")</f>
        <v/>
      </c>
      <c r="N149" s="211" t="str">
        <f>IFERROR(VLOOKUP(TableHandbook[[#This Row],[UDC]],TableMJRPDGCMS[],7,FALSE),"")</f>
        <v/>
      </c>
      <c r="O149" s="211" t="str">
        <f>IFERROR(VLOOKUP(TableHandbook[[#This Row],[UDC]],TableMJRPFINAR[],7,FALSE),"")</f>
        <v/>
      </c>
      <c r="P149" s="211" t="str">
        <f>IFERROR(VLOOKUP(TableHandbook[[#This Row],[UDC]],TableMJRPPWRIT[],7,FALSE),"")</f>
        <v/>
      </c>
      <c r="Q149" s="211" t="str">
        <f>IFERROR(VLOOKUP(TableHandbook[[#This Row],[UDC]],TableMJRPSCRAR[],7,FALSE),"")</f>
        <v/>
      </c>
      <c r="R149" s="213" t="str">
        <f>IFERROR(VLOOKUP(TableHandbook[[#This Row],[UDC]],TableMCMMJRG[],7,FALSE),"")</f>
        <v/>
      </c>
      <c r="S149" s="211" t="str">
        <f>IFERROR(VLOOKUP(TableHandbook[[#This Row],[UDC]],TableMCMMJRN[],7,FALSE),"")</f>
        <v/>
      </c>
      <c r="T149" s="211" t="str">
        <f>IFERROR(VLOOKUP(TableHandbook[[#This Row],[UDC]],TableGDMMJRN[],7,FALSE),"")</f>
        <v/>
      </c>
      <c r="U149" s="211" t="str">
        <f>IFERROR(VLOOKUP(TableHandbook[[#This Row],[UDC]],TableGCMMJRN[],7,FALSE),"")</f>
        <v/>
      </c>
      <c r="V149" s="213" t="str">
        <f>IFERROR(VLOOKUP(TableHandbook[[#This Row],[UDC]],TableMCHRIGLO[],7,FALSE),"")</f>
        <v/>
      </c>
      <c r="W149" s="211" t="str">
        <f>IFERROR(VLOOKUP(TableHandbook[[#This Row],[UDC]],TableMCHRIGHT[],7,FALSE),"")</f>
        <v/>
      </c>
      <c r="X149" s="211" t="str">
        <f>IFERROR(VLOOKUP(TableHandbook[[#This Row],[UDC]],TableGDHRIGHT[],7,FALSE),"")</f>
        <v/>
      </c>
      <c r="Y149" s="211" t="str">
        <f>IFERROR(VLOOKUP(TableHandbook[[#This Row],[UDC]],TableGCHRIGHT[],7,FALSE),"")</f>
        <v/>
      </c>
      <c r="Z149" s="213" t="str">
        <f>IFERROR(VLOOKUP(TableHandbook[[#This Row],[UDC]],TableMCGLOBL2[],7,FALSE),"")</f>
        <v/>
      </c>
      <c r="AA149" s="211" t="str">
        <f>IFERROR(VLOOKUP(TableHandbook[[#This Row],[UDC]],TableMCGLOBL[],7,FALSE),"")</f>
        <v/>
      </c>
      <c r="AB149" s="211" t="str">
        <f>IFERROR(VLOOKUP(TableHandbook[[#This Row],[UDC]],TableSTRPGLOBL[],7,FALSE),"")</f>
        <v/>
      </c>
      <c r="AC149" s="211" t="str">
        <f>IFERROR(VLOOKUP(TableHandbook[[#This Row],[UDC]],TableSTRPHRIGT[],7,FALSE),"")</f>
        <v/>
      </c>
      <c r="AD149" s="211" t="str">
        <f>IFERROR(VLOOKUP(TableHandbook[[#This Row],[UDC]],TableSTRPINTRN[],7,FALSE),"")</f>
        <v/>
      </c>
      <c r="AE149" s="211" t="str">
        <f>IFERROR(VLOOKUP(TableHandbook[[#This Row],[UDC]],TableGCGLOBL[],7,FALSE),"")</f>
        <v/>
      </c>
      <c r="AF149" s="213" t="str">
        <f>IFERROR(VLOOKUP(TableHandbook[[#This Row],[UDC]],TableMCINTREL[],7,FALSE),"")</f>
        <v/>
      </c>
      <c r="AG149" s="211" t="str">
        <f>IFERROR(VLOOKUP(TableHandbook[[#This Row],[UDC]],TableMCINTSEC[],7,FALSE),"")</f>
        <v/>
      </c>
      <c r="AH149" s="211" t="str">
        <f>IFERROR(VLOOKUP(TableHandbook[[#This Row],[UDC]],TableGDINTSEC[],7,FALSE),"")</f>
        <v/>
      </c>
      <c r="AI149" s="211" t="str">
        <f>IFERROR(VLOOKUP(TableHandbook[[#This Row],[UDC]],TableGCINTSEC[],7,FALSE),"")</f>
        <v/>
      </c>
      <c r="AJ149" s="211" t="str">
        <f>IFERROR(VLOOKUP(TableHandbook[[#This Row],[UDC]],TableGCINTELL[],7,FALSE),"")</f>
        <v/>
      </c>
      <c r="AK149" s="211" t="str">
        <f>IFERROR(VLOOKUP(TableHandbook[[#This Row],[UDC]],TableGCIPCSEC[],7,FALSE),"")</f>
        <v/>
      </c>
    </row>
    <row r="150" spans="1:37" x14ac:dyDescent="0.3">
      <c r="A150" s="231" t="s">
        <v>354</v>
      </c>
      <c r="B150" s="3"/>
      <c r="C150" s="3"/>
      <c r="D150" s="209" t="s">
        <v>573</v>
      </c>
      <c r="E150" s="3">
        <v>25</v>
      </c>
      <c r="F150" s="149" t="s">
        <v>416</v>
      </c>
      <c r="G150" s="96" t="str">
        <f>IFERROR(IF(VLOOKUP(TableHandbook[[#This Row],[UDC]],TableAvailabilities[],2,FALSE)&gt;0,"Y",""),"")</f>
        <v/>
      </c>
      <c r="H150" s="96" t="str">
        <f>IFERROR(IF(VLOOKUP(TableHandbook[[#This Row],[UDC]],TableAvailabilities[],3,FALSE)&gt;0,"Y",""),"")</f>
        <v/>
      </c>
      <c r="I150" s="96" t="str">
        <f>IFERROR(IF(VLOOKUP(TableHandbook[[#This Row],[UDC]],TableAvailabilities[],4,FALSE)&gt;0,"Y",""),"")</f>
        <v/>
      </c>
      <c r="J150" s="96" t="str">
        <f>IFERROR(IF(VLOOKUP(TableHandbook[[#This Row],[UDC]],TableAvailabilities[],5,FALSE)&gt;0,"Y",""),"")</f>
        <v/>
      </c>
      <c r="K150" s="209"/>
      <c r="L150" s="213" t="str">
        <f>IFERROR(VLOOKUP(TableHandbook[[#This Row],[UDC]],TableMCARTS[],7,FALSE),"")</f>
        <v/>
      </c>
      <c r="M150" s="211" t="str">
        <f>IFERROR(VLOOKUP(TableHandbook[[#This Row],[UDC]],TableMJRPCWRIT[],7,FALSE),"")</f>
        <v/>
      </c>
      <c r="N150" s="211" t="str">
        <f>IFERROR(VLOOKUP(TableHandbook[[#This Row],[UDC]],TableMJRPDGCMS[],7,FALSE),"")</f>
        <v/>
      </c>
      <c r="O150" s="211" t="str">
        <f>IFERROR(VLOOKUP(TableHandbook[[#This Row],[UDC]],TableMJRPFINAR[],7,FALSE),"")</f>
        <v/>
      </c>
      <c r="P150" s="211" t="str">
        <f>IFERROR(VLOOKUP(TableHandbook[[#This Row],[UDC]],TableMJRPPWRIT[],7,FALSE),"")</f>
        <v/>
      </c>
      <c r="Q150" s="211" t="str">
        <f>IFERROR(VLOOKUP(TableHandbook[[#This Row],[UDC]],TableMJRPSCRAR[],7,FALSE),"")</f>
        <v/>
      </c>
      <c r="R150" s="213" t="str">
        <f>IFERROR(VLOOKUP(TableHandbook[[#This Row],[UDC]],TableMCMMJRG[],7,FALSE),"")</f>
        <v/>
      </c>
      <c r="S150" s="211" t="str">
        <f>IFERROR(VLOOKUP(TableHandbook[[#This Row],[UDC]],TableMCMMJRN[],7,FALSE),"")</f>
        <v/>
      </c>
      <c r="T150" s="211" t="str">
        <f>IFERROR(VLOOKUP(TableHandbook[[#This Row],[UDC]],TableGDMMJRN[],7,FALSE),"")</f>
        <v/>
      </c>
      <c r="U150" s="211" t="str">
        <f>IFERROR(VLOOKUP(TableHandbook[[#This Row],[UDC]],TableGCMMJRN[],7,FALSE),"")</f>
        <v/>
      </c>
      <c r="V150" s="213" t="str">
        <f>IFERROR(VLOOKUP(TableHandbook[[#This Row],[UDC]],TableMCHRIGLO[],7,FALSE),"")</f>
        <v/>
      </c>
      <c r="W150" s="211" t="str">
        <f>IFERROR(VLOOKUP(TableHandbook[[#This Row],[UDC]],TableMCHRIGHT[],7,FALSE),"")</f>
        <v/>
      </c>
      <c r="X150" s="211" t="str">
        <f>IFERROR(VLOOKUP(TableHandbook[[#This Row],[UDC]],TableGDHRIGHT[],7,FALSE),"")</f>
        <v/>
      </c>
      <c r="Y150" s="211" t="str">
        <f>IFERROR(VLOOKUP(TableHandbook[[#This Row],[UDC]],TableGCHRIGHT[],7,FALSE),"")</f>
        <v/>
      </c>
      <c r="Z150" s="213" t="str">
        <f>IFERROR(VLOOKUP(TableHandbook[[#This Row],[UDC]],TableMCGLOBL2[],7,FALSE),"")</f>
        <v/>
      </c>
      <c r="AA150" s="211" t="str">
        <f>IFERROR(VLOOKUP(TableHandbook[[#This Row],[UDC]],TableMCGLOBL[],7,FALSE),"")</f>
        <v/>
      </c>
      <c r="AB150" s="211" t="str">
        <f>IFERROR(VLOOKUP(TableHandbook[[#This Row],[UDC]],TableSTRPGLOBL[],7,FALSE),"")</f>
        <v/>
      </c>
      <c r="AC150" s="211" t="str">
        <f>IFERROR(VLOOKUP(TableHandbook[[#This Row],[UDC]],TableSTRPHRIGT[],7,FALSE),"")</f>
        <v/>
      </c>
      <c r="AD150" s="211" t="str">
        <f>IFERROR(VLOOKUP(TableHandbook[[#This Row],[UDC]],TableSTRPINTRN[],7,FALSE),"")</f>
        <v/>
      </c>
      <c r="AE150" s="211" t="str">
        <f>IFERROR(VLOOKUP(TableHandbook[[#This Row],[UDC]],TableGCGLOBL[],7,FALSE),"")</f>
        <v/>
      </c>
      <c r="AF150" s="213" t="str">
        <f>IFERROR(VLOOKUP(TableHandbook[[#This Row],[UDC]],TableMCINTREL[],7,FALSE),"")</f>
        <v/>
      </c>
      <c r="AG150" s="211" t="str">
        <f>IFERROR(VLOOKUP(TableHandbook[[#This Row],[UDC]],TableMCINTSEC[],7,FALSE),"")</f>
        <v>Option</v>
      </c>
      <c r="AH150" s="211" t="str">
        <f>IFERROR(VLOOKUP(TableHandbook[[#This Row],[UDC]],TableGDINTSEC[],7,FALSE),"")</f>
        <v>Option</v>
      </c>
      <c r="AI150" s="211" t="str">
        <f>IFERROR(VLOOKUP(TableHandbook[[#This Row],[UDC]],TableGCINTSEC[],7,FALSE),"")</f>
        <v>Option</v>
      </c>
      <c r="AJ150" s="211" t="str">
        <f>IFERROR(VLOOKUP(TableHandbook[[#This Row],[UDC]],TableGCINTELL[],7,FALSE),"")</f>
        <v/>
      </c>
      <c r="AK150" s="211" t="str">
        <f>IFERROR(VLOOKUP(TableHandbook[[#This Row],[UDC]],TableGCIPCSEC[],7,FALSE),"")</f>
        <v/>
      </c>
    </row>
    <row r="151" spans="1:37" x14ac:dyDescent="0.3">
      <c r="A151" s="231" t="s">
        <v>367</v>
      </c>
      <c r="B151" s="3"/>
      <c r="C151" s="3"/>
      <c r="D151" s="209" t="s">
        <v>575</v>
      </c>
      <c r="E151" s="3"/>
      <c r="F151" s="149"/>
      <c r="G151" s="96" t="str">
        <f>IFERROR(IF(VLOOKUP(TableHandbook[[#This Row],[UDC]],TableAvailabilities[],2,FALSE)&gt;0,"Y",""),"")</f>
        <v/>
      </c>
      <c r="H151" s="96" t="str">
        <f>IFERROR(IF(VLOOKUP(TableHandbook[[#This Row],[UDC]],TableAvailabilities[],3,FALSE)&gt;0,"Y",""),"")</f>
        <v/>
      </c>
      <c r="I151" s="96" t="str">
        <f>IFERROR(IF(VLOOKUP(TableHandbook[[#This Row],[UDC]],TableAvailabilities[],4,FALSE)&gt;0,"Y",""),"")</f>
        <v/>
      </c>
      <c r="J151" s="96" t="str">
        <f>IFERROR(IF(VLOOKUP(TableHandbook[[#This Row],[UDC]],TableAvailabilities[],5,FALSE)&gt;0,"Y",""),"")</f>
        <v/>
      </c>
      <c r="K151" s="209" t="s">
        <v>568</v>
      </c>
      <c r="L151" s="213" t="str">
        <f>IFERROR(VLOOKUP(TableHandbook[[#This Row],[UDC]],TableMCARTS[],7,FALSE),"")</f>
        <v/>
      </c>
      <c r="M151" s="211" t="str">
        <f>IFERROR(VLOOKUP(TableHandbook[[#This Row],[UDC]],TableMJRPCWRIT[],7,FALSE),"")</f>
        <v/>
      </c>
      <c r="N151" s="211" t="str">
        <f>IFERROR(VLOOKUP(TableHandbook[[#This Row],[UDC]],TableMJRPDGCMS[],7,FALSE),"")</f>
        <v/>
      </c>
      <c r="O151" s="211" t="str">
        <f>IFERROR(VLOOKUP(TableHandbook[[#This Row],[UDC]],TableMJRPFINAR[],7,FALSE),"")</f>
        <v/>
      </c>
      <c r="P151" s="211" t="str">
        <f>IFERROR(VLOOKUP(TableHandbook[[#This Row],[UDC]],TableMJRPPWRIT[],7,FALSE),"")</f>
        <v/>
      </c>
      <c r="Q151" s="211" t="str">
        <f>IFERROR(VLOOKUP(TableHandbook[[#This Row],[UDC]],TableMJRPSCRAR[],7,FALSE),"")</f>
        <v/>
      </c>
      <c r="R151" s="213" t="str">
        <f>IFERROR(VLOOKUP(TableHandbook[[#This Row],[UDC]],TableMCMMJRG[],7,FALSE),"")</f>
        <v/>
      </c>
      <c r="S151" s="211" t="str">
        <f>IFERROR(VLOOKUP(TableHandbook[[#This Row],[UDC]],TableMCMMJRN[],7,FALSE),"")</f>
        <v/>
      </c>
      <c r="T151" s="211" t="str">
        <f>IFERROR(VLOOKUP(TableHandbook[[#This Row],[UDC]],TableGDMMJRN[],7,FALSE),"")</f>
        <v/>
      </c>
      <c r="U151" s="211" t="str">
        <f>IFERROR(VLOOKUP(TableHandbook[[#This Row],[UDC]],TableGCMMJRN[],7,FALSE),"")</f>
        <v/>
      </c>
      <c r="V151" s="213" t="str">
        <f>IFERROR(VLOOKUP(TableHandbook[[#This Row],[UDC]],TableMCHRIGLO[],7,FALSE),"")</f>
        <v/>
      </c>
      <c r="W151" s="211" t="str">
        <f>IFERROR(VLOOKUP(TableHandbook[[#This Row],[UDC]],TableMCHRIGHT[],7,FALSE),"")</f>
        <v/>
      </c>
      <c r="X151" s="211" t="str">
        <f>IFERROR(VLOOKUP(TableHandbook[[#This Row],[UDC]],TableGDHRIGHT[],7,FALSE),"")</f>
        <v/>
      </c>
      <c r="Y151" s="211" t="str">
        <f>IFERROR(VLOOKUP(TableHandbook[[#This Row],[UDC]],TableGCHRIGHT[],7,FALSE),"")</f>
        <v/>
      </c>
      <c r="Z151" s="213" t="str">
        <f>IFERROR(VLOOKUP(TableHandbook[[#This Row],[UDC]],TableMCGLOBL2[],7,FALSE),"")</f>
        <v/>
      </c>
      <c r="AA151" s="211" t="str">
        <f>IFERROR(VLOOKUP(TableHandbook[[#This Row],[UDC]],TableMCGLOBL[],7,FALSE),"")</f>
        <v/>
      </c>
      <c r="AB151" s="211" t="str">
        <f>IFERROR(VLOOKUP(TableHandbook[[#This Row],[UDC]],TableSTRPGLOBL[],7,FALSE),"")</f>
        <v/>
      </c>
      <c r="AC151" s="211" t="str">
        <f>IFERROR(VLOOKUP(TableHandbook[[#This Row],[UDC]],TableSTRPHRIGT[],7,FALSE),"")</f>
        <v/>
      </c>
      <c r="AD151" s="211" t="str">
        <f>IFERROR(VLOOKUP(TableHandbook[[#This Row],[UDC]],TableSTRPINTRN[],7,FALSE),"")</f>
        <v/>
      </c>
      <c r="AE151" s="211" t="str">
        <f>IFERROR(VLOOKUP(TableHandbook[[#This Row],[UDC]],TableGCGLOBL[],7,FALSE),"")</f>
        <v/>
      </c>
      <c r="AF151" s="213" t="str">
        <f>IFERROR(VLOOKUP(TableHandbook[[#This Row],[UDC]],TableMCINTREL[],7,FALSE),"")</f>
        <v/>
      </c>
      <c r="AG151" s="211" t="str">
        <f>IFERROR(VLOOKUP(TableHandbook[[#This Row],[UDC]],TableMCINTSEC[],7,FALSE),"")</f>
        <v/>
      </c>
      <c r="AH151" s="211" t="str">
        <f>IFERROR(VLOOKUP(TableHandbook[[#This Row],[UDC]],TableGDINTSEC[],7,FALSE),"")</f>
        <v/>
      </c>
      <c r="AI151" s="211" t="str">
        <f>IFERROR(VLOOKUP(TableHandbook[[#This Row],[UDC]],TableGCINTSEC[],7,FALSE),"")</f>
        <v/>
      </c>
      <c r="AJ151" s="211" t="str">
        <f>IFERROR(VLOOKUP(TableHandbook[[#This Row],[UDC]],TableGCINTELL[],7,FALSE),"")</f>
        <v/>
      </c>
      <c r="AK151" s="211" t="str">
        <f>IFERROR(VLOOKUP(TableHandbook[[#This Row],[UDC]],TableGCIPCSEC[],7,FALSE),"")</f>
        <v/>
      </c>
    </row>
    <row r="152" spans="1:37" x14ac:dyDescent="0.3">
      <c r="A152" s="2" t="s">
        <v>303</v>
      </c>
      <c r="B152" s="3"/>
      <c r="C152" s="3"/>
      <c r="D152" s="209" t="s">
        <v>573</v>
      </c>
      <c r="E152" s="3">
        <v>25</v>
      </c>
      <c r="F152" s="149" t="s">
        <v>416</v>
      </c>
      <c r="G152" s="96" t="str">
        <f>IFERROR(IF(VLOOKUP(TableHandbook[[#This Row],[UDC]],TableAvailabilities[],2,FALSE)&gt;0,"Y",""),"")</f>
        <v/>
      </c>
      <c r="H152" s="96" t="str">
        <f>IFERROR(IF(VLOOKUP(TableHandbook[[#This Row],[UDC]],TableAvailabilities[],3,FALSE)&gt;0,"Y",""),"")</f>
        <v/>
      </c>
      <c r="I152" s="96" t="str">
        <f>IFERROR(IF(VLOOKUP(TableHandbook[[#This Row],[UDC]],TableAvailabilities[],4,FALSE)&gt;0,"Y",""),"")</f>
        <v/>
      </c>
      <c r="J152" s="96" t="str">
        <f>IFERROR(IF(VLOOKUP(TableHandbook[[#This Row],[UDC]],TableAvailabilities[],5,FALSE)&gt;0,"Y",""),"")</f>
        <v/>
      </c>
      <c r="K152" s="209"/>
      <c r="L152" s="213" t="str">
        <f>IFERROR(VLOOKUP(TableHandbook[[#This Row],[UDC]],TableMCARTS[],7,FALSE),"")</f>
        <v/>
      </c>
      <c r="M152" s="211" t="str">
        <f>IFERROR(VLOOKUP(TableHandbook[[#This Row],[UDC]],TableMJRPCWRIT[],7,FALSE),"")</f>
        <v/>
      </c>
      <c r="N152" s="211" t="str">
        <f>IFERROR(VLOOKUP(TableHandbook[[#This Row],[UDC]],TableMJRPDGCMS[],7,FALSE),"")</f>
        <v/>
      </c>
      <c r="O152" s="211" t="str">
        <f>IFERROR(VLOOKUP(TableHandbook[[#This Row],[UDC]],TableMJRPFINAR[],7,FALSE),"")</f>
        <v/>
      </c>
      <c r="P152" s="211" t="str">
        <f>IFERROR(VLOOKUP(TableHandbook[[#This Row],[UDC]],TableMJRPPWRIT[],7,FALSE),"")</f>
        <v/>
      </c>
      <c r="Q152" s="211" t="str">
        <f>IFERROR(VLOOKUP(TableHandbook[[#This Row],[UDC]],TableMJRPSCRAR[],7,FALSE),"")</f>
        <v/>
      </c>
      <c r="R152" s="213" t="str">
        <f>IFERROR(VLOOKUP(TableHandbook[[#This Row],[UDC]],TableMCMMJRG[],7,FALSE),"")</f>
        <v>Option</v>
      </c>
      <c r="S152" s="211" t="str">
        <f>IFERROR(VLOOKUP(TableHandbook[[#This Row],[UDC]],TableMCMMJRN[],7,FALSE),"")</f>
        <v/>
      </c>
      <c r="T152" s="211" t="str">
        <f>IFERROR(VLOOKUP(TableHandbook[[#This Row],[UDC]],TableGDMMJRN[],7,FALSE),"")</f>
        <v/>
      </c>
      <c r="U152" s="211" t="str">
        <f>IFERROR(VLOOKUP(TableHandbook[[#This Row],[UDC]],TableGCMMJRN[],7,FALSE),"")</f>
        <v/>
      </c>
      <c r="V152" s="213" t="str">
        <f>IFERROR(VLOOKUP(TableHandbook[[#This Row],[UDC]],TableMCHRIGLO[],7,FALSE),"")</f>
        <v/>
      </c>
      <c r="W152" s="211" t="str">
        <f>IFERROR(VLOOKUP(TableHandbook[[#This Row],[UDC]],TableMCHRIGHT[],7,FALSE),"")</f>
        <v/>
      </c>
      <c r="X152" s="211" t="str">
        <f>IFERROR(VLOOKUP(TableHandbook[[#This Row],[UDC]],TableGDHRIGHT[],7,FALSE),"")</f>
        <v/>
      </c>
      <c r="Y152" s="211" t="str">
        <f>IFERROR(VLOOKUP(TableHandbook[[#This Row],[UDC]],TableGCHRIGHT[],7,FALSE),"")</f>
        <v/>
      </c>
      <c r="Z152" s="213" t="str">
        <f>IFERROR(VLOOKUP(TableHandbook[[#This Row],[UDC]],TableMCGLOBL2[],7,FALSE),"")</f>
        <v/>
      </c>
      <c r="AA152" s="211" t="str">
        <f>IFERROR(VLOOKUP(TableHandbook[[#This Row],[UDC]],TableMCGLOBL[],7,FALSE),"")</f>
        <v/>
      </c>
      <c r="AB152" s="211" t="str">
        <f>IFERROR(VLOOKUP(TableHandbook[[#This Row],[UDC]],TableSTRPGLOBL[],7,FALSE),"")</f>
        <v/>
      </c>
      <c r="AC152" s="211" t="str">
        <f>IFERROR(VLOOKUP(TableHandbook[[#This Row],[UDC]],TableSTRPHRIGT[],7,FALSE),"")</f>
        <v/>
      </c>
      <c r="AD152" s="211" t="str">
        <f>IFERROR(VLOOKUP(TableHandbook[[#This Row],[UDC]],TableSTRPINTRN[],7,FALSE),"")</f>
        <v/>
      </c>
      <c r="AE152" s="211" t="str">
        <f>IFERROR(VLOOKUP(TableHandbook[[#This Row],[UDC]],TableGCGLOBL[],7,FALSE),"")</f>
        <v/>
      </c>
      <c r="AF152" s="213" t="str">
        <f>IFERROR(VLOOKUP(TableHandbook[[#This Row],[UDC]],TableMCINTREL[],7,FALSE),"")</f>
        <v/>
      </c>
      <c r="AG152" s="211" t="str">
        <f>IFERROR(VLOOKUP(TableHandbook[[#This Row],[UDC]],TableMCINTSEC[],7,FALSE),"")</f>
        <v/>
      </c>
      <c r="AH152" s="211" t="str">
        <f>IFERROR(VLOOKUP(TableHandbook[[#This Row],[UDC]],TableGDINTSEC[],7,FALSE),"")</f>
        <v/>
      </c>
      <c r="AI152" s="211" t="str">
        <f>IFERROR(VLOOKUP(TableHandbook[[#This Row],[UDC]],TableGCINTSEC[],7,FALSE),"")</f>
        <v/>
      </c>
      <c r="AJ152" s="211" t="str">
        <f>IFERROR(VLOOKUP(TableHandbook[[#This Row],[UDC]],TableGCINTELL[],7,FALSE),"")</f>
        <v/>
      </c>
      <c r="AK152" s="211" t="str">
        <f>IFERROR(VLOOKUP(TableHandbook[[#This Row],[UDC]],TableGCIPCSEC[],7,FALSE),"")</f>
        <v/>
      </c>
    </row>
    <row r="153" spans="1:37" x14ac:dyDescent="0.3">
      <c r="A153" s="2" t="s">
        <v>333</v>
      </c>
      <c r="B153" s="3"/>
      <c r="C153" s="3"/>
      <c r="D153" s="209" t="s">
        <v>573</v>
      </c>
      <c r="E153" s="3">
        <v>25</v>
      </c>
      <c r="F153" s="149" t="s">
        <v>416</v>
      </c>
      <c r="G153" s="96" t="str">
        <f>IFERROR(IF(VLOOKUP(TableHandbook[[#This Row],[UDC]],TableAvailabilities[],2,FALSE)&gt;0,"Y",""),"")</f>
        <v/>
      </c>
      <c r="H153" s="96" t="str">
        <f>IFERROR(IF(VLOOKUP(TableHandbook[[#This Row],[UDC]],TableAvailabilities[],3,FALSE)&gt;0,"Y",""),"")</f>
        <v/>
      </c>
      <c r="I153" s="96" t="str">
        <f>IFERROR(IF(VLOOKUP(TableHandbook[[#This Row],[UDC]],TableAvailabilities[],4,FALSE)&gt;0,"Y",""),"")</f>
        <v/>
      </c>
      <c r="J153" s="96" t="str">
        <f>IFERROR(IF(VLOOKUP(TableHandbook[[#This Row],[UDC]],TableAvailabilities[],5,FALSE)&gt;0,"Y",""),"")</f>
        <v/>
      </c>
      <c r="K153" s="209"/>
      <c r="L153" s="213" t="str">
        <f>IFERROR(VLOOKUP(TableHandbook[[#This Row],[UDC]],TableMCARTS[],7,FALSE),"")</f>
        <v/>
      </c>
      <c r="M153" s="211" t="str">
        <f>IFERROR(VLOOKUP(TableHandbook[[#This Row],[UDC]],TableMJRPCWRIT[],7,FALSE),"")</f>
        <v/>
      </c>
      <c r="N153" s="211" t="str">
        <f>IFERROR(VLOOKUP(TableHandbook[[#This Row],[UDC]],TableMJRPDGCMS[],7,FALSE),"")</f>
        <v/>
      </c>
      <c r="O153" s="211" t="str">
        <f>IFERROR(VLOOKUP(TableHandbook[[#This Row],[UDC]],TableMJRPFINAR[],7,FALSE),"")</f>
        <v/>
      </c>
      <c r="P153" s="211" t="str">
        <f>IFERROR(VLOOKUP(TableHandbook[[#This Row],[UDC]],TableMJRPPWRIT[],7,FALSE),"")</f>
        <v/>
      </c>
      <c r="Q153" s="211" t="str">
        <f>IFERROR(VLOOKUP(TableHandbook[[#This Row],[UDC]],TableMJRPSCRAR[],7,FALSE),"")</f>
        <v/>
      </c>
      <c r="R153" s="213" t="str">
        <f>IFERROR(VLOOKUP(TableHandbook[[#This Row],[UDC]],TableMCMMJRG[],7,FALSE),"")</f>
        <v/>
      </c>
      <c r="S153" s="211" t="str">
        <f>IFERROR(VLOOKUP(TableHandbook[[#This Row],[UDC]],TableMCMMJRN[],7,FALSE),"")</f>
        <v/>
      </c>
      <c r="T153" s="211" t="str">
        <f>IFERROR(VLOOKUP(TableHandbook[[#This Row],[UDC]],TableGDMMJRN[],7,FALSE),"")</f>
        <v/>
      </c>
      <c r="U153" s="211" t="str">
        <f>IFERROR(VLOOKUP(TableHandbook[[#This Row],[UDC]],TableGCMMJRN[],7,FALSE),"")</f>
        <v/>
      </c>
      <c r="V153" s="213" t="str">
        <f>IFERROR(VLOOKUP(TableHandbook[[#This Row],[UDC]],TableMCHRIGLO[],7,FALSE),"")</f>
        <v/>
      </c>
      <c r="W153" s="211" t="str">
        <f>IFERROR(VLOOKUP(TableHandbook[[#This Row],[UDC]],TableMCHRIGHT[],7,FALSE),"")</f>
        <v/>
      </c>
      <c r="X153" s="211" t="str">
        <f>IFERROR(VLOOKUP(TableHandbook[[#This Row],[UDC]],TableGDHRIGHT[],7,FALSE),"")</f>
        <v/>
      </c>
      <c r="Y153" s="211" t="str">
        <f>IFERROR(VLOOKUP(TableHandbook[[#This Row],[UDC]],TableGCHRIGHT[],7,FALSE),"")</f>
        <v/>
      </c>
      <c r="Z153" s="213" t="str">
        <f>IFERROR(VLOOKUP(TableHandbook[[#This Row],[UDC]],TableMCGLOBL2[],7,FALSE),"")</f>
        <v/>
      </c>
      <c r="AA153" s="211" t="str">
        <f>IFERROR(VLOOKUP(TableHandbook[[#This Row],[UDC]],TableMCGLOBL[],7,FALSE),"")</f>
        <v/>
      </c>
      <c r="AB153" s="211" t="str">
        <f>IFERROR(VLOOKUP(TableHandbook[[#This Row],[UDC]],TableSTRPGLOBL[],7,FALSE),"")</f>
        <v/>
      </c>
      <c r="AC153" s="211" t="str">
        <f>IFERROR(VLOOKUP(TableHandbook[[#This Row],[UDC]],TableSTRPHRIGT[],7,FALSE),"")</f>
        <v/>
      </c>
      <c r="AD153" s="211" t="str">
        <f>IFERROR(VLOOKUP(TableHandbook[[#This Row],[UDC]],TableSTRPINTRN[],7,FALSE),"")</f>
        <v/>
      </c>
      <c r="AE153" s="211" t="str">
        <f>IFERROR(VLOOKUP(TableHandbook[[#This Row],[UDC]],TableGCGLOBL[],7,FALSE),"")</f>
        <v/>
      </c>
      <c r="AF153" s="213" t="str">
        <f>IFERROR(VLOOKUP(TableHandbook[[#This Row],[UDC]],TableMCINTREL[],7,FALSE),"")</f>
        <v/>
      </c>
      <c r="AG153" s="211" t="str">
        <f>IFERROR(VLOOKUP(TableHandbook[[#This Row],[UDC]],TableMCINTSEC[],7,FALSE),"")</f>
        <v/>
      </c>
      <c r="AH153" s="211" t="str">
        <f>IFERROR(VLOOKUP(TableHandbook[[#This Row],[UDC]],TableGDINTSEC[],7,FALSE),"")</f>
        <v/>
      </c>
      <c r="AI153" s="211" t="str">
        <f>IFERROR(VLOOKUP(TableHandbook[[#This Row],[UDC]],TableGCINTSEC[],7,FALSE),"")</f>
        <v/>
      </c>
      <c r="AJ153" s="211" t="str">
        <f>IFERROR(VLOOKUP(TableHandbook[[#This Row],[UDC]],TableGCINTELL[],7,FALSE),"")</f>
        <v/>
      </c>
      <c r="AK153" s="211" t="str">
        <f>IFERROR(VLOOKUP(TableHandbook[[#This Row],[UDC]],TableGCIPCSEC[],7,FALSE),"")</f>
        <v/>
      </c>
    </row>
    <row r="154" spans="1:37" x14ac:dyDescent="0.3">
      <c r="A154" s="2" t="s">
        <v>175</v>
      </c>
      <c r="B154" s="3"/>
      <c r="C154" s="3"/>
      <c r="D154" s="209" t="s">
        <v>585</v>
      </c>
      <c r="E154" s="3">
        <v>150</v>
      </c>
      <c r="F154" s="149"/>
      <c r="G154" s="96" t="str">
        <f>IFERROR(IF(VLOOKUP(TableHandbook[[#This Row],[UDC]],TableAvailabilities[],2,FALSE)&gt;0,"Y",""),"")</f>
        <v/>
      </c>
      <c r="H154" s="96" t="str">
        <f>IFERROR(IF(VLOOKUP(TableHandbook[[#This Row],[UDC]],TableAvailabilities[],3,FALSE)&gt;0,"Y",""),"")</f>
        <v/>
      </c>
      <c r="I154" s="96" t="str">
        <f>IFERROR(IF(VLOOKUP(TableHandbook[[#This Row],[UDC]],TableAvailabilities[],4,FALSE)&gt;0,"Y",""),"")</f>
        <v/>
      </c>
      <c r="J154" s="96" t="str">
        <f>IFERROR(IF(VLOOKUP(TableHandbook[[#This Row],[UDC]],TableAvailabilities[],5,FALSE)&gt;0,"Y",""),"")</f>
        <v/>
      </c>
      <c r="K154" s="209" t="s">
        <v>568</v>
      </c>
      <c r="L154" s="213" t="str">
        <f>IFERROR(VLOOKUP(TableHandbook[[#This Row],[UDC]],TableMCARTS[],7,FALSE),"")</f>
        <v/>
      </c>
      <c r="M154" s="211" t="str">
        <f>IFERROR(VLOOKUP(TableHandbook[[#This Row],[UDC]],TableMJRPCWRIT[],7,FALSE),"")</f>
        <v/>
      </c>
      <c r="N154" s="211" t="str">
        <f>IFERROR(VLOOKUP(TableHandbook[[#This Row],[UDC]],TableMJRPDGCMS[],7,FALSE),"")</f>
        <v/>
      </c>
      <c r="O154" s="211" t="str">
        <f>IFERROR(VLOOKUP(TableHandbook[[#This Row],[UDC]],TableMJRPFINAR[],7,FALSE),"")</f>
        <v/>
      </c>
      <c r="P154" s="211" t="str">
        <f>IFERROR(VLOOKUP(TableHandbook[[#This Row],[UDC]],TableMJRPPWRIT[],7,FALSE),"")</f>
        <v/>
      </c>
      <c r="Q154" s="211" t="str">
        <f>IFERROR(VLOOKUP(TableHandbook[[#This Row],[UDC]],TableMJRPSCRAR[],7,FALSE),"")</f>
        <v/>
      </c>
      <c r="R154" s="213" t="str">
        <f>IFERROR(VLOOKUP(TableHandbook[[#This Row],[UDC]],TableMCMMJRG[],7,FALSE),"")</f>
        <v/>
      </c>
      <c r="S154" s="211" t="str">
        <f>IFERROR(VLOOKUP(TableHandbook[[#This Row],[UDC]],TableMCMMJRN[],7,FALSE),"")</f>
        <v/>
      </c>
      <c r="T154" s="211" t="str">
        <f>IFERROR(VLOOKUP(TableHandbook[[#This Row],[UDC]],TableGDMMJRN[],7,FALSE),"")</f>
        <v/>
      </c>
      <c r="U154" s="211" t="str">
        <f>IFERROR(VLOOKUP(TableHandbook[[#This Row],[UDC]],TableGCMMJRN[],7,FALSE),"")</f>
        <v/>
      </c>
      <c r="V154" s="213" t="str">
        <f>IFERROR(VLOOKUP(TableHandbook[[#This Row],[UDC]],TableMCHRIGLO[],7,FALSE),"")</f>
        <v/>
      </c>
      <c r="W154" s="211" t="str">
        <f>IFERROR(VLOOKUP(TableHandbook[[#This Row],[UDC]],TableMCHRIGHT[],7,FALSE),"")</f>
        <v/>
      </c>
      <c r="X154" s="211" t="str">
        <f>IFERROR(VLOOKUP(TableHandbook[[#This Row],[UDC]],TableGDHRIGHT[],7,FALSE),"")</f>
        <v/>
      </c>
      <c r="Y154" s="211" t="str">
        <f>IFERROR(VLOOKUP(TableHandbook[[#This Row],[UDC]],TableGCHRIGHT[],7,FALSE),"")</f>
        <v/>
      </c>
      <c r="Z154" s="213" t="str">
        <f>IFERROR(VLOOKUP(TableHandbook[[#This Row],[UDC]],TableMCGLOBL2[],7,FALSE),"")</f>
        <v/>
      </c>
      <c r="AA154" s="211" t="str">
        <f>IFERROR(VLOOKUP(TableHandbook[[#This Row],[UDC]],TableMCGLOBL[],7,FALSE),"")</f>
        <v/>
      </c>
      <c r="AB154" s="211" t="str">
        <f>IFERROR(VLOOKUP(TableHandbook[[#This Row],[UDC]],TableSTRPGLOBL[],7,FALSE),"")</f>
        <v/>
      </c>
      <c r="AC154" s="211" t="str">
        <f>IFERROR(VLOOKUP(TableHandbook[[#This Row],[UDC]],TableSTRPHRIGT[],7,FALSE),"")</f>
        <v/>
      </c>
      <c r="AD154" s="211" t="str">
        <f>IFERROR(VLOOKUP(TableHandbook[[#This Row],[UDC]],TableSTRPINTRN[],7,FALSE),"")</f>
        <v/>
      </c>
      <c r="AE154" s="211" t="str">
        <f>IFERROR(VLOOKUP(TableHandbook[[#This Row],[UDC]],TableGCGLOBL[],7,FALSE),"")</f>
        <v/>
      </c>
      <c r="AF154" s="213" t="str">
        <f>IFERROR(VLOOKUP(TableHandbook[[#This Row],[UDC]],TableMCINTREL[],7,FALSE),"")</f>
        <v/>
      </c>
      <c r="AG154" s="211" t="str">
        <f>IFERROR(VLOOKUP(TableHandbook[[#This Row],[UDC]],TableMCINTSEC[],7,FALSE),"")</f>
        <v/>
      </c>
      <c r="AH154" s="211" t="str">
        <f>IFERROR(VLOOKUP(TableHandbook[[#This Row],[UDC]],TableGDINTSEC[],7,FALSE),"")</f>
        <v/>
      </c>
      <c r="AI154" s="211" t="str">
        <f>IFERROR(VLOOKUP(TableHandbook[[#This Row],[UDC]],TableGCINTSEC[],7,FALSE),"")</f>
        <v/>
      </c>
      <c r="AJ154" s="211" t="str">
        <f>IFERROR(VLOOKUP(TableHandbook[[#This Row],[UDC]],TableGCINTELL[],7,FALSE),"")</f>
        <v/>
      </c>
      <c r="AK154" s="211" t="str">
        <f>IFERROR(VLOOKUP(TableHandbook[[#This Row],[UDC]],TableGCIPCSEC[],7,FALSE),"")</f>
        <v/>
      </c>
    </row>
    <row r="155" spans="1:37" x14ac:dyDescent="0.3">
      <c r="A155" s="2" t="s">
        <v>216</v>
      </c>
      <c r="B155" s="3"/>
      <c r="C155" s="3"/>
      <c r="D155" s="209" t="s">
        <v>586</v>
      </c>
      <c r="E155" s="3">
        <v>150</v>
      </c>
      <c r="F155" s="149"/>
      <c r="G155" s="96" t="str">
        <f>IFERROR(IF(VLOOKUP(TableHandbook[[#This Row],[UDC]],TableAvailabilities[],2,FALSE)&gt;0,"Y",""),"")</f>
        <v/>
      </c>
      <c r="H155" s="96" t="str">
        <f>IFERROR(IF(VLOOKUP(TableHandbook[[#This Row],[UDC]],TableAvailabilities[],3,FALSE)&gt;0,"Y",""),"")</f>
        <v/>
      </c>
      <c r="I155" s="96" t="str">
        <f>IFERROR(IF(VLOOKUP(TableHandbook[[#This Row],[UDC]],TableAvailabilities[],4,FALSE)&gt;0,"Y",""),"")</f>
        <v/>
      </c>
      <c r="J155" s="96" t="str">
        <f>IFERROR(IF(VLOOKUP(TableHandbook[[#This Row],[UDC]],TableAvailabilities[],5,FALSE)&gt;0,"Y",""),"")</f>
        <v/>
      </c>
      <c r="K155" s="209" t="s">
        <v>568</v>
      </c>
      <c r="L155" s="213" t="str">
        <f>IFERROR(VLOOKUP(TableHandbook[[#This Row],[UDC]],TableMCARTS[],7,FALSE),"")</f>
        <v/>
      </c>
      <c r="M155" s="211" t="str">
        <f>IFERROR(VLOOKUP(TableHandbook[[#This Row],[UDC]],TableMJRPCWRIT[],7,FALSE),"")</f>
        <v/>
      </c>
      <c r="N155" s="211" t="str">
        <f>IFERROR(VLOOKUP(TableHandbook[[#This Row],[UDC]],TableMJRPDGCMS[],7,FALSE),"")</f>
        <v/>
      </c>
      <c r="O155" s="211" t="str">
        <f>IFERROR(VLOOKUP(TableHandbook[[#This Row],[UDC]],TableMJRPFINAR[],7,FALSE),"")</f>
        <v/>
      </c>
      <c r="P155" s="211" t="str">
        <f>IFERROR(VLOOKUP(TableHandbook[[#This Row],[UDC]],TableMJRPPWRIT[],7,FALSE),"")</f>
        <v/>
      </c>
      <c r="Q155" s="211" t="str">
        <f>IFERROR(VLOOKUP(TableHandbook[[#This Row],[UDC]],TableMJRPSCRAR[],7,FALSE),"")</f>
        <v/>
      </c>
      <c r="R155" s="213" t="str">
        <f>IFERROR(VLOOKUP(TableHandbook[[#This Row],[UDC]],TableMCMMJRG[],7,FALSE),"")</f>
        <v/>
      </c>
      <c r="S155" s="211" t="str">
        <f>IFERROR(VLOOKUP(TableHandbook[[#This Row],[UDC]],TableMCMMJRN[],7,FALSE),"")</f>
        <v/>
      </c>
      <c r="T155" s="211" t="str">
        <f>IFERROR(VLOOKUP(TableHandbook[[#This Row],[UDC]],TableGDMMJRN[],7,FALSE),"")</f>
        <v/>
      </c>
      <c r="U155" s="211" t="str">
        <f>IFERROR(VLOOKUP(TableHandbook[[#This Row],[UDC]],TableGCMMJRN[],7,FALSE),"")</f>
        <v/>
      </c>
      <c r="V155" s="213" t="str">
        <f>IFERROR(VLOOKUP(TableHandbook[[#This Row],[UDC]],TableMCHRIGLO[],7,FALSE),"")</f>
        <v/>
      </c>
      <c r="W155" s="211" t="str">
        <f>IFERROR(VLOOKUP(TableHandbook[[#This Row],[UDC]],TableMCHRIGHT[],7,FALSE),"")</f>
        <v/>
      </c>
      <c r="X155" s="211" t="str">
        <f>IFERROR(VLOOKUP(TableHandbook[[#This Row],[UDC]],TableGDHRIGHT[],7,FALSE),"")</f>
        <v/>
      </c>
      <c r="Y155" s="211" t="str">
        <f>IFERROR(VLOOKUP(TableHandbook[[#This Row],[UDC]],TableGCHRIGHT[],7,FALSE),"")</f>
        <v/>
      </c>
      <c r="Z155" s="213" t="str">
        <f>IFERROR(VLOOKUP(TableHandbook[[#This Row],[UDC]],TableMCGLOBL2[],7,FALSE),"")</f>
        <v/>
      </c>
      <c r="AA155" s="211" t="str">
        <f>IFERROR(VLOOKUP(TableHandbook[[#This Row],[UDC]],TableMCGLOBL[],7,FALSE),"")</f>
        <v/>
      </c>
      <c r="AB155" s="211" t="str">
        <f>IFERROR(VLOOKUP(TableHandbook[[#This Row],[UDC]],TableSTRPGLOBL[],7,FALSE),"")</f>
        <v/>
      </c>
      <c r="AC155" s="211" t="str">
        <f>IFERROR(VLOOKUP(TableHandbook[[#This Row],[UDC]],TableSTRPHRIGT[],7,FALSE),"")</f>
        <v/>
      </c>
      <c r="AD155" s="211" t="str">
        <f>IFERROR(VLOOKUP(TableHandbook[[#This Row],[UDC]],TableSTRPINTRN[],7,FALSE),"")</f>
        <v/>
      </c>
      <c r="AE155" s="211" t="str">
        <f>IFERROR(VLOOKUP(TableHandbook[[#This Row],[UDC]],TableGCGLOBL[],7,FALSE),"")</f>
        <v/>
      </c>
      <c r="AF155" s="213" t="str">
        <f>IFERROR(VLOOKUP(TableHandbook[[#This Row],[UDC]],TableMCINTREL[],7,FALSE),"")</f>
        <v/>
      </c>
      <c r="AG155" s="211" t="str">
        <f>IFERROR(VLOOKUP(TableHandbook[[#This Row],[UDC]],TableMCINTSEC[],7,FALSE),"")</f>
        <v/>
      </c>
      <c r="AH155" s="211" t="str">
        <f>IFERROR(VLOOKUP(TableHandbook[[#This Row],[UDC]],TableGDINTSEC[],7,FALSE),"")</f>
        <v/>
      </c>
      <c r="AI155" s="211" t="str">
        <f>IFERROR(VLOOKUP(TableHandbook[[#This Row],[UDC]],TableGCINTSEC[],7,FALSE),"")</f>
        <v/>
      </c>
      <c r="AJ155" s="211" t="str">
        <f>IFERROR(VLOOKUP(TableHandbook[[#This Row],[UDC]],TableGCINTELL[],7,FALSE),"")</f>
        <v/>
      </c>
      <c r="AK155" s="211" t="str">
        <f>IFERROR(VLOOKUP(TableHandbook[[#This Row],[UDC]],TableGCIPCSEC[],7,FALSE),"")</f>
        <v/>
      </c>
    </row>
    <row r="156" spans="1:37" x14ac:dyDescent="0.3">
      <c r="A156" s="2" t="s">
        <v>66</v>
      </c>
      <c r="B156" s="3"/>
      <c r="C156" s="3"/>
      <c r="D156" s="209" t="s">
        <v>587</v>
      </c>
      <c r="E156" s="3">
        <v>25</v>
      </c>
      <c r="F156" s="149" t="s">
        <v>416</v>
      </c>
      <c r="G156" s="96" t="str">
        <f>IFERROR(IF(VLOOKUP(TableHandbook[[#This Row],[UDC]],TableAvailabilities[],2,FALSE)&gt;0,"Y",""),"")</f>
        <v/>
      </c>
      <c r="H156" s="96" t="str">
        <f>IFERROR(IF(VLOOKUP(TableHandbook[[#This Row],[UDC]],TableAvailabilities[],3,FALSE)&gt;0,"Y",""),"")</f>
        <v/>
      </c>
      <c r="I156" s="96" t="str">
        <f>IFERROR(IF(VLOOKUP(TableHandbook[[#This Row],[UDC]],TableAvailabilities[],4,FALSE)&gt;0,"Y",""),"")</f>
        <v/>
      </c>
      <c r="J156" s="96" t="str">
        <f>IFERROR(IF(VLOOKUP(TableHandbook[[#This Row],[UDC]],TableAvailabilities[],5,FALSE)&gt;0,"Y",""),"")</f>
        <v/>
      </c>
      <c r="K156" s="209"/>
      <c r="L156" s="213" t="str">
        <f>IFERROR(VLOOKUP(TableHandbook[[#This Row],[UDC]],TableMCARTS[],7,FALSE),"")</f>
        <v/>
      </c>
      <c r="M156" s="211" t="str">
        <f>IFERROR(VLOOKUP(TableHandbook[[#This Row],[UDC]],TableMJRPCWRIT[],7,FALSE),"")</f>
        <v/>
      </c>
      <c r="N156" s="211" t="str">
        <f>IFERROR(VLOOKUP(TableHandbook[[#This Row],[UDC]],TableMJRPDGCMS[],7,FALSE),"")</f>
        <v/>
      </c>
      <c r="O156" s="211" t="str">
        <f>IFERROR(VLOOKUP(TableHandbook[[#This Row],[UDC]],TableMJRPFINAR[],7,FALSE),"")</f>
        <v/>
      </c>
      <c r="P156" s="211" t="str">
        <f>IFERROR(VLOOKUP(TableHandbook[[#This Row],[UDC]],TableMJRPPWRIT[],7,FALSE),"")</f>
        <v>Option</v>
      </c>
      <c r="Q156" s="211" t="str">
        <f>IFERROR(VLOOKUP(TableHandbook[[#This Row],[UDC]],TableMJRPSCRAR[],7,FALSE),"")</f>
        <v/>
      </c>
      <c r="R156" s="213" t="str">
        <f>IFERROR(VLOOKUP(TableHandbook[[#This Row],[UDC]],TableMCMMJRG[],7,FALSE),"")</f>
        <v/>
      </c>
      <c r="S156" s="211" t="str">
        <f>IFERROR(VLOOKUP(TableHandbook[[#This Row],[UDC]],TableMCMMJRN[],7,FALSE),"")</f>
        <v/>
      </c>
      <c r="T156" s="211" t="str">
        <f>IFERROR(VLOOKUP(TableHandbook[[#This Row],[UDC]],TableGDMMJRN[],7,FALSE),"")</f>
        <v/>
      </c>
      <c r="U156" s="211" t="str">
        <f>IFERROR(VLOOKUP(TableHandbook[[#This Row],[UDC]],TableGCMMJRN[],7,FALSE),"")</f>
        <v/>
      </c>
      <c r="V156" s="213" t="str">
        <f>IFERROR(VLOOKUP(TableHandbook[[#This Row],[UDC]],TableMCHRIGLO[],7,FALSE),"")</f>
        <v/>
      </c>
      <c r="W156" s="211" t="str">
        <f>IFERROR(VLOOKUP(TableHandbook[[#This Row],[UDC]],TableMCHRIGHT[],7,FALSE),"")</f>
        <v/>
      </c>
      <c r="X156" s="211" t="str">
        <f>IFERROR(VLOOKUP(TableHandbook[[#This Row],[UDC]],TableGDHRIGHT[],7,FALSE),"")</f>
        <v/>
      </c>
      <c r="Y156" s="211" t="str">
        <f>IFERROR(VLOOKUP(TableHandbook[[#This Row],[UDC]],TableGCHRIGHT[],7,FALSE),"")</f>
        <v/>
      </c>
      <c r="Z156" s="213" t="str">
        <f>IFERROR(VLOOKUP(TableHandbook[[#This Row],[UDC]],TableMCGLOBL2[],7,FALSE),"")</f>
        <v/>
      </c>
      <c r="AA156" s="211" t="str">
        <f>IFERROR(VLOOKUP(TableHandbook[[#This Row],[UDC]],TableMCGLOBL[],7,FALSE),"")</f>
        <v/>
      </c>
      <c r="AB156" s="211" t="str">
        <f>IFERROR(VLOOKUP(TableHandbook[[#This Row],[UDC]],TableSTRPGLOBL[],7,FALSE),"")</f>
        <v/>
      </c>
      <c r="AC156" s="211" t="str">
        <f>IFERROR(VLOOKUP(TableHandbook[[#This Row],[UDC]],TableSTRPHRIGT[],7,FALSE),"")</f>
        <v/>
      </c>
      <c r="AD156" s="211" t="str">
        <f>IFERROR(VLOOKUP(TableHandbook[[#This Row],[UDC]],TableSTRPINTRN[],7,FALSE),"")</f>
        <v/>
      </c>
      <c r="AE156" s="211" t="str">
        <f>IFERROR(VLOOKUP(TableHandbook[[#This Row],[UDC]],TableGCGLOBL[],7,FALSE),"")</f>
        <v/>
      </c>
      <c r="AF156" s="213" t="str">
        <f>IFERROR(VLOOKUP(TableHandbook[[#This Row],[UDC]],TableMCINTREL[],7,FALSE),"")</f>
        <v/>
      </c>
      <c r="AG156" s="211" t="str">
        <f>IFERROR(VLOOKUP(TableHandbook[[#This Row],[UDC]],TableMCINTSEC[],7,FALSE),"")</f>
        <v/>
      </c>
      <c r="AH156" s="211" t="str">
        <f>IFERROR(VLOOKUP(TableHandbook[[#This Row],[UDC]],TableGDINTSEC[],7,FALSE),"")</f>
        <v/>
      </c>
      <c r="AI156" s="211" t="str">
        <f>IFERROR(VLOOKUP(TableHandbook[[#This Row],[UDC]],TableGCINTSEC[],7,FALSE),"")</f>
        <v/>
      </c>
      <c r="AJ156" s="211" t="str">
        <f>IFERROR(VLOOKUP(TableHandbook[[#This Row],[UDC]],TableGCINTELL[],7,FALSE),"")</f>
        <v/>
      </c>
      <c r="AK156" s="211" t="str">
        <f>IFERROR(VLOOKUP(TableHandbook[[#This Row],[UDC]],TableGCIPCSEC[],7,FALSE),"")</f>
        <v/>
      </c>
    </row>
    <row r="157" spans="1:37" x14ac:dyDescent="0.3">
      <c r="A157" s="2" t="s">
        <v>100</v>
      </c>
      <c r="B157" s="3"/>
      <c r="C157" s="3"/>
      <c r="D157" s="209" t="s">
        <v>588</v>
      </c>
      <c r="E157" s="3">
        <v>25</v>
      </c>
      <c r="F157" s="149" t="s">
        <v>416</v>
      </c>
      <c r="G157" s="96" t="str">
        <f>IFERROR(IF(VLOOKUP(TableHandbook[[#This Row],[UDC]],TableAvailabilities[],2,FALSE)&gt;0,"Y",""),"")</f>
        <v/>
      </c>
      <c r="H157" s="96" t="str">
        <f>IFERROR(IF(VLOOKUP(TableHandbook[[#This Row],[UDC]],TableAvailabilities[],3,FALSE)&gt;0,"Y",""),"")</f>
        <v/>
      </c>
      <c r="I157" s="96" t="str">
        <f>IFERROR(IF(VLOOKUP(TableHandbook[[#This Row],[UDC]],TableAvailabilities[],4,FALSE)&gt;0,"Y",""),"")</f>
        <v/>
      </c>
      <c r="J157" s="96" t="str">
        <f>IFERROR(IF(VLOOKUP(TableHandbook[[#This Row],[UDC]],TableAvailabilities[],5,FALSE)&gt;0,"Y",""),"")</f>
        <v/>
      </c>
      <c r="K157" s="209"/>
      <c r="L157" s="213" t="str">
        <f>IFERROR(VLOOKUP(TableHandbook[[#This Row],[UDC]],TableMCARTS[],7,FALSE),"")</f>
        <v/>
      </c>
      <c r="M157" s="211" t="str">
        <f>IFERROR(VLOOKUP(TableHandbook[[#This Row],[UDC]],TableMJRPCWRIT[],7,FALSE),"")</f>
        <v/>
      </c>
      <c r="N157" s="211" t="str">
        <f>IFERROR(VLOOKUP(TableHandbook[[#This Row],[UDC]],TableMJRPDGCMS[],7,FALSE),"")</f>
        <v/>
      </c>
      <c r="O157" s="211" t="str">
        <f>IFERROR(VLOOKUP(TableHandbook[[#This Row],[UDC]],TableMJRPFINAR[],7,FALSE),"")</f>
        <v/>
      </c>
      <c r="P157" s="211" t="str">
        <f>IFERROR(VLOOKUP(TableHandbook[[#This Row],[UDC]],TableMJRPPWRIT[],7,FALSE),"")</f>
        <v>Option</v>
      </c>
      <c r="Q157" s="211" t="str">
        <f>IFERROR(VLOOKUP(TableHandbook[[#This Row],[UDC]],TableMJRPSCRAR[],7,FALSE),"")</f>
        <v/>
      </c>
      <c r="R157" s="213" t="str">
        <f>IFERROR(VLOOKUP(TableHandbook[[#This Row],[UDC]],TableMCMMJRG[],7,FALSE),"")</f>
        <v/>
      </c>
      <c r="S157" s="211" t="str">
        <f>IFERROR(VLOOKUP(TableHandbook[[#This Row],[UDC]],TableMCMMJRN[],7,FALSE),"")</f>
        <v/>
      </c>
      <c r="T157" s="211" t="str">
        <f>IFERROR(VLOOKUP(TableHandbook[[#This Row],[UDC]],TableGDMMJRN[],7,FALSE),"")</f>
        <v/>
      </c>
      <c r="U157" s="211" t="str">
        <f>IFERROR(VLOOKUP(TableHandbook[[#This Row],[UDC]],TableGCMMJRN[],7,FALSE),"")</f>
        <v/>
      </c>
      <c r="V157" s="213" t="str">
        <f>IFERROR(VLOOKUP(TableHandbook[[#This Row],[UDC]],TableMCHRIGLO[],7,FALSE),"")</f>
        <v/>
      </c>
      <c r="W157" s="211" t="str">
        <f>IFERROR(VLOOKUP(TableHandbook[[#This Row],[UDC]],TableMCHRIGHT[],7,FALSE),"")</f>
        <v/>
      </c>
      <c r="X157" s="211" t="str">
        <f>IFERROR(VLOOKUP(TableHandbook[[#This Row],[UDC]],TableGDHRIGHT[],7,FALSE),"")</f>
        <v/>
      </c>
      <c r="Y157" s="211" t="str">
        <f>IFERROR(VLOOKUP(TableHandbook[[#This Row],[UDC]],TableGCHRIGHT[],7,FALSE),"")</f>
        <v/>
      </c>
      <c r="Z157" s="213" t="str">
        <f>IFERROR(VLOOKUP(TableHandbook[[#This Row],[UDC]],TableMCGLOBL2[],7,FALSE),"")</f>
        <v/>
      </c>
      <c r="AA157" s="211" t="str">
        <f>IFERROR(VLOOKUP(TableHandbook[[#This Row],[UDC]],TableMCGLOBL[],7,FALSE),"")</f>
        <v/>
      </c>
      <c r="AB157" s="211" t="str">
        <f>IFERROR(VLOOKUP(TableHandbook[[#This Row],[UDC]],TableSTRPGLOBL[],7,FALSE),"")</f>
        <v/>
      </c>
      <c r="AC157" s="211" t="str">
        <f>IFERROR(VLOOKUP(TableHandbook[[#This Row],[UDC]],TableSTRPHRIGT[],7,FALSE),"")</f>
        <v/>
      </c>
      <c r="AD157" s="211" t="str">
        <f>IFERROR(VLOOKUP(TableHandbook[[#This Row],[UDC]],TableSTRPINTRN[],7,FALSE),"")</f>
        <v/>
      </c>
      <c r="AE157" s="211" t="str">
        <f>IFERROR(VLOOKUP(TableHandbook[[#This Row],[UDC]],TableGCGLOBL[],7,FALSE),"")</f>
        <v/>
      </c>
      <c r="AF157" s="213" t="str">
        <f>IFERROR(VLOOKUP(TableHandbook[[#This Row],[UDC]],TableMCINTREL[],7,FALSE),"")</f>
        <v/>
      </c>
      <c r="AG157" s="211" t="str">
        <f>IFERROR(VLOOKUP(TableHandbook[[#This Row],[UDC]],TableMCINTSEC[],7,FALSE),"")</f>
        <v/>
      </c>
      <c r="AH157" s="211" t="str">
        <f>IFERROR(VLOOKUP(TableHandbook[[#This Row],[UDC]],TableGDINTSEC[],7,FALSE),"")</f>
        <v/>
      </c>
      <c r="AI157" s="211" t="str">
        <f>IFERROR(VLOOKUP(TableHandbook[[#This Row],[UDC]],TableGCINTSEC[],7,FALSE),"")</f>
        <v/>
      </c>
      <c r="AJ157" s="211" t="str">
        <f>IFERROR(VLOOKUP(TableHandbook[[#This Row],[UDC]],TableGCINTELL[],7,FALSE),"")</f>
        <v/>
      </c>
      <c r="AK157" s="211" t="str">
        <f>IFERROR(VLOOKUP(TableHandbook[[#This Row],[UDC]],TableGCIPCSEC[],7,FALSE),"")</f>
        <v/>
      </c>
    </row>
    <row r="158" spans="1:37" x14ac:dyDescent="0.3">
      <c r="A158" s="2" t="s">
        <v>102</v>
      </c>
      <c r="B158" s="3"/>
      <c r="C158" s="3"/>
      <c r="D158" s="209" t="s">
        <v>589</v>
      </c>
      <c r="E158" s="3">
        <v>25</v>
      </c>
      <c r="F158" s="149" t="s">
        <v>416</v>
      </c>
      <c r="G158" s="96" t="str">
        <f>IFERROR(IF(VLOOKUP(TableHandbook[[#This Row],[UDC]],TableAvailabilities[],2,FALSE)&gt;0,"Y",""),"")</f>
        <v/>
      </c>
      <c r="H158" s="96" t="str">
        <f>IFERROR(IF(VLOOKUP(TableHandbook[[#This Row],[UDC]],TableAvailabilities[],3,FALSE)&gt;0,"Y",""),"")</f>
        <v/>
      </c>
      <c r="I158" s="96" t="str">
        <f>IFERROR(IF(VLOOKUP(TableHandbook[[#This Row],[UDC]],TableAvailabilities[],4,FALSE)&gt;0,"Y",""),"")</f>
        <v/>
      </c>
      <c r="J158" s="96" t="str">
        <f>IFERROR(IF(VLOOKUP(TableHandbook[[#This Row],[UDC]],TableAvailabilities[],5,FALSE)&gt;0,"Y",""),"")</f>
        <v/>
      </c>
      <c r="K158" s="209"/>
      <c r="L158" s="213" t="str">
        <f>IFERROR(VLOOKUP(TableHandbook[[#This Row],[UDC]],TableMCARTS[],7,FALSE),"")</f>
        <v/>
      </c>
      <c r="M158" s="211" t="str">
        <f>IFERROR(VLOOKUP(TableHandbook[[#This Row],[UDC]],TableMJRPCWRIT[],7,FALSE),"")</f>
        <v/>
      </c>
      <c r="N158" s="211" t="str">
        <f>IFERROR(VLOOKUP(TableHandbook[[#This Row],[UDC]],TableMJRPDGCMS[],7,FALSE),"")</f>
        <v/>
      </c>
      <c r="O158" s="211" t="str">
        <f>IFERROR(VLOOKUP(TableHandbook[[#This Row],[UDC]],TableMJRPFINAR[],7,FALSE),"")</f>
        <v/>
      </c>
      <c r="P158" s="211" t="str">
        <f>IFERROR(VLOOKUP(TableHandbook[[#This Row],[UDC]],TableMJRPPWRIT[],7,FALSE),"")</f>
        <v/>
      </c>
      <c r="Q158" s="211" t="str">
        <f>IFERROR(VLOOKUP(TableHandbook[[#This Row],[UDC]],TableMJRPSCRAR[],7,FALSE),"")</f>
        <v>Option</v>
      </c>
      <c r="R158" s="213" t="str">
        <f>IFERROR(VLOOKUP(TableHandbook[[#This Row],[UDC]],TableMCMMJRG[],7,FALSE),"")</f>
        <v/>
      </c>
      <c r="S158" s="211" t="str">
        <f>IFERROR(VLOOKUP(TableHandbook[[#This Row],[UDC]],TableMCMMJRN[],7,FALSE),"")</f>
        <v/>
      </c>
      <c r="T158" s="211" t="str">
        <f>IFERROR(VLOOKUP(TableHandbook[[#This Row],[UDC]],TableGDMMJRN[],7,FALSE),"")</f>
        <v/>
      </c>
      <c r="U158" s="211" t="str">
        <f>IFERROR(VLOOKUP(TableHandbook[[#This Row],[UDC]],TableGCMMJRN[],7,FALSE),"")</f>
        <v/>
      </c>
      <c r="V158" s="213" t="str">
        <f>IFERROR(VLOOKUP(TableHandbook[[#This Row],[UDC]],TableMCHRIGLO[],7,FALSE),"")</f>
        <v/>
      </c>
      <c r="W158" s="211" t="str">
        <f>IFERROR(VLOOKUP(TableHandbook[[#This Row],[UDC]],TableMCHRIGHT[],7,FALSE),"")</f>
        <v/>
      </c>
      <c r="X158" s="211" t="str">
        <f>IFERROR(VLOOKUP(TableHandbook[[#This Row],[UDC]],TableGDHRIGHT[],7,FALSE),"")</f>
        <v/>
      </c>
      <c r="Y158" s="211" t="str">
        <f>IFERROR(VLOOKUP(TableHandbook[[#This Row],[UDC]],TableGCHRIGHT[],7,FALSE),"")</f>
        <v/>
      </c>
      <c r="Z158" s="213" t="str">
        <f>IFERROR(VLOOKUP(TableHandbook[[#This Row],[UDC]],TableMCGLOBL2[],7,FALSE),"")</f>
        <v/>
      </c>
      <c r="AA158" s="211" t="str">
        <f>IFERROR(VLOOKUP(TableHandbook[[#This Row],[UDC]],TableMCGLOBL[],7,FALSE),"")</f>
        <v/>
      </c>
      <c r="AB158" s="211" t="str">
        <f>IFERROR(VLOOKUP(TableHandbook[[#This Row],[UDC]],TableSTRPGLOBL[],7,FALSE),"")</f>
        <v/>
      </c>
      <c r="AC158" s="211" t="str">
        <f>IFERROR(VLOOKUP(TableHandbook[[#This Row],[UDC]],TableSTRPHRIGT[],7,FALSE),"")</f>
        <v/>
      </c>
      <c r="AD158" s="211" t="str">
        <f>IFERROR(VLOOKUP(TableHandbook[[#This Row],[UDC]],TableSTRPINTRN[],7,FALSE),"")</f>
        <v/>
      </c>
      <c r="AE158" s="211" t="str">
        <f>IFERROR(VLOOKUP(TableHandbook[[#This Row],[UDC]],TableGCGLOBL[],7,FALSE),"")</f>
        <v/>
      </c>
      <c r="AF158" s="213" t="str">
        <f>IFERROR(VLOOKUP(TableHandbook[[#This Row],[UDC]],TableMCINTREL[],7,FALSE),"")</f>
        <v/>
      </c>
      <c r="AG158" s="211" t="str">
        <f>IFERROR(VLOOKUP(TableHandbook[[#This Row],[UDC]],TableMCINTSEC[],7,FALSE),"")</f>
        <v/>
      </c>
      <c r="AH158" s="211" t="str">
        <f>IFERROR(VLOOKUP(TableHandbook[[#This Row],[UDC]],TableGDINTSEC[],7,FALSE),"")</f>
        <v/>
      </c>
      <c r="AI158" s="211" t="str">
        <f>IFERROR(VLOOKUP(TableHandbook[[#This Row],[UDC]],TableGCINTSEC[],7,FALSE),"")</f>
        <v/>
      </c>
      <c r="AJ158" s="211" t="str">
        <f>IFERROR(VLOOKUP(TableHandbook[[#This Row],[UDC]],TableGCINTELL[],7,FALSE),"")</f>
        <v/>
      </c>
      <c r="AK158" s="211" t="str">
        <f>IFERROR(VLOOKUP(TableHandbook[[#This Row],[UDC]],TableGCIPCSEC[],7,FALSE),"")</f>
        <v/>
      </c>
    </row>
    <row r="159" spans="1:37" x14ac:dyDescent="0.3">
      <c r="A159" s="231" t="s">
        <v>322</v>
      </c>
      <c r="B159" s="3">
        <v>3</v>
      </c>
      <c r="C159" s="3"/>
      <c r="D159" s="209" t="s">
        <v>590</v>
      </c>
      <c r="E159" s="3">
        <v>25</v>
      </c>
      <c r="F159" s="245" t="s">
        <v>108</v>
      </c>
      <c r="G159" s="96" t="str">
        <f>IFERROR(IF(VLOOKUP(TableHandbook[[#This Row],[UDC]],TableAvailabilities[],2,FALSE)&gt;0,"Y",""),"")</f>
        <v>Y</v>
      </c>
      <c r="H159" s="96" t="str">
        <f>IFERROR(IF(VLOOKUP(TableHandbook[[#This Row],[UDC]],TableAvailabilities[],3,FALSE)&gt;0,"Y",""),"")</f>
        <v>Y</v>
      </c>
      <c r="I159" s="96" t="str">
        <f>IFERROR(IF(VLOOKUP(TableHandbook[[#This Row],[UDC]],TableAvailabilities[],4,FALSE)&gt;0,"Y",""),"")</f>
        <v/>
      </c>
      <c r="J159" s="96" t="str">
        <f>IFERROR(IF(VLOOKUP(TableHandbook[[#This Row],[UDC]],TableAvailabilities[],5,FALSE)&gt;0,"Y",""),"")</f>
        <v/>
      </c>
      <c r="K159" s="209" t="s">
        <v>433</v>
      </c>
      <c r="L159" s="213" t="str">
        <f>IFERROR(VLOOKUP(TableHandbook[[#This Row],[UDC]],TableMCARTS[],7,FALSE),"")</f>
        <v/>
      </c>
      <c r="M159" s="211" t="str">
        <f>IFERROR(VLOOKUP(TableHandbook[[#This Row],[UDC]],TableMJRPCWRIT[],7,FALSE),"")</f>
        <v/>
      </c>
      <c r="N159" s="211" t="str">
        <f>IFERROR(VLOOKUP(TableHandbook[[#This Row],[UDC]],TableMJRPDGCMS[],7,FALSE),"")</f>
        <v/>
      </c>
      <c r="O159" s="211" t="str">
        <f>IFERROR(VLOOKUP(TableHandbook[[#This Row],[UDC]],TableMJRPFINAR[],7,FALSE),"")</f>
        <v/>
      </c>
      <c r="P159" s="211" t="str">
        <f>IFERROR(VLOOKUP(TableHandbook[[#This Row],[UDC]],TableMJRPPWRIT[],7,FALSE),"")</f>
        <v/>
      </c>
      <c r="Q159" s="211" t="str">
        <f>IFERROR(VLOOKUP(TableHandbook[[#This Row],[UDC]],TableMJRPSCRAR[],7,FALSE),"")</f>
        <v/>
      </c>
      <c r="R159" s="213" t="str">
        <f>IFERROR(VLOOKUP(TableHandbook[[#This Row],[UDC]],TableMCMMJRG[],7,FALSE),"")</f>
        <v>Option</v>
      </c>
      <c r="S159" s="211" t="str">
        <f>IFERROR(VLOOKUP(TableHandbook[[#This Row],[UDC]],TableMCMMJRN[],7,FALSE),"")</f>
        <v/>
      </c>
      <c r="T159" s="211" t="str">
        <f>IFERROR(VLOOKUP(TableHandbook[[#This Row],[UDC]],TableGDMMJRN[],7,FALSE),"")</f>
        <v/>
      </c>
      <c r="U159" s="211" t="str">
        <f>IFERROR(VLOOKUP(TableHandbook[[#This Row],[UDC]],TableGCMMJRN[],7,FALSE),"")</f>
        <v/>
      </c>
      <c r="V159" s="213" t="str">
        <f>IFERROR(VLOOKUP(TableHandbook[[#This Row],[UDC]],TableMCHRIGLO[],7,FALSE),"")</f>
        <v/>
      </c>
      <c r="W159" s="211" t="str">
        <f>IFERROR(VLOOKUP(TableHandbook[[#This Row],[UDC]],TableMCHRIGHT[],7,FALSE),"")</f>
        <v/>
      </c>
      <c r="X159" s="211" t="str">
        <f>IFERROR(VLOOKUP(TableHandbook[[#This Row],[UDC]],TableGDHRIGHT[],7,FALSE),"")</f>
        <v/>
      </c>
      <c r="Y159" s="211" t="str">
        <f>IFERROR(VLOOKUP(TableHandbook[[#This Row],[UDC]],TableGCHRIGHT[],7,FALSE),"")</f>
        <v/>
      </c>
      <c r="Z159" s="213" t="str">
        <f>IFERROR(VLOOKUP(TableHandbook[[#This Row],[UDC]],TableMCGLOBL2[],7,FALSE),"")</f>
        <v/>
      </c>
      <c r="AA159" s="211" t="str">
        <f>IFERROR(VLOOKUP(TableHandbook[[#This Row],[UDC]],TableMCGLOBL[],7,FALSE),"")</f>
        <v/>
      </c>
      <c r="AB159" s="211" t="str">
        <f>IFERROR(VLOOKUP(TableHandbook[[#This Row],[UDC]],TableSTRPGLOBL[],7,FALSE),"")</f>
        <v/>
      </c>
      <c r="AC159" s="211" t="str">
        <f>IFERROR(VLOOKUP(TableHandbook[[#This Row],[UDC]],TableSTRPHRIGT[],7,FALSE),"")</f>
        <v/>
      </c>
      <c r="AD159" s="211" t="str">
        <f>IFERROR(VLOOKUP(TableHandbook[[#This Row],[UDC]],TableSTRPINTRN[],7,FALSE),"")</f>
        <v>AltCore</v>
      </c>
      <c r="AE159" s="211" t="str">
        <f>IFERROR(VLOOKUP(TableHandbook[[#This Row],[UDC]],TableGCGLOBL[],7,FALSE),"")</f>
        <v/>
      </c>
      <c r="AF159" s="213" t="str">
        <f>IFERROR(VLOOKUP(TableHandbook[[#This Row],[UDC]],TableMCINTREL[],7,FALSE),"")</f>
        <v>Core</v>
      </c>
      <c r="AG159" s="211" t="str">
        <f>IFERROR(VLOOKUP(TableHandbook[[#This Row],[UDC]],TableMCINTSEC[],7,FALSE),"")</f>
        <v>Core</v>
      </c>
      <c r="AH159" s="211" t="str">
        <f>IFERROR(VLOOKUP(TableHandbook[[#This Row],[UDC]],TableGDINTSEC[],7,FALSE),"")</f>
        <v>AltCore</v>
      </c>
      <c r="AI159" s="211" t="str">
        <f>IFERROR(VLOOKUP(TableHandbook[[#This Row],[UDC]],TableGCINTSEC[],7,FALSE),"")</f>
        <v>AltCore</v>
      </c>
      <c r="AJ159" s="211" t="str">
        <f>IFERROR(VLOOKUP(TableHandbook[[#This Row],[UDC]],TableGCINTELL[],7,FALSE),"")</f>
        <v>Core</v>
      </c>
      <c r="AK159" s="211" t="str">
        <f>IFERROR(VLOOKUP(TableHandbook[[#This Row],[UDC]],TableGCIPCSEC[],7,FALSE),"")</f>
        <v>Core</v>
      </c>
    </row>
    <row r="160" spans="1:37" x14ac:dyDescent="0.3">
      <c r="A160" s="2" t="s">
        <v>591</v>
      </c>
      <c r="B160" s="3">
        <v>2</v>
      </c>
      <c r="C160" s="3"/>
      <c r="D160" s="209" t="s">
        <v>592</v>
      </c>
      <c r="E160" s="3">
        <v>25</v>
      </c>
      <c r="F160" s="149" t="s">
        <v>108</v>
      </c>
      <c r="G160" s="96" t="str">
        <f>IFERROR(IF(VLOOKUP(TableHandbook[[#This Row],[UDC]],TableAvailabilities[],2,FALSE)&gt;0,"Y",""),"")</f>
        <v/>
      </c>
      <c r="H160" s="96" t="str">
        <f>IFERROR(IF(VLOOKUP(TableHandbook[[#This Row],[UDC]],TableAvailabilities[],3,FALSE)&gt;0,"Y",""),"")</f>
        <v/>
      </c>
      <c r="I160" s="96" t="str">
        <f>IFERROR(IF(VLOOKUP(TableHandbook[[#This Row],[UDC]],TableAvailabilities[],4,FALSE)&gt;0,"Y",""),"")</f>
        <v/>
      </c>
      <c r="J160" s="96" t="str">
        <f>IFERROR(IF(VLOOKUP(TableHandbook[[#This Row],[UDC]],TableAvailabilities[],5,FALSE)&gt;0,"Y",""),"")</f>
        <v/>
      </c>
      <c r="K160" s="209" t="s">
        <v>436</v>
      </c>
      <c r="L160" s="213" t="str">
        <f>IFERROR(VLOOKUP(TableHandbook[[#This Row],[UDC]],TableMCARTS[],7,FALSE),"")</f>
        <v/>
      </c>
      <c r="M160" s="211" t="str">
        <f>IFERROR(VLOOKUP(TableHandbook[[#This Row],[UDC]],TableMJRPCWRIT[],7,FALSE),"")</f>
        <v/>
      </c>
      <c r="N160" s="211" t="str">
        <f>IFERROR(VLOOKUP(TableHandbook[[#This Row],[UDC]],TableMJRPDGCMS[],7,FALSE),"")</f>
        <v/>
      </c>
      <c r="O160" s="211" t="str">
        <f>IFERROR(VLOOKUP(TableHandbook[[#This Row],[UDC]],TableMJRPFINAR[],7,FALSE),"")</f>
        <v/>
      </c>
      <c r="P160" s="211" t="str">
        <f>IFERROR(VLOOKUP(TableHandbook[[#This Row],[UDC]],TableMJRPPWRIT[],7,FALSE),"")</f>
        <v/>
      </c>
      <c r="Q160" s="211" t="str">
        <f>IFERROR(VLOOKUP(TableHandbook[[#This Row],[UDC]],TableMJRPSCRAR[],7,FALSE),"")</f>
        <v/>
      </c>
      <c r="R160" s="213" t="str">
        <f>IFERROR(VLOOKUP(TableHandbook[[#This Row],[UDC]],TableMCMMJRG[],7,FALSE),"")</f>
        <v/>
      </c>
      <c r="S160" s="211" t="str">
        <f>IFERROR(VLOOKUP(TableHandbook[[#This Row],[UDC]],TableMCMMJRN[],7,FALSE),"")</f>
        <v/>
      </c>
      <c r="T160" s="211" t="str">
        <f>IFERROR(VLOOKUP(TableHandbook[[#This Row],[UDC]],TableGDMMJRN[],7,FALSE),"")</f>
        <v/>
      </c>
      <c r="U160" s="211" t="str">
        <f>IFERROR(VLOOKUP(TableHandbook[[#This Row],[UDC]],TableGCMMJRN[],7,FALSE),"")</f>
        <v/>
      </c>
      <c r="V160" s="213" t="str">
        <f>IFERROR(VLOOKUP(TableHandbook[[#This Row],[UDC]],TableMCHRIGLO[],7,FALSE),"")</f>
        <v/>
      </c>
      <c r="W160" s="211" t="str">
        <f>IFERROR(VLOOKUP(TableHandbook[[#This Row],[UDC]],TableMCHRIGHT[],7,FALSE),"")</f>
        <v/>
      </c>
      <c r="X160" s="211" t="str">
        <f>IFERROR(VLOOKUP(TableHandbook[[#This Row],[UDC]],TableGDHRIGHT[],7,FALSE),"")</f>
        <v/>
      </c>
      <c r="Y160" s="211" t="str">
        <f>IFERROR(VLOOKUP(TableHandbook[[#This Row],[UDC]],TableGCHRIGHT[],7,FALSE),"")</f>
        <v/>
      </c>
      <c r="Z160" s="213" t="str">
        <f>IFERROR(VLOOKUP(TableHandbook[[#This Row],[UDC]],TableMCGLOBL2[],7,FALSE),"")</f>
        <v/>
      </c>
      <c r="AA160" s="211" t="str">
        <f>IFERROR(VLOOKUP(TableHandbook[[#This Row],[UDC]],TableMCGLOBL[],7,FALSE),"")</f>
        <v/>
      </c>
      <c r="AB160" s="211" t="str">
        <f>IFERROR(VLOOKUP(TableHandbook[[#This Row],[UDC]],TableSTRPGLOBL[],7,FALSE),"")</f>
        <v/>
      </c>
      <c r="AC160" s="211" t="str">
        <f>IFERROR(VLOOKUP(TableHandbook[[#This Row],[UDC]],TableSTRPHRIGT[],7,FALSE),"")</f>
        <v/>
      </c>
      <c r="AD160" s="211" t="str">
        <f>IFERROR(VLOOKUP(TableHandbook[[#This Row],[UDC]],TableSTRPINTRN[],7,FALSE),"")</f>
        <v/>
      </c>
      <c r="AE160" s="211" t="str">
        <f>IFERROR(VLOOKUP(TableHandbook[[#This Row],[UDC]],TableGCGLOBL[],7,FALSE),"")</f>
        <v/>
      </c>
      <c r="AF160" s="213" t="str">
        <f>IFERROR(VLOOKUP(TableHandbook[[#This Row],[UDC]],TableMCINTREL[],7,FALSE),"")</f>
        <v/>
      </c>
      <c r="AG160" s="211" t="str">
        <f>IFERROR(VLOOKUP(TableHandbook[[#This Row],[UDC]],TableMCINTSEC[],7,FALSE),"")</f>
        <v/>
      </c>
      <c r="AH160" s="211" t="str">
        <f>IFERROR(VLOOKUP(TableHandbook[[#This Row],[UDC]],TableGDINTSEC[],7,FALSE),"")</f>
        <v/>
      </c>
      <c r="AI160" s="211" t="str">
        <f>IFERROR(VLOOKUP(TableHandbook[[#This Row],[UDC]],TableGCINTSEC[],7,FALSE),"")</f>
        <v/>
      </c>
      <c r="AJ160" s="211" t="str">
        <f>IFERROR(VLOOKUP(TableHandbook[[#This Row],[UDC]],TableGCINTELL[],7,FALSE),"")</f>
        <v/>
      </c>
      <c r="AK160" s="211" t="str">
        <f>IFERROR(VLOOKUP(TableHandbook[[#This Row],[UDC]],TableGCIPCSEC[],7,FALSE),"")</f>
        <v/>
      </c>
    </row>
    <row r="161" spans="1:37" x14ac:dyDescent="0.3">
      <c r="A161" s="231" t="s">
        <v>351</v>
      </c>
      <c r="B161" s="3">
        <v>2</v>
      </c>
      <c r="C161" s="3"/>
      <c r="D161" s="209" t="s">
        <v>593</v>
      </c>
      <c r="E161" s="3">
        <v>25</v>
      </c>
      <c r="F161" s="245" t="s">
        <v>108</v>
      </c>
      <c r="G161" s="96" t="str">
        <f>IFERROR(IF(VLOOKUP(TableHandbook[[#This Row],[UDC]],TableAvailabilities[],2,FALSE)&gt;0,"Y",""),"")</f>
        <v>Y</v>
      </c>
      <c r="H161" s="96" t="str">
        <f>IFERROR(IF(VLOOKUP(TableHandbook[[#This Row],[UDC]],TableAvailabilities[],3,FALSE)&gt;0,"Y",""),"")</f>
        <v>Y</v>
      </c>
      <c r="I161" s="96" t="str">
        <f>IFERROR(IF(VLOOKUP(TableHandbook[[#This Row],[UDC]],TableAvailabilities[],4,FALSE)&gt;0,"Y",""),"")</f>
        <v/>
      </c>
      <c r="J161" s="96" t="str">
        <f>IFERROR(IF(VLOOKUP(TableHandbook[[#This Row],[UDC]],TableAvailabilities[],5,FALSE)&gt;0,"Y",""),"")</f>
        <v/>
      </c>
      <c r="K161" s="209" t="s">
        <v>433</v>
      </c>
      <c r="L161" s="213" t="str">
        <f>IFERROR(VLOOKUP(TableHandbook[[#This Row],[UDC]],TableMCARTS[],7,FALSE),"")</f>
        <v/>
      </c>
      <c r="M161" s="211" t="str">
        <f>IFERROR(VLOOKUP(TableHandbook[[#This Row],[UDC]],TableMJRPCWRIT[],7,FALSE),"")</f>
        <v/>
      </c>
      <c r="N161" s="211" t="str">
        <f>IFERROR(VLOOKUP(TableHandbook[[#This Row],[UDC]],TableMJRPDGCMS[],7,FALSE),"")</f>
        <v/>
      </c>
      <c r="O161" s="211" t="str">
        <f>IFERROR(VLOOKUP(TableHandbook[[#This Row],[UDC]],TableMJRPFINAR[],7,FALSE),"")</f>
        <v/>
      </c>
      <c r="P161" s="211" t="str">
        <f>IFERROR(VLOOKUP(TableHandbook[[#This Row],[UDC]],TableMJRPPWRIT[],7,FALSE),"")</f>
        <v/>
      </c>
      <c r="Q161" s="211" t="str">
        <f>IFERROR(VLOOKUP(TableHandbook[[#This Row],[UDC]],TableMJRPSCRAR[],7,FALSE),"")</f>
        <v/>
      </c>
      <c r="R161" s="213" t="str">
        <f>IFERROR(VLOOKUP(TableHandbook[[#This Row],[UDC]],TableMCMMJRG[],7,FALSE),"")</f>
        <v/>
      </c>
      <c r="S161" s="211" t="str">
        <f>IFERROR(VLOOKUP(TableHandbook[[#This Row],[UDC]],TableMCMMJRN[],7,FALSE),"")</f>
        <v/>
      </c>
      <c r="T161" s="211" t="str">
        <f>IFERROR(VLOOKUP(TableHandbook[[#This Row],[UDC]],TableGDMMJRN[],7,FALSE),"")</f>
        <v/>
      </c>
      <c r="U161" s="211" t="str">
        <f>IFERROR(VLOOKUP(TableHandbook[[#This Row],[UDC]],TableGCMMJRN[],7,FALSE),"")</f>
        <v/>
      </c>
      <c r="V161" s="213" t="str">
        <f>IFERROR(VLOOKUP(TableHandbook[[#This Row],[UDC]],TableMCHRIGLO[],7,FALSE),"")</f>
        <v/>
      </c>
      <c r="W161" s="211" t="str">
        <f>IFERROR(VLOOKUP(TableHandbook[[#This Row],[UDC]],TableMCHRIGHT[],7,FALSE),"")</f>
        <v/>
      </c>
      <c r="X161" s="211" t="str">
        <f>IFERROR(VLOOKUP(TableHandbook[[#This Row],[UDC]],TableGDHRIGHT[],7,FALSE),"")</f>
        <v/>
      </c>
      <c r="Y161" s="211" t="str">
        <f>IFERROR(VLOOKUP(TableHandbook[[#This Row],[UDC]],TableGCHRIGHT[],7,FALSE),"")</f>
        <v/>
      </c>
      <c r="Z161" s="213" t="str">
        <f>IFERROR(VLOOKUP(TableHandbook[[#This Row],[UDC]],TableMCGLOBL2[],7,FALSE),"")</f>
        <v/>
      </c>
      <c r="AA161" s="211" t="str">
        <f>IFERROR(VLOOKUP(TableHandbook[[#This Row],[UDC]],TableMCGLOBL[],7,FALSE),"")</f>
        <v/>
      </c>
      <c r="AB161" s="211" t="str">
        <f>IFERROR(VLOOKUP(TableHandbook[[#This Row],[UDC]],TableSTRPGLOBL[],7,FALSE),"")</f>
        <v/>
      </c>
      <c r="AC161" s="211" t="str">
        <f>IFERROR(VLOOKUP(TableHandbook[[#This Row],[UDC]],TableSTRPHRIGT[],7,FALSE),"")</f>
        <v/>
      </c>
      <c r="AD161" s="211" t="str">
        <f>IFERROR(VLOOKUP(TableHandbook[[#This Row],[UDC]],TableSTRPINTRN[],7,FALSE),"")</f>
        <v>Option</v>
      </c>
      <c r="AE161" s="211" t="str">
        <f>IFERROR(VLOOKUP(TableHandbook[[#This Row],[UDC]],TableGCGLOBL[],7,FALSE),"")</f>
        <v/>
      </c>
      <c r="AF161" s="213" t="str">
        <f>IFERROR(VLOOKUP(TableHandbook[[#This Row],[UDC]],TableMCINTREL[],7,FALSE),"")</f>
        <v>Option</v>
      </c>
      <c r="AG161" s="211" t="str">
        <f>IFERROR(VLOOKUP(TableHandbook[[#This Row],[UDC]],TableMCINTSEC[],7,FALSE),"")</f>
        <v>Option</v>
      </c>
      <c r="AH161" s="211" t="str">
        <f>IFERROR(VLOOKUP(TableHandbook[[#This Row],[UDC]],TableGDINTSEC[],7,FALSE),"")</f>
        <v>Option</v>
      </c>
      <c r="AI161" s="211" t="str">
        <f>IFERROR(VLOOKUP(TableHandbook[[#This Row],[UDC]],TableGCINTSEC[],7,FALSE),"")</f>
        <v>Option</v>
      </c>
      <c r="AJ161" s="211" t="str">
        <f>IFERROR(VLOOKUP(TableHandbook[[#This Row],[UDC]],TableGCINTELL[],7,FALSE),"")</f>
        <v/>
      </c>
      <c r="AK161" s="211" t="str">
        <f>IFERROR(VLOOKUP(TableHandbook[[#This Row],[UDC]],TableGCIPCSEC[],7,FALSE),"")</f>
        <v>Core</v>
      </c>
    </row>
    <row r="162" spans="1:37" x14ac:dyDescent="0.3">
      <c r="A162" s="2" t="s">
        <v>594</v>
      </c>
      <c r="B162" s="3">
        <v>1</v>
      </c>
      <c r="C162" s="3"/>
      <c r="D162" s="209" t="s">
        <v>595</v>
      </c>
      <c r="E162" s="3">
        <v>25</v>
      </c>
      <c r="F162" s="149" t="s">
        <v>108</v>
      </c>
      <c r="G162" s="96" t="str">
        <f>IFERROR(IF(VLOOKUP(TableHandbook[[#This Row],[UDC]],TableAvailabilities[],2,FALSE)&gt;0,"Y",""),"")</f>
        <v/>
      </c>
      <c r="H162" s="96" t="str">
        <f>IFERROR(IF(VLOOKUP(TableHandbook[[#This Row],[UDC]],TableAvailabilities[],3,FALSE)&gt;0,"Y",""),"")</f>
        <v/>
      </c>
      <c r="I162" s="96" t="str">
        <f>IFERROR(IF(VLOOKUP(TableHandbook[[#This Row],[UDC]],TableAvailabilities[],4,FALSE)&gt;0,"Y",""),"")</f>
        <v/>
      </c>
      <c r="J162" s="96" t="str">
        <f>IFERROR(IF(VLOOKUP(TableHandbook[[#This Row],[UDC]],TableAvailabilities[],5,FALSE)&gt;0,"Y",""),"")</f>
        <v/>
      </c>
      <c r="K162" s="209" t="s">
        <v>436</v>
      </c>
      <c r="L162" s="213" t="str">
        <f>IFERROR(VLOOKUP(TableHandbook[[#This Row],[UDC]],TableMCARTS[],7,FALSE),"")</f>
        <v/>
      </c>
      <c r="M162" s="211" t="str">
        <f>IFERROR(VLOOKUP(TableHandbook[[#This Row],[UDC]],TableMJRPCWRIT[],7,FALSE),"")</f>
        <v/>
      </c>
      <c r="N162" s="211" t="str">
        <f>IFERROR(VLOOKUP(TableHandbook[[#This Row],[UDC]],TableMJRPDGCMS[],7,FALSE),"")</f>
        <v/>
      </c>
      <c r="O162" s="211" t="str">
        <f>IFERROR(VLOOKUP(TableHandbook[[#This Row],[UDC]],TableMJRPFINAR[],7,FALSE),"")</f>
        <v/>
      </c>
      <c r="P162" s="211" t="str">
        <f>IFERROR(VLOOKUP(TableHandbook[[#This Row],[UDC]],TableMJRPPWRIT[],7,FALSE),"")</f>
        <v/>
      </c>
      <c r="Q162" s="211" t="str">
        <f>IFERROR(VLOOKUP(TableHandbook[[#This Row],[UDC]],TableMJRPSCRAR[],7,FALSE),"")</f>
        <v/>
      </c>
      <c r="R162" s="213" t="str">
        <f>IFERROR(VLOOKUP(TableHandbook[[#This Row],[UDC]],TableMCMMJRG[],7,FALSE),"")</f>
        <v/>
      </c>
      <c r="S162" s="211" t="str">
        <f>IFERROR(VLOOKUP(TableHandbook[[#This Row],[UDC]],TableMCMMJRN[],7,FALSE),"")</f>
        <v/>
      </c>
      <c r="T162" s="211" t="str">
        <f>IFERROR(VLOOKUP(TableHandbook[[#This Row],[UDC]],TableGDMMJRN[],7,FALSE),"")</f>
        <v/>
      </c>
      <c r="U162" s="211" t="str">
        <f>IFERROR(VLOOKUP(TableHandbook[[#This Row],[UDC]],TableGCMMJRN[],7,FALSE),"")</f>
        <v/>
      </c>
      <c r="V162" s="213" t="str">
        <f>IFERROR(VLOOKUP(TableHandbook[[#This Row],[UDC]],TableMCHRIGLO[],7,FALSE),"")</f>
        <v/>
      </c>
      <c r="W162" s="211" t="str">
        <f>IFERROR(VLOOKUP(TableHandbook[[#This Row],[UDC]],TableMCHRIGHT[],7,FALSE),"")</f>
        <v/>
      </c>
      <c r="X162" s="211" t="str">
        <f>IFERROR(VLOOKUP(TableHandbook[[#This Row],[UDC]],TableGDHRIGHT[],7,FALSE),"")</f>
        <v/>
      </c>
      <c r="Y162" s="211" t="str">
        <f>IFERROR(VLOOKUP(TableHandbook[[#This Row],[UDC]],TableGCHRIGHT[],7,FALSE),"")</f>
        <v/>
      </c>
      <c r="Z162" s="213" t="str">
        <f>IFERROR(VLOOKUP(TableHandbook[[#This Row],[UDC]],TableMCGLOBL2[],7,FALSE),"")</f>
        <v/>
      </c>
      <c r="AA162" s="211" t="str">
        <f>IFERROR(VLOOKUP(TableHandbook[[#This Row],[UDC]],TableMCGLOBL[],7,FALSE),"")</f>
        <v/>
      </c>
      <c r="AB162" s="211" t="str">
        <f>IFERROR(VLOOKUP(TableHandbook[[#This Row],[UDC]],TableSTRPGLOBL[],7,FALSE),"")</f>
        <v/>
      </c>
      <c r="AC162" s="211" t="str">
        <f>IFERROR(VLOOKUP(TableHandbook[[#This Row],[UDC]],TableSTRPHRIGT[],7,FALSE),"")</f>
        <v/>
      </c>
      <c r="AD162" s="211" t="str">
        <f>IFERROR(VLOOKUP(TableHandbook[[#This Row],[UDC]],TableSTRPINTRN[],7,FALSE),"")</f>
        <v/>
      </c>
      <c r="AE162" s="211" t="str">
        <f>IFERROR(VLOOKUP(TableHandbook[[#This Row],[UDC]],TableGCGLOBL[],7,FALSE),"")</f>
        <v/>
      </c>
      <c r="AF162" s="213" t="str">
        <f>IFERROR(VLOOKUP(TableHandbook[[#This Row],[UDC]],TableMCINTREL[],7,FALSE),"")</f>
        <v/>
      </c>
      <c r="AG162" s="211" t="str">
        <f>IFERROR(VLOOKUP(TableHandbook[[#This Row],[UDC]],TableMCINTSEC[],7,FALSE),"")</f>
        <v/>
      </c>
      <c r="AH162" s="211" t="str">
        <f>IFERROR(VLOOKUP(TableHandbook[[#This Row],[UDC]],TableGDINTSEC[],7,FALSE),"")</f>
        <v/>
      </c>
      <c r="AI162" s="211" t="str">
        <f>IFERROR(VLOOKUP(TableHandbook[[#This Row],[UDC]],TableGCINTSEC[],7,FALSE),"")</f>
        <v/>
      </c>
      <c r="AJ162" s="211" t="str">
        <f>IFERROR(VLOOKUP(TableHandbook[[#This Row],[UDC]],TableGCINTELL[],7,FALSE),"")</f>
        <v/>
      </c>
      <c r="AK162" s="211" t="str">
        <f>IFERROR(VLOOKUP(TableHandbook[[#This Row],[UDC]],TableGCIPCSEC[],7,FALSE),"")</f>
        <v/>
      </c>
    </row>
    <row r="163" spans="1:37" x14ac:dyDescent="0.3">
      <c r="A163" s="231" t="s">
        <v>350</v>
      </c>
      <c r="B163" s="3">
        <v>2</v>
      </c>
      <c r="C163" s="3"/>
      <c r="D163" s="209" t="s">
        <v>596</v>
      </c>
      <c r="E163" s="3">
        <v>25</v>
      </c>
      <c r="F163" s="245" t="s">
        <v>108</v>
      </c>
      <c r="G163" s="96" t="str">
        <f>IFERROR(IF(VLOOKUP(TableHandbook[[#This Row],[UDC]],TableAvailabilities[],2,FALSE)&gt;0,"Y",""),"")</f>
        <v/>
      </c>
      <c r="H163" s="96" t="str">
        <f>IFERROR(IF(VLOOKUP(TableHandbook[[#This Row],[UDC]],TableAvailabilities[],3,FALSE)&gt;0,"Y",""),"")</f>
        <v/>
      </c>
      <c r="I163" s="96" t="str">
        <f>IFERROR(IF(VLOOKUP(TableHandbook[[#This Row],[UDC]],TableAvailabilities[],4,FALSE)&gt;0,"Y",""),"")</f>
        <v>Y</v>
      </c>
      <c r="J163" s="96" t="str">
        <f>IFERROR(IF(VLOOKUP(TableHandbook[[#This Row],[UDC]],TableAvailabilities[],5,FALSE)&gt;0,"Y",""),"")</f>
        <v>Y</v>
      </c>
      <c r="K163" s="209" t="s">
        <v>433</v>
      </c>
      <c r="L163" s="213" t="str">
        <f>IFERROR(VLOOKUP(TableHandbook[[#This Row],[UDC]],TableMCARTS[],7,FALSE),"")</f>
        <v/>
      </c>
      <c r="M163" s="211" t="str">
        <f>IFERROR(VLOOKUP(TableHandbook[[#This Row],[UDC]],TableMJRPCWRIT[],7,FALSE),"")</f>
        <v/>
      </c>
      <c r="N163" s="211" t="str">
        <f>IFERROR(VLOOKUP(TableHandbook[[#This Row],[UDC]],TableMJRPDGCMS[],7,FALSE),"")</f>
        <v/>
      </c>
      <c r="O163" s="211" t="str">
        <f>IFERROR(VLOOKUP(TableHandbook[[#This Row],[UDC]],TableMJRPFINAR[],7,FALSE),"")</f>
        <v/>
      </c>
      <c r="P163" s="211" t="str">
        <f>IFERROR(VLOOKUP(TableHandbook[[#This Row],[UDC]],TableMJRPPWRIT[],7,FALSE),"")</f>
        <v/>
      </c>
      <c r="Q163" s="211" t="str">
        <f>IFERROR(VLOOKUP(TableHandbook[[#This Row],[UDC]],TableMJRPSCRAR[],7,FALSE),"")</f>
        <v/>
      </c>
      <c r="R163" s="213" t="str">
        <f>IFERROR(VLOOKUP(TableHandbook[[#This Row],[UDC]],TableMCMMJRG[],7,FALSE),"")</f>
        <v/>
      </c>
      <c r="S163" s="211" t="str">
        <f>IFERROR(VLOOKUP(TableHandbook[[#This Row],[UDC]],TableMCMMJRN[],7,FALSE),"")</f>
        <v/>
      </c>
      <c r="T163" s="211" t="str">
        <f>IFERROR(VLOOKUP(TableHandbook[[#This Row],[UDC]],TableGDMMJRN[],7,FALSE),"")</f>
        <v/>
      </c>
      <c r="U163" s="211" t="str">
        <f>IFERROR(VLOOKUP(TableHandbook[[#This Row],[UDC]],TableGCMMJRN[],7,FALSE),"")</f>
        <v/>
      </c>
      <c r="V163" s="213" t="str">
        <f>IFERROR(VLOOKUP(TableHandbook[[#This Row],[UDC]],TableMCHRIGLO[],7,FALSE),"")</f>
        <v/>
      </c>
      <c r="W163" s="211" t="str">
        <f>IFERROR(VLOOKUP(TableHandbook[[#This Row],[UDC]],TableMCHRIGHT[],7,FALSE),"")</f>
        <v/>
      </c>
      <c r="X163" s="211" t="str">
        <f>IFERROR(VLOOKUP(TableHandbook[[#This Row],[UDC]],TableGDHRIGHT[],7,FALSE),"")</f>
        <v/>
      </c>
      <c r="Y163" s="211" t="str">
        <f>IFERROR(VLOOKUP(TableHandbook[[#This Row],[UDC]],TableGCHRIGHT[],7,FALSE),"")</f>
        <v/>
      </c>
      <c r="Z163" s="213" t="str">
        <f>IFERROR(VLOOKUP(TableHandbook[[#This Row],[UDC]],TableMCGLOBL2[],7,FALSE),"")</f>
        <v/>
      </c>
      <c r="AA163" s="211" t="str">
        <f>IFERROR(VLOOKUP(TableHandbook[[#This Row],[UDC]],TableMCGLOBL[],7,FALSE),"")</f>
        <v/>
      </c>
      <c r="AB163" s="211" t="str">
        <f>IFERROR(VLOOKUP(TableHandbook[[#This Row],[UDC]],TableSTRPGLOBL[],7,FALSE),"")</f>
        <v/>
      </c>
      <c r="AC163" s="211" t="str">
        <f>IFERROR(VLOOKUP(TableHandbook[[#This Row],[UDC]],TableSTRPHRIGT[],7,FALSE),"")</f>
        <v/>
      </c>
      <c r="AD163" s="211" t="str">
        <f>IFERROR(VLOOKUP(TableHandbook[[#This Row],[UDC]],TableSTRPINTRN[],7,FALSE),"")</f>
        <v>AltCore</v>
      </c>
      <c r="AE163" s="211" t="str">
        <f>IFERROR(VLOOKUP(TableHandbook[[#This Row],[UDC]],TableGCGLOBL[],7,FALSE),"")</f>
        <v/>
      </c>
      <c r="AF163" s="213" t="str">
        <f>IFERROR(VLOOKUP(TableHandbook[[#This Row],[UDC]],TableMCINTREL[],7,FALSE),"")</f>
        <v>Core</v>
      </c>
      <c r="AG163" s="211" t="str">
        <f>IFERROR(VLOOKUP(TableHandbook[[#This Row],[UDC]],TableMCINTSEC[],7,FALSE),"")</f>
        <v>Core</v>
      </c>
      <c r="AH163" s="211" t="str">
        <f>IFERROR(VLOOKUP(TableHandbook[[#This Row],[UDC]],TableGDINTSEC[],7,FALSE),"")</f>
        <v>AltCore</v>
      </c>
      <c r="AI163" s="211" t="str">
        <f>IFERROR(VLOOKUP(TableHandbook[[#This Row],[UDC]],TableGCINTSEC[],7,FALSE),"")</f>
        <v>AltCore</v>
      </c>
      <c r="AJ163" s="211" t="str">
        <f>IFERROR(VLOOKUP(TableHandbook[[#This Row],[UDC]],TableGCINTELL[],7,FALSE),"")</f>
        <v>Core</v>
      </c>
      <c r="AK163" s="211" t="str">
        <f>IFERROR(VLOOKUP(TableHandbook[[#This Row],[UDC]],TableGCIPCSEC[],7,FALSE),"")</f>
        <v/>
      </c>
    </row>
    <row r="164" spans="1:37" x14ac:dyDescent="0.3">
      <c r="A164" s="2" t="s">
        <v>597</v>
      </c>
      <c r="B164" s="3">
        <v>1</v>
      </c>
      <c r="C164" s="3"/>
      <c r="D164" s="209" t="s">
        <v>598</v>
      </c>
      <c r="E164" s="3">
        <v>25</v>
      </c>
      <c r="F164" s="149" t="s">
        <v>108</v>
      </c>
      <c r="G164" s="96" t="str">
        <f>IFERROR(IF(VLOOKUP(TableHandbook[[#This Row],[UDC]],TableAvailabilities[],2,FALSE)&gt;0,"Y",""),"")</f>
        <v/>
      </c>
      <c r="H164" s="96" t="str">
        <f>IFERROR(IF(VLOOKUP(TableHandbook[[#This Row],[UDC]],TableAvailabilities[],3,FALSE)&gt;0,"Y",""),"")</f>
        <v/>
      </c>
      <c r="I164" s="96" t="str">
        <f>IFERROR(IF(VLOOKUP(TableHandbook[[#This Row],[UDC]],TableAvailabilities[],4,FALSE)&gt;0,"Y",""),"")</f>
        <v/>
      </c>
      <c r="J164" s="96" t="str">
        <f>IFERROR(IF(VLOOKUP(TableHandbook[[#This Row],[UDC]],TableAvailabilities[],5,FALSE)&gt;0,"Y",""),"")</f>
        <v/>
      </c>
      <c r="K164" s="209" t="s">
        <v>436</v>
      </c>
      <c r="L164" s="213" t="str">
        <f>IFERROR(VLOOKUP(TableHandbook[[#This Row],[UDC]],TableMCARTS[],7,FALSE),"")</f>
        <v/>
      </c>
      <c r="M164" s="211" t="str">
        <f>IFERROR(VLOOKUP(TableHandbook[[#This Row],[UDC]],TableMJRPCWRIT[],7,FALSE),"")</f>
        <v/>
      </c>
      <c r="N164" s="211" t="str">
        <f>IFERROR(VLOOKUP(TableHandbook[[#This Row],[UDC]],TableMJRPDGCMS[],7,FALSE),"")</f>
        <v/>
      </c>
      <c r="O164" s="211" t="str">
        <f>IFERROR(VLOOKUP(TableHandbook[[#This Row],[UDC]],TableMJRPFINAR[],7,FALSE),"")</f>
        <v/>
      </c>
      <c r="P164" s="211" t="str">
        <f>IFERROR(VLOOKUP(TableHandbook[[#This Row],[UDC]],TableMJRPPWRIT[],7,FALSE),"")</f>
        <v/>
      </c>
      <c r="Q164" s="211" t="str">
        <f>IFERROR(VLOOKUP(TableHandbook[[#This Row],[UDC]],TableMJRPSCRAR[],7,FALSE),"")</f>
        <v/>
      </c>
      <c r="R164" s="213" t="str">
        <f>IFERROR(VLOOKUP(TableHandbook[[#This Row],[UDC]],TableMCMMJRG[],7,FALSE),"")</f>
        <v/>
      </c>
      <c r="S164" s="211" t="str">
        <f>IFERROR(VLOOKUP(TableHandbook[[#This Row],[UDC]],TableMCMMJRN[],7,FALSE),"")</f>
        <v/>
      </c>
      <c r="T164" s="211" t="str">
        <f>IFERROR(VLOOKUP(TableHandbook[[#This Row],[UDC]],TableGDMMJRN[],7,FALSE),"")</f>
        <v/>
      </c>
      <c r="U164" s="211" t="str">
        <f>IFERROR(VLOOKUP(TableHandbook[[#This Row],[UDC]],TableGCMMJRN[],7,FALSE),"")</f>
        <v/>
      </c>
      <c r="V164" s="213" t="str">
        <f>IFERROR(VLOOKUP(TableHandbook[[#This Row],[UDC]],TableMCHRIGLO[],7,FALSE),"")</f>
        <v/>
      </c>
      <c r="W164" s="211" t="str">
        <f>IFERROR(VLOOKUP(TableHandbook[[#This Row],[UDC]],TableMCHRIGHT[],7,FALSE),"")</f>
        <v/>
      </c>
      <c r="X164" s="211" t="str">
        <f>IFERROR(VLOOKUP(TableHandbook[[#This Row],[UDC]],TableGDHRIGHT[],7,FALSE),"")</f>
        <v/>
      </c>
      <c r="Y164" s="211" t="str">
        <f>IFERROR(VLOOKUP(TableHandbook[[#This Row],[UDC]],TableGCHRIGHT[],7,FALSE),"")</f>
        <v/>
      </c>
      <c r="Z164" s="213" t="str">
        <f>IFERROR(VLOOKUP(TableHandbook[[#This Row],[UDC]],TableMCGLOBL2[],7,FALSE),"")</f>
        <v/>
      </c>
      <c r="AA164" s="211" t="str">
        <f>IFERROR(VLOOKUP(TableHandbook[[#This Row],[UDC]],TableMCGLOBL[],7,FALSE),"")</f>
        <v/>
      </c>
      <c r="AB164" s="211" t="str">
        <f>IFERROR(VLOOKUP(TableHandbook[[#This Row],[UDC]],TableSTRPGLOBL[],7,FALSE),"")</f>
        <v/>
      </c>
      <c r="AC164" s="211" t="str">
        <f>IFERROR(VLOOKUP(TableHandbook[[#This Row],[UDC]],TableSTRPHRIGT[],7,FALSE),"")</f>
        <v/>
      </c>
      <c r="AD164" s="211" t="str">
        <f>IFERROR(VLOOKUP(TableHandbook[[#This Row],[UDC]],TableSTRPINTRN[],7,FALSE),"")</f>
        <v/>
      </c>
      <c r="AE164" s="211" t="str">
        <f>IFERROR(VLOOKUP(TableHandbook[[#This Row],[UDC]],TableGCGLOBL[],7,FALSE),"")</f>
        <v/>
      </c>
      <c r="AF164" s="213" t="str">
        <f>IFERROR(VLOOKUP(TableHandbook[[#This Row],[UDC]],TableMCINTREL[],7,FALSE),"")</f>
        <v/>
      </c>
      <c r="AG164" s="211" t="str">
        <f>IFERROR(VLOOKUP(TableHandbook[[#This Row],[UDC]],TableMCINTSEC[],7,FALSE),"")</f>
        <v/>
      </c>
      <c r="AH164" s="211" t="str">
        <f>IFERROR(VLOOKUP(TableHandbook[[#This Row],[UDC]],TableGDINTSEC[],7,FALSE),"")</f>
        <v/>
      </c>
      <c r="AI164" s="211" t="str">
        <f>IFERROR(VLOOKUP(TableHandbook[[#This Row],[UDC]],TableGCINTSEC[],7,FALSE),"")</f>
        <v/>
      </c>
      <c r="AJ164" s="211" t="str">
        <f>IFERROR(VLOOKUP(TableHandbook[[#This Row],[UDC]],TableGCINTELL[],7,FALSE),"")</f>
        <v/>
      </c>
      <c r="AK164" s="211" t="str">
        <f>IFERROR(VLOOKUP(TableHandbook[[#This Row],[UDC]],TableGCIPCSEC[],7,FALSE),"")</f>
        <v/>
      </c>
    </row>
    <row r="165" spans="1:37" x14ac:dyDescent="0.3">
      <c r="A165" s="231" t="s">
        <v>323</v>
      </c>
      <c r="B165" s="3">
        <v>2</v>
      </c>
      <c r="C165" s="3"/>
      <c r="D165" s="209" t="s">
        <v>599</v>
      </c>
      <c r="E165" s="3">
        <v>25</v>
      </c>
      <c r="F165" s="245" t="s">
        <v>108</v>
      </c>
      <c r="G165" s="96" t="str">
        <f>IFERROR(IF(VLOOKUP(TableHandbook[[#This Row],[UDC]],TableAvailabilities[],2,FALSE)&gt;0,"Y",""),"")</f>
        <v/>
      </c>
      <c r="H165" s="96" t="str">
        <f>IFERROR(IF(VLOOKUP(TableHandbook[[#This Row],[UDC]],TableAvailabilities[],3,FALSE)&gt;0,"Y",""),"")</f>
        <v/>
      </c>
      <c r="I165" s="96" t="str">
        <f>IFERROR(IF(VLOOKUP(TableHandbook[[#This Row],[UDC]],TableAvailabilities[],4,FALSE)&gt;0,"Y",""),"")</f>
        <v>Y</v>
      </c>
      <c r="J165" s="96" t="str">
        <f>IFERROR(IF(VLOOKUP(TableHandbook[[#This Row],[UDC]],TableAvailabilities[],5,FALSE)&gt;0,"Y",""),"")</f>
        <v>Y</v>
      </c>
      <c r="K165" s="209" t="s">
        <v>433</v>
      </c>
      <c r="L165" s="213" t="str">
        <f>IFERROR(VLOOKUP(TableHandbook[[#This Row],[UDC]],TableMCARTS[],7,FALSE),"")</f>
        <v/>
      </c>
      <c r="M165" s="211" t="str">
        <f>IFERROR(VLOOKUP(TableHandbook[[#This Row],[UDC]],TableMJRPCWRIT[],7,FALSE),"")</f>
        <v/>
      </c>
      <c r="N165" s="211" t="str">
        <f>IFERROR(VLOOKUP(TableHandbook[[#This Row],[UDC]],TableMJRPDGCMS[],7,FALSE),"")</f>
        <v/>
      </c>
      <c r="O165" s="211" t="str">
        <f>IFERROR(VLOOKUP(TableHandbook[[#This Row],[UDC]],TableMJRPFINAR[],7,FALSE),"")</f>
        <v/>
      </c>
      <c r="P165" s="211" t="str">
        <f>IFERROR(VLOOKUP(TableHandbook[[#This Row],[UDC]],TableMJRPPWRIT[],7,FALSE),"")</f>
        <v/>
      </c>
      <c r="Q165" s="211" t="str">
        <f>IFERROR(VLOOKUP(TableHandbook[[#This Row],[UDC]],TableMJRPSCRAR[],7,FALSE),"")</f>
        <v/>
      </c>
      <c r="R165" s="213" t="str">
        <f>IFERROR(VLOOKUP(TableHandbook[[#This Row],[UDC]],TableMCMMJRG[],7,FALSE),"")</f>
        <v>Option</v>
      </c>
      <c r="S165" s="211" t="str">
        <f>IFERROR(VLOOKUP(TableHandbook[[#This Row],[UDC]],TableMCMMJRN[],7,FALSE),"")</f>
        <v/>
      </c>
      <c r="T165" s="211" t="str">
        <f>IFERROR(VLOOKUP(TableHandbook[[#This Row],[UDC]],TableGDMMJRN[],7,FALSE),"")</f>
        <v/>
      </c>
      <c r="U165" s="211" t="str">
        <f>IFERROR(VLOOKUP(TableHandbook[[#This Row],[UDC]],TableGCMMJRN[],7,FALSE),"")</f>
        <v/>
      </c>
      <c r="V165" s="213" t="str">
        <f>IFERROR(VLOOKUP(TableHandbook[[#This Row],[UDC]],TableMCHRIGLO[],7,FALSE),"")</f>
        <v/>
      </c>
      <c r="W165" s="211" t="str">
        <f>IFERROR(VLOOKUP(TableHandbook[[#This Row],[UDC]],TableMCHRIGHT[],7,FALSE),"")</f>
        <v/>
      </c>
      <c r="X165" s="211" t="str">
        <f>IFERROR(VLOOKUP(TableHandbook[[#This Row],[UDC]],TableGDHRIGHT[],7,FALSE),"")</f>
        <v/>
      </c>
      <c r="Y165" s="211" t="str">
        <f>IFERROR(VLOOKUP(TableHandbook[[#This Row],[UDC]],TableGCHRIGHT[],7,FALSE),"")</f>
        <v/>
      </c>
      <c r="Z165" s="213" t="str">
        <f>IFERROR(VLOOKUP(TableHandbook[[#This Row],[UDC]],TableMCGLOBL2[],7,FALSE),"")</f>
        <v/>
      </c>
      <c r="AA165" s="211" t="str">
        <f>IFERROR(VLOOKUP(TableHandbook[[#This Row],[UDC]],TableMCGLOBL[],7,FALSE),"")</f>
        <v/>
      </c>
      <c r="AB165" s="211" t="str">
        <f>IFERROR(VLOOKUP(TableHandbook[[#This Row],[UDC]],TableSTRPGLOBL[],7,FALSE),"")</f>
        <v/>
      </c>
      <c r="AC165" s="211" t="str">
        <f>IFERROR(VLOOKUP(TableHandbook[[#This Row],[UDC]],TableSTRPHRIGT[],7,FALSE),"")</f>
        <v/>
      </c>
      <c r="AD165" s="211" t="str">
        <f>IFERROR(VLOOKUP(TableHandbook[[#This Row],[UDC]],TableSTRPINTRN[],7,FALSE),"")</f>
        <v>Option</v>
      </c>
      <c r="AE165" s="211" t="str">
        <f>IFERROR(VLOOKUP(TableHandbook[[#This Row],[UDC]],TableGCGLOBL[],7,FALSE),"")</f>
        <v/>
      </c>
      <c r="AF165" s="213" t="str">
        <f>IFERROR(VLOOKUP(TableHandbook[[#This Row],[UDC]],TableMCINTREL[],7,FALSE),"")</f>
        <v>Option</v>
      </c>
      <c r="AG165" s="211" t="str">
        <f>IFERROR(VLOOKUP(TableHandbook[[#This Row],[UDC]],TableMCINTSEC[],7,FALSE),"")</f>
        <v>Option</v>
      </c>
      <c r="AH165" s="211" t="str">
        <f>IFERROR(VLOOKUP(TableHandbook[[#This Row],[UDC]],TableGDINTSEC[],7,FALSE),"")</f>
        <v>Option</v>
      </c>
      <c r="AI165" s="211" t="str">
        <f>IFERROR(VLOOKUP(TableHandbook[[#This Row],[UDC]],TableGCINTSEC[],7,FALSE),"")</f>
        <v>Option</v>
      </c>
      <c r="AJ165" s="211" t="str">
        <f>IFERROR(VLOOKUP(TableHandbook[[#This Row],[UDC]],TableGCINTELL[],7,FALSE),"")</f>
        <v/>
      </c>
      <c r="AK165" s="211" t="str">
        <f>IFERROR(VLOOKUP(TableHandbook[[#This Row],[UDC]],TableGCIPCSEC[],7,FALSE),"")</f>
        <v/>
      </c>
    </row>
    <row r="166" spans="1:37" x14ac:dyDescent="0.3">
      <c r="A166" s="2" t="s">
        <v>600</v>
      </c>
      <c r="B166" s="3">
        <v>1</v>
      </c>
      <c r="C166" s="3"/>
      <c r="D166" s="209" t="s">
        <v>601</v>
      </c>
      <c r="E166" s="3">
        <v>25</v>
      </c>
      <c r="F166" s="149" t="s">
        <v>108</v>
      </c>
      <c r="G166" s="96" t="str">
        <f>IFERROR(IF(VLOOKUP(TableHandbook[[#This Row],[UDC]],TableAvailabilities[],2,FALSE)&gt;0,"Y",""),"")</f>
        <v/>
      </c>
      <c r="H166" s="96" t="str">
        <f>IFERROR(IF(VLOOKUP(TableHandbook[[#This Row],[UDC]],TableAvailabilities[],3,FALSE)&gt;0,"Y",""),"")</f>
        <v/>
      </c>
      <c r="I166" s="96" t="str">
        <f>IFERROR(IF(VLOOKUP(TableHandbook[[#This Row],[UDC]],TableAvailabilities[],4,FALSE)&gt;0,"Y",""),"")</f>
        <v/>
      </c>
      <c r="J166" s="96" t="str">
        <f>IFERROR(IF(VLOOKUP(TableHandbook[[#This Row],[UDC]],TableAvailabilities[],5,FALSE)&gt;0,"Y",""),"")</f>
        <v/>
      </c>
      <c r="K166" s="209" t="s">
        <v>436</v>
      </c>
      <c r="L166" s="213" t="str">
        <f>IFERROR(VLOOKUP(TableHandbook[[#This Row],[UDC]],TableMCARTS[],7,FALSE),"")</f>
        <v/>
      </c>
      <c r="M166" s="211" t="str">
        <f>IFERROR(VLOOKUP(TableHandbook[[#This Row],[UDC]],TableMJRPCWRIT[],7,FALSE),"")</f>
        <v/>
      </c>
      <c r="N166" s="211" t="str">
        <f>IFERROR(VLOOKUP(TableHandbook[[#This Row],[UDC]],TableMJRPDGCMS[],7,FALSE),"")</f>
        <v/>
      </c>
      <c r="O166" s="211" t="str">
        <f>IFERROR(VLOOKUP(TableHandbook[[#This Row],[UDC]],TableMJRPFINAR[],7,FALSE),"")</f>
        <v/>
      </c>
      <c r="P166" s="211" t="str">
        <f>IFERROR(VLOOKUP(TableHandbook[[#This Row],[UDC]],TableMJRPPWRIT[],7,FALSE),"")</f>
        <v/>
      </c>
      <c r="Q166" s="211" t="str">
        <f>IFERROR(VLOOKUP(TableHandbook[[#This Row],[UDC]],TableMJRPSCRAR[],7,FALSE),"")</f>
        <v/>
      </c>
      <c r="R166" s="213" t="str">
        <f>IFERROR(VLOOKUP(TableHandbook[[#This Row],[UDC]],TableMCMMJRG[],7,FALSE),"")</f>
        <v/>
      </c>
      <c r="S166" s="211" t="str">
        <f>IFERROR(VLOOKUP(TableHandbook[[#This Row],[UDC]],TableMCMMJRN[],7,FALSE),"")</f>
        <v/>
      </c>
      <c r="T166" s="211" t="str">
        <f>IFERROR(VLOOKUP(TableHandbook[[#This Row],[UDC]],TableGDMMJRN[],7,FALSE),"")</f>
        <v/>
      </c>
      <c r="U166" s="211" t="str">
        <f>IFERROR(VLOOKUP(TableHandbook[[#This Row],[UDC]],TableGCMMJRN[],7,FALSE),"")</f>
        <v/>
      </c>
      <c r="V166" s="213" t="str">
        <f>IFERROR(VLOOKUP(TableHandbook[[#This Row],[UDC]],TableMCHRIGLO[],7,FALSE),"")</f>
        <v/>
      </c>
      <c r="W166" s="211" t="str">
        <f>IFERROR(VLOOKUP(TableHandbook[[#This Row],[UDC]],TableMCHRIGHT[],7,FALSE),"")</f>
        <v/>
      </c>
      <c r="X166" s="211" t="str">
        <f>IFERROR(VLOOKUP(TableHandbook[[#This Row],[UDC]],TableGDHRIGHT[],7,FALSE),"")</f>
        <v/>
      </c>
      <c r="Y166" s="211" t="str">
        <f>IFERROR(VLOOKUP(TableHandbook[[#This Row],[UDC]],TableGCHRIGHT[],7,FALSE),"")</f>
        <v/>
      </c>
      <c r="Z166" s="213" t="str">
        <f>IFERROR(VLOOKUP(TableHandbook[[#This Row],[UDC]],TableMCGLOBL2[],7,FALSE),"")</f>
        <v/>
      </c>
      <c r="AA166" s="211" t="str">
        <f>IFERROR(VLOOKUP(TableHandbook[[#This Row],[UDC]],TableMCGLOBL[],7,FALSE),"")</f>
        <v/>
      </c>
      <c r="AB166" s="211" t="str">
        <f>IFERROR(VLOOKUP(TableHandbook[[#This Row],[UDC]],TableSTRPGLOBL[],7,FALSE),"")</f>
        <v/>
      </c>
      <c r="AC166" s="211" t="str">
        <f>IFERROR(VLOOKUP(TableHandbook[[#This Row],[UDC]],TableSTRPHRIGT[],7,FALSE),"")</f>
        <v/>
      </c>
      <c r="AD166" s="211" t="str">
        <f>IFERROR(VLOOKUP(TableHandbook[[#This Row],[UDC]],TableSTRPINTRN[],7,FALSE),"")</f>
        <v/>
      </c>
      <c r="AE166" s="211" t="str">
        <f>IFERROR(VLOOKUP(TableHandbook[[#This Row],[UDC]],TableGCGLOBL[],7,FALSE),"")</f>
        <v/>
      </c>
      <c r="AF166" s="213" t="str">
        <f>IFERROR(VLOOKUP(TableHandbook[[#This Row],[UDC]],TableMCINTREL[],7,FALSE),"")</f>
        <v/>
      </c>
      <c r="AG166" s="211" t="str">
        <f>IFERROR(VLOOKUP(TableHandbook[[#This Row],[UDC]],TableMCINTSEC[],7,FALSE),"")</f>
        <v/>
      </c>
      <c r="AH166" s="211" t="str">
        <f>IFERROR(VLOOKUP(TableHandbook[[#This Row],[UDC]],TableGDINTSEC[],7,FALSE),"")</f>
        <v/>
      </c>
      <c r="AI166" s="211" t="str">
        <f>IFERROR(VLOOKUP(TableHandbook[[#This Row],[UDC]],TableGCINTSEC[],7,FALSE),"")</f>
        <v/>
      </c>
      <c r="AJ166" s="211" t="str">
        <f>IFERROR(VLOOKUP(TableHandbook[[#This Row],[UDC]],TableGCINTELL[],7,FALSE),"")</f>
        <v/>
      </c>
      <c r="AK166" s="211" t="str">
        <f>IFERROR(VLOOKUP(TableHandbook[[#This Row],[UDC]],TableGCIPCSEC[],7,FALSE),"")</f>
        <v/>
      </c>
    </row>
    <row r="167" spans="1:37" x14ac:dyDescent="0.3">
      <c r="A167" s="246" t="s">
        <v>267</v>
      </c>
      <c r="B167" s="3"/>
      <c r="C167" s="3"/>
      <c r="D167" s="209" t="s">
        <v>602</v>
      </c>
      <c r="E167" s="3">
        <v>100</v>
      </c>
      <c r="F167" s="149"/>
      <c r="G167" s="96" t="str">
        <f>IFERROR(IF(VLOOKUP(TableHandbook[[#This Row],[UDC]],TableAvailabilities[],2,FALSE)&gt;0,"Y",""),"")</f>
        <v/>
      </c>
      <c r="H167" s="96" t="str">
        <f>IFERROR(IF(VLOOKUP(TableHandbook[[#This Row],[UDC]],TableAvailabilities[],3,FALSE)&gt;0,"Y",""),"")</f>
        <v/>
      </c>
      <c r="I167" s="96" t="str">
        <f>IFERROR(IF(VLOOKUP(TableHandbook[[#This Row],[UDC]],TableAvailabilities[],4,FALSE)&gt;0,"Y",""),"")</f>
        <v/>
      </c>
      <c r="J167" s="96" t="str">
        <f>IFERROR(IF(VLOOKUP(TableHandbook[[#This Row],[UDC]],TableAvailabilities[],5,FALSE)&gt;0,"Y",""),"")</f>
        <v/>
      </c>
      <c r="K167" s="209"/>
      <c r="L167" s="213" t="str">
        <f>IFERROR(VLOOKUP(TableHandbook[[#This Row],[UDC]],TableMCARTS[],7,FALSE),"")</f>
        <v/>
      </c>
      <c r="M167" s="211" t="str">
        <f>IFERROR(VLOOKUP(TableHandbook[[#This Row],[UDC]],TableMJRPCWRIT[],7,FALSE),"")</f>
        <v/>
      </c>
      <c r="N167" s="211" t="str">
        <f>IFERROR(VLOOKUP(TableHandbook[[#This Row],[UDC]],TableMJRPDGCMS[],7,FALSE),"")</f>
        <v/>
      </c>
      <c r="O167" s="211" t="str">
        <f>IFERROR(VLOOKUP(TableHandbook[[#This Row],[UDC]],TableMJRPFINAR[],7,FALSE),"")</f>
        <v/>
      </c>
      <c r="P167" s="211" t="str">
        <f>IFERROR(VLOOKUP(TableHandbook[[#This Row],[UDC]],TableMJRPPWRIT[],7,FALSE),"")</f>
        <v/>
      </c>
      <c r="Q167" s="211" t="str">
        <f>IFERROR(VLOOKUP(TableHandbook[[#This Row],[UDC]],TableMJRPSCRAR[],7,FALSE),"")</f>
        <v/>
      </c>
      <c r="R167" s="213" t="str">
        <f>IFERROR(VLOOKUP(TableHandbook[[#This Row],[UDC]],TableMCMMJRG[],7,FALSE),"")</f>
        <v/>
      </c>
      <c r="S167" s="211" t="str">
        <f>IFERROR(VLOOKUP(TableHandbook[[#This Row],[UDC]],TableMCMMJRN[],7,FALSE),"")</f>
        <v/>
      </c>
      <c r="T167" s="211" t="str">
        <f>IFERROR(VLOOKUP(TableHandbook[[#This Row],[UDC]],TableGDMMJRN[],7,FALSE),"")</f>
        <v/>
      </c>
      <c r="U167" s="211" t="str">
        <f>IFERROR(VLOOKUP(TableHandbook[[#This Row],[UDC]],TableGCMMJRN[],7,FALSE),"")</f>
        <v/>
      </c>
      <c r="V167" s="213" t="str">
        <f>IFERROR(VLOOKUP(TableHandbook[[#This Row],[UDC]],TableMCHRIGLO[],7,FALSE),"")</f>
        <v/>
      </c>
      <c r="W167" s="211" t="str">
        <f>IFERROR(VLOOKUP(TableHandbook[[#This Row],[UDC]],TableMCHRIGHT[],7,FALSE),"")</f>
        <v/>
      </c>
      <c r="X167" s="211" t="str">
        <f>IFERROR(VLOOKUP(TableHandbook[[#This Row],[UDC]],TableGDHRIGHT[],7,FALSE),"")</f>
        <v/>
      </c>
      <c r="Y167" s="211" t="str">
        <f>IFERROR(VLOOKUP(TableHandbook[[#This Row],[UDC]],TableGCHRIGHT[],7,FALSE),"")</f>
        <v/>
      </c>
      <c r="Z167" s="213" t="str">
        <f>IFERROR(VLOOKUP(TableHandbook[[#This Row],[UDC]],TableMCGLOBL2[],7,FALSE),"")</f>
        <v/>
      </c>
      <c r="AA167" s="211" t="str">
        <f>IFERROR(VLOOKUP(TableHandbook[[#This Row],[UDC]],TableMCGLOBL[],7,FALSE),"")</f>
        <v/>
      </c>
      <c r="AB167" s="211" t="str">
        <f>IFERROR(VLOOKUP(TableHandbook[[#This Row],[UDC]],TableSTRPGLOBL[],7,FALSE),"")</f>
        <v/>
      </c>
      <c r="AC167" s="211" t="str">
        <f>IFERROR(VLOOKUP(TableHandbook[[#This Row],[UDC]],TableSTRPHRIGT[],7,FALSE),"")</f>
        <v/>
      </c>
      <c r="AD167" s="211" t="str">
        <f>IFERROR(VLOOKUP(TableHandbook[[#This Row],[UDC]],TableSTRPINTRN[],7,FALSE),"")</f>
        <v/>
      </c>
      <c r="AE167" s="211" t="str">
        <f>IFERROR(VLOOKUP(TableHandbook[[#This Row],[UDC]],TableGCGLOBL[],7,FALSE),"")</f>
        <v/>
      </c>
      <c r="AF167" s="213" t="str">
        <f>IFERROR(VLOOKUP(TableHandbook[[#This Row],[UDC]],TableMCINTREL[],7,FALSE),"")</f>
        <v/>
      </c>
      <c r="AG167" s="211" t="str">
        <f>IFERROR(VLOOKUP(TableHandbook[[#This Row],[UDC]],TableMCINTSEC[],7,FALSE),"")</f>
        <v/>
      </c>
      <c r="AH167" s="211" t="str">
        <f>IFERROR(VLOOKUP(TableHandbook[[#This Row],[UDC]],TableGDINTSEC[],7,FALSE),"")</f>
        <v/>
      </c>
      <c r="AI167" s="211" t="str">
        <f>IFERROR(VLOOKUP(TableHandbook[[#This Row],[UDC]],TableGCINTSEC[],7,FALSE),"")</f>
        <v/>
      </c>
      <c r="AJ167" s="211" t="str">
        <f>IFERROR(VLOOKUP(TableHandbook[[#This Row],[UDC]],TableGCINTELL[],7,FALSE),"")</f>
        <v/>
      </c>
      <c r="AK167" s="211" t="str">
        <f>IFERROR(VLOOKUP(TableHandbook[[#This Row],[UDC]],TableGCIPCSEC[],7,FALSE),"")</f>
        <v/>
      </c>
    </row>
    <row r="168" spans="1:37" x14ac:dyDescent="0.3">
      <c r="A168" s="231" t="s">
        <v>239</v>
      </c>
      <c r="B168" s="3">
        <v>3</v>
      </c>
      <c r="C168" s="3"/>
      <c r="D168" s="209" t="s">
        <v>603</v>
      </c>
      <c r="E168" s="3">
        <v>25</v>
      </c>
      <c r="F168" s="245" t="s">
        <v>604</v>
      </c>
      <c r="G168" s="96" t="str">
        <f>IFERROR(IF(VLOOKUP(TableHandbook[[#This Row],[UDC]],TableAvailabilities[],2,FALSE)&gt;0,"Y",""),"")</f>
        <v>Y</v>
      </c>
      <c r="H168" s="96" t="str">
        <f>IFERROR(IF(VLOOKUP(TableHandbook[[#This Row],[UDC]],TableAvailabilities[],3,FALSE)&gt;0,"Y",""),"")</f>
        <v/>
      </c>
      <c r="I168" s="96" t="str">
        <f>IFERROR(IF(VLOOKUP(TableHandbook[[#This Row],[UDC]],TableAvailabilities[],4,FALSE)&gt;0,"Y",""),"")</f>
        <v/>
      </c>
      <c r="J168" s="96" t="str">
        <f>IFERROR(IF(VLOOKUP(TableHandbook[[#This Row],[UDC]],TableAvailabilities[],5,FALSE)&gt;0,"Y",""),"")</f>
        <v/>
      </c>
      <c r="K168" s="209" t="s">
        <v>433</v>
      </c>
      <c r="L168" s="213" t="str">
        <f>IFERROR(VLOOKUP(TableHandbook[[#This Row],[UDC]],TableMCARTS[],7,FALSE),"")</f>
        <v/>
      </c>
      <c r="M168" s="211" t="str">
        <f>IFERROR(VLOOKUP(TableHandbook[[#This Row],[UDC]],TableMJRPCWRIT[],7,FALSE),"")</f>
        <v/>
      </c>
      <c r="N168" s="211" t="str">
        <f>IFERROR(VLOOKUP(TableHandbook[[#This Row],[UDC]],TableMJRPDGCMS[],7,FALSE),"")</f>
        <v/>
      </c>
      <c r="O168" s="211" t="str">
        <f>IFERROR(VLOOKUP(TableHandbook[[#This Row],[UDC]],TableMJRPFINAR[],7,FALSE),"")</f>
        <v/>
      </c>
      <c r="P168" s="211" t="str">
        <f>IFERROR(VLOOKUP(TableHandbook[[#This Row],[UDC]],TableMJRPPWRIT[],7,FALSE),"")</f>
        <v>Option</v>
      </c>
      <c r="Q168" s="211" t="str">
        <f>IFERROR(VLOOKUP(TableHandbook[[#This Row],[UDC]],TableMJRPSCRAR[],7,FALSE),"")</f>
        <v/>
      </c>
      <c r="R168" s="213" t="str">
        <f>IFERROR(VLOOKUP(TableHandbook[[#This Row],[UDC]],TableMCMMJRG[],7,FALSE),"")</f>
        <v/>
      </c>
      <c r="S168" s="211" t="str">
        <f>IFERROR(VLOOKUP(TableHandbook[[#This Row],[UDC]],TableMCMMJRN[],7,FALSE),"")</f>
        <v/>
      </c>
      <c r="T168" s="211" t="str">
        <f>IFERROR(VLOOKUP(TableHandbook[[#This Row],[UDC]],TableGDMMJRN[],7,FALSE),"")</f>
        <v/>
      </c>
      <c r="U168" s="211" t="str">
        <f>IFERROR(VLOOKUP(TableHandbook[[#This Row],[UDC]],TableGCMMJRN[],7,FALSE),"")</f>
        <v/>
      </c>
      <c r="V168" s="213" t="str">
        <f>IFERROR(VLOOKUP(TableHandbook[[#This Row],[UDC]],TableMCHRIGLO[],7,FALSE),"")</f>
        <v/>
      </c>
      <c r="W168" s="211" t="str">
        <f>IFERROR(VLOOKUP(TableHandbook[[#This Row],[UDC]],TableMCHRIGHT[],7,FALSE),"")</f>
        <v/>
      </c>
      <c r="X168" s="211" t="str">
        <f>IFERROR(VLOOKUP(TableHandbook[[#This Row],[UDC]],TableGDHRIGHT[],7,FALSE),"")</f>
        <v/>
      </c>
      <c r="Y168" s="211" t="str">
        <f>IFERROR(VLOOKUP(TableHandbook[[#This Row],[UDC]],TableGCHRIGHT[],7,FALSE),"")</f>
        <v/>
      </c>
      <c r="Z168" s="213" t="str">
        <f>IFERROR(VLOOKUP(TableHandbook[[#This Row],[UDC]],TableMCGLOBL2[],7,FALSE),"")</f>
        <v/>
      </c>
      <c r="AA168" s="211" t="str">
        <f>IFERROR(VLOOKUP(TableHandbook[[#This Row],[UDC]],TableMCGLOBL[],7,FALSE),"")</f>
        <v/>
      </c>
      <c r="AB168" s="211" t="str">
        <f>IFERROR(VLOOKUP(TableHandbook[[#This Row],[UDC]],TableSTRPGLOBL[],7,FALSE),"")</f>
        <v/>
      </c>
      <c r="AC168" s="211" t="str">
        <f>IFERROR(VLOOKUP(TableHandbook[[#This Row],[UDC]],TableSTRPHRIGT[],7,FALSE),"")</f>
        <v/>
      </c>
      <c r="AD168" s="211" t="str">
        <f>IFERROR(VLOOKUP(TableHandbook[[#This Row],[UDC]],TableSTRPINTRN[],7,FALSE),"")</f>
        <v/>
      </c>
      <c r="AE168" s="211" t="str">
        <f>IFERROR(VLOOKUP(TableHandbook[[#This Row],[UDC]],TableGCGLOBL[],7,FALSE),"")</f>
        <v/>
      </c>
      <c r="AF168" s="213" t="str">
        <f>IFERROR(VLOOKUP(TableHandbook[[#This Row],[UDC]],TableMCINTREL[],7,FALSE),"")</f>
        <v/>
      </c>
      <c r="AG168" s="211" t="str">
        <f>IFERROR(VLOOKUP(TableHandbook[[#This Row],[UDC]],TableMCINTSEC[],7,FALSE),"")</f>
        <v/>
      </c>
      <c r="AH168" s="211" t="str">
        <f>IFERROR(VLOOKUP(TableHandbook[[#This Row],[UDC]],TableGDINTSEC[],7,FALSE),"")</f>
        <v/>
      </c>
      <c r="AI168" s="211" t="str">
        <f>IFERROR(VLOOKUP(TableHandbook[[#This Row],[UDC]],TableGCINTSEC[],7,FALSE),"")</f>
        <v/>
      </c>
      <c r="AJ168" s="211" t="str">
        <f>IFERROR(VLOOKUP(TableHandbook[[#This Row],[UDC]],TableGCINTELL[],7,FALSE),"")</f>
        <v/>
      </c>
      <c r="AK168" s="211" t="str">
        <f>IFERROR(VLOOKUP(TableHandbook[[#This Row],[UDC]],TableGCIPCSEC[],7,FALSE),"")</f>
        <v/>
      </c>
    </row>
    <row r="169" spans="1:37" x14ac:dyDescent="0.3">
      <c r="A169" s="2" t="s">
        <v>605</v>
      </c>
      <c r="B169" s="3">
        <v>2</v>
      </c>
      <c r="C169" s="3"/>
      <c r="D169" s="209" t="s">
        <v>606</v>
      </c>
      <c r="E169" s="3">
        <v>25</v>
      </c>
      <c r="F169" s="149" t="s">
        <v>604</v>
      </c>
      <c r="G169" s="96" t="str">
        <f>IFERROR(IF(VLOOKUP(TableHandbook[[#This Row],[UDC]],TableAvailabilities[],2,FALSE)&gt;0,"Y",""),"")</f>
        <v/>
      </c>
      <c r="H169" s="96" t="str">
        <f>IFERROR(IF(VLOOKUP(TableHandbook[[#This Row],[UDC]],TableAvailabilities[],3,FALSE)&gt;0,"Y",""),"")</f>
        <v/>
      </c>
      <c r="I169" s="96" t="str">
        <f>IFERROR(IF(VLOOKUP(TableHandbook[[#This Row],[UDC]],TableAvailabilities[],4,FALSE)&gt;0,"Y",""),"")</f>
        <v/>
      </c>
      <c r="J169" s="96" t="str">
        <f>IFERROR(IF(VLOOKUP(TableHandbook[[#This Row],[UDC]],TableAvailabilities[],5,FALSE)&gt;0,"Y",""),"")</f>
        <v/>
      </c>
      <c r="K169" s="209" t="s">
        <v>436</v>
      </c>
      <c r="L169" s="213" t="str">
        <f>IFERROR(VLOOKUP(TableHandbook[[#This Row],[UDC]],TableMCARTS[],7,FALSE),"")</f>
        <v/>
      </c>
      <c r="M169" s="211" t="str">
        <f>IFERROR(VLOOKUP(TableHandbook[[#This Row],[UDC]],TableMJRPCWRIT[],7,FALSE),"")</f>
        <v/>
      </c>
      <c r="N169" s="211" t="str">
        <f>IFERROR(VLOOKUP(TableHandbook[[#This Row],[UDC]],TableMJRPDGCMS[],7,FALSE),"")</f>
        <v/>
      </c>
      <c r="O169" s="211" t="str">
        <f>IFERROR(VLOOKUP(TableHandbook[[#This Row],[UDC]],TableMJRPFINAR[],7,FALSE),"")</f>
        <v/>
      </c>
      <c r="P169" s="211" t="str">
        <f>IFERROR(VLOOKUP(TableHandbook[[#This Row],[UDC]],TableMJRPPWRIT[],7,FALSE),"")</f>
        <v/>
      </c>
      <c r="Q169" s="211" t="str">
        <f>IFERROR(VLOOKUP(TableHandbook[[#This Row],[UDC]],TableMJRPSCRAR[],7,FALSE),"")</f>
        <v/>
      </c>
      <c r="R169" s="213" t="str">
        <f>IFERROR(VLOOKUP(TableHandbook[[#This Row],[UDC]],TableMCMMJRG[],7,FALSE),"")</f>
        <v/>
      </c>
      <c r="S169" s="211" t="str">
        <f>IFERROR(VLOOKUP(TableHandbook[[#This Row],[UDC]],TableMCMMJRN[],7,FALSE),"")</f>
        <v/>
      </c>
      <c r="T169" s="211" t="str">
        <f>IFERROR(VLOOKUP(TableHandbook[[#This Row],[UDC]],TableGDMMJRN[],7,FALSE),"")</f>
        <v/>
      </c>
      <c r="U169" s="211" t="str">
        <f>IFERROR(VLOOKUP(TableHandbook[[#This Row],[UDC]],TableGCMMJRN[],7,FALSE),"")</f>
        <v/>
      </c>
      <c r="V169" s="213" t="str">
        <f>IFERROR(VLOOKUP(TableHandbook[[#This Row],[UDC]],TableMCHRIGLO[],7,FALSE),"")</f>
        <v/>
      </c>
      <c r="W169" s="211" t="str">
        <f>IFERROR(VLOOKUP(TableHandbook[[#This Row],[UDC]],TableMCHRIGHT[],7,FALSE),"")</f>
        <v/>
      </c>
      <c r="X169" s="211" t="str">
        <f>IFERROR(VLOOKUP(TableHandbook[[#This Row],[UDC]],TableGDHRIGHT[],7,FALSE),"")</f>
        <v/>
      </c>
      <c r="Y169" s="211" t="str">
        <f>IFERROR(VLOOKUP(TableHandbook[[#This Row],[UDC]],TableGCHRIGHT[],7,FALSE),"")</f>
        <v/>
      </c>
      <c r="Z169" s="213" t="str">
        <f>IFERROR(VLOOKUP(TableHandbook[[#This Row],[UDC]],TableMCGLOBL2[],7,FALSE),"")</f>
        <v/>
      </c>
      <c r="AA169" s="211" t="str">
        <f>IFERROR(VLOOKUP(TableHandbook[[#This Row],[UDC]],TableMCGLOBL[],7,FALSE),"")</f>
        <v/>
      </c>
      <c r="AB169" s="211" t="str">
        <f>IFERROR(VLOOKUP(TableHandbook[[#This Row],[UDC]],TableSTRPGLOBL[],7,FALSE),"")</f>
        <v/>
      </c>
      <c r="AC169" s="211" t="str">
        <f>IFERROR(VLOOKUP(TableHandbook[[#This Row],[UDC]],TableSTRPHRIGT[],7,FALSE),"")</f>
        <v/>
      </c>
      <c r="AD169" s="211" t="str">
        <f>IFERROR(VLOOKUP(TableHandbook[[#This Row],[UDC]],TableSTRPINTRN[],7,FALSE),"")</f>
        <v/>
      </c>
      <c r="AE169" s="211" t="str">
        <f>IFERROR(VLOOKUP(TableHandbook[[#This Row],[UDC]],TableGCGLOBL[],7,FALSE),"")</f>
        <v/>
      </c>
      <c r="AF169" s="213" t="str">
        <f>IFERROR(VLOOKUP(TableHandbook[[#This Row],[UDC]],TableMCINTREL[],7,FALSE),"")</f>
        <v/>
      </c>
      <c r="AG169" s="211" t="str">
        <f>IFERROR(VLOOKUP(TableHandbook[[#This Row],[UDC]],TableMCINTSEC[],7,FALSE),"")</f>
        <v/>
      </c>
      <c r="AH169" s="211" t="str">
        <f>IFERROR(VLOOKUP(TableHandbook[[#This Row],[UDC]],TableGDINTSEC[],7,FALSE),"")</f>
        <v/>
      </c>
      <c r="AI169" s="211" t="str">
        <f>IFERROR(VLOOKUP(TableHandbook[[#This Row],[UDC]],TableGCINTSEC[],7,FALSE),"")</f>
        <v/>
      </c>
      <c r="AJ169" s="211" t="str">
        <f>IFERROR(VLOOKUP(TableHandbook[[#This Row],[UDC]],TableGCINTELL[],7,FALSE),"")</f>
        <v/>
      </c>
      <c r="AK169" s="211" t="str">
        <f>IFERROR(VLOOKUP(TableHandbook[[#This Row],[UDC]],TableGCIPCSEC[],7,FALSE),"")</f>
        <v/>
      </c>
    </row>
    <row r="170" spans="1:37" x14ac:dyDescent="0.3">
      <c r="A170" s="231" t="s">
        <v>184</v>
      </c>
      <c r="B170" s="3">
        <v>3</v>
      </c>
      <c r="C170" s="3"/>
      <c r="D170" s="209" t="s">
        <v>607</v>
      </c>
      <c r="E170" s="3">
        <v>25</v>
      </c>
      <c r="F170" s="245" t="s">
        <v>108</v>
      </c>
      <c r="G170" s="96" t="str">
        <f>IFERROR(IF(VLOOKUP(TableHandbook[[#This Row],[UDC]],TableAvailabilities[],2,FALSE)&gt;0,"Y",""),"")</f>
        <v>Y</v>
      </c>
      <c r="H170" s="96" t="str">
        <f>IFERROR(IF(VLOOKUP(TableHandbook[[#This Row],[UDC]],TableAvailabilities[],3,FALSE)&gt;0,"Y",""),"")</f>
        <v/>
      </c>
      <c r="I170" s="96" t="str">
        <f>IFERROR(IF(VLOOKUP(TableHandbook[[#This Row],[UDC]],TableAvailabilities[],4,FALSE)&gt;0,"Y",""),"")</f>
        <v/>
      </c>
      <c r="J170" s="96" t="str">
        <f>IFERROR(IF(VLOOKUP(TableHandbook[[#This Row],[UDC]],TableAvailabilities[],5,FALSE)&gt;0,"Y",""),"")</f>
        <v/>
      </c>
      <c r="K170" s="209" t="s">
        <v>433</v>
      </c>
      <c r="L170" s="213" t="str">
        <f>IFERROR(VLOOKUP(TableHandbook[[#This Row],[UDC]],TableMCARTS[],7,FALSE),"")</f>
        <v/>
      </c>
      <c r="M170" s="211" t="str">
        <f>IFERROR(VLOOKUP(TableHandbook[[#This Row],[UDC]],TableMJRPCWRIT[],7,FALSE),"")</f>
        <v/>
      </c>
      <c r="N170" s="211" t="str">
        <f>IFERROR(VLOOKUP(TableHandbook[[#This Row],[UDC]],TableMJRPDGCMS[],7,FALSE),"")</f>
        <v/>
      </c>
      <c r="O170" s="211" t="str">
        <f>IFERROR(VLOOKUP(TableHandbook[[#This Row],[UDC]],TableMJRPFINAR[],7,FALSE),"")</f>
        <v/>
      </c>
      <c r="P170" s="211" t="str">
        <f>IFERROR(VLOOKUP(TableHandbook[[#This Row],[UDC]],TableMJRPPWRIT[],7,FALSE),"")</f>
        <v>Option</v>
      </c>
      <c r="Q170" s="211" t="str">
        <f>IFERROR(VLOOKUP(TableHandbook[[#This Row],[UDC]],TableMJRPSCRAR[],7,FALSE),"")</f>
        <v/>
      </c>
      <c r="R170" s="213" t="str">
        <f>IFERROR(VLOOKUP(TableHandbook[[#This Row],[UDC]],TableMCMMJRG[],7,FALSE),"")</f>
        <v/>
      </c>
      <c r="S170" s="211" t="str">
        <f>IFERROR(VLOOKUP(TableHandbook[[#This Row],[UDC]],TableMCMMJRN[],7,FALSE),"")</f>
        <v/>
      </c>
      <c r="T170" s="211" t="str">
        <f>IFERROR(VLOOKUP(TableHandbook[[#This Row],[UDC]],TableGDMMJRN[],7,FALSE),"")</f>
        <v/>
      </c>
      <c r="U170" s="211" t="str">
        <f>IFERROR(VLOOKUP(TableHandbook[[#This Row],[UDC]],TableGCMMJRN[],7,FALSE),"")</f>
        <v/>
      </c>
      <c r="V170" s="213" t="str">
        <f>IFERROR(VLOOKUP(TableHandbook[[#This Row],[UDC]],TableMCHRIGLO[],7,FALSE),"")</f>
        <v/>
      </c>
      <c r="W170" s="211" t="str">
        <f>IFERROR(VLOOKUP(TableHandbook[[#This Row],[UDC]],TableMCHRIGHT[],7,FALSE),"")</f>
        <v/>
      </c>
      <c r="X170" s="211" t="str">
        <f>IFERROR(VLOOKUP(TableHandbook[[#This Row],[UDC]],TableGDHRIGHT[],7,FALSE),"")</f>
        <v/>
      </c>
      <c r="Y170" s="211" t="str">
        <f>IFERROR(VLOOKUP(TableHandbook[[#This Row],[UDC]],TableGCHRIGHT[],7,FALSE),"")</f>
        <v/>
      </c>
      <c r="Z170" s="213" t="str">
        <f>IFERROR(VLOOKUP(TableHandbook[[#This Row],[UDC]],TableMCGLOBL2[],7,FALSE),"")</f>
        <v/>
      </c>
      <c r="AA170" s="211" t="str">
        <f>IFERROR(VLOOKUP(TableHandbook[[#This Row],[UDC]],TableMCGLOBL[],7,FALSE),"")</f>
        <v/>
      </c>
      <c r="AB170" s="211" t="str">
        <f>IFERROR(VLOOKUP(TableHandbook[[#This Row],[UDC]],TableSTRPGLOBL[],7,FALSE),"")</f>
        <v/>
      </c>
      <c r="AC170" s="211" t="str">
        <f>IFERROR(VLOOKUP(TableHandbook[[#This Row],[UDC]],TableSTRPHRIGT[],7,FALSE),"")</f>
        <v/>
      </c>
      <c r="AD170" s="211" t="str">
        <f>IFERROR(VLOOKUP(TableHandbook[[#This Row],[UDC]],TableSTRPINTRN[],7,FALSE),"")</f>
        <v/>
      </c>
      <c r="AE170" s="211" t="str">
        <f>IFERROR(VLOOKUP(TableHandbook[[#This Row],[UDC]],TableGCGLOBL[],7,FALSE),"")</f>
        <v/>
      </c>
      <c r="AF170" s="213" t="str">
        <f>IFERROR(VLOOKUP(TableHandbook[[#This Row],[UDC]],TableMCINTREL[],7,FALSE),"")</f>
        <v/>
      </c>
      <c r="AG170" s="211" t="str">
        <f>IFERROR(VLOOKUP(TableHandbook[[#This Row],[UDC]],TableMCINTSEC[],7,FALSE),"")</f>
        <v/>
      </c>
      <c r="AH170" s="211" t="str">
        <f>IFERROR(VLOOKUP(TableHandbook[[#This Row],[UDC]],TableGDINTSEC[],7,FALSE),"")</f>
        <v/>
      </c>
      <c r="AI170" s="211" t="str">
        <f>IFERROR(VLOOKUP(TableHandbook[[#This Row],[UDC]],TableGCINTSEC[],7,FALSE),"")</f>
        <v/>
      </c>
      <c r="AJ170" s="211" t="str">
        <f>IFERROR(VLOOKUP(TableHandbook[[#This Row],[UDC]],TableGCINTELL[],7,FALSE),"")</f>
        <v/>
      </c>
      <c r="AK170" s="211" t="str">
        <f>IFERROR(VLOOKUP(TableHandbook[[#This Row],[UDC]],TableGCIPCSEC[],7,FALSE),"")</f>
        <v/>
      </c>
    </row>
    <row r="171" spans="1:37" x14ac:dyDescent="0.3">
      <c r="A171" s="2" t="s">
        <v>608</v>
      </c>
      <c r="B171" s="3">
        <v>2</v>
      </c>
      <c r="C171" s="3"/>
      <c r="D171" s="209" t="s">
        <v>609</v>
      </c>
      <c r="E171" s="3">
        <v>25</v>
      </c>
      <c r="F171" s="149" t="s">
        <v>108</v>
      </c>
      <c r="G171" s="96" t="str">
        <f>IFERROR(IF(VLOOKUP(TableHandbook[[#This Row],[UDC]],TableAvailabilities[],2,FALSE)&gt;0,"Y",""),"")</f>
        <v/>
      </c>
      <c r="H171" s="96" t="str">
        <f>IFERROR(IF(VLOOKUP(TableHandbook[[#This Row],[UDC]],TableAvailabilities[],3,FALSE)&gt;0,"Y",""),"")</f>
        <v/>
      </c>
      <c r="I171" s="96" t="str">
        <f>IFERROR(IF(VLOOKUP(TableHandbook[[#This Row],[UDC]],TableAvailabilities[],4,FALSE)&gt;0,"Y",""),"")</f>
        <v/>
      </c>
      <c r="J171" s="96" t="str">
        <f>IFERROR(IF(VLOOKUP(TableHandbook[[#This Row],[UDC]],TableAvailabilities[],5,FALSE)&gt;0,"Y",""),"")</f>
        <v/>
      </c>
      <c r="K171" s="209" t="s">
        <v>436</v>
      </c>
      <c r="L171" s="213" t="str">
        <f>IFERROR(VLOOKUP(TableHandbook[[#This Row],[UDC]],TableMCARTS[],7,FALSE),"")</f>
        <v/>
      </c>
      <c r="M171" s="211" t="str">
        <f>IFERROR(VLOOKUP(TableHandbook[[#This Row],[UDC]],TableMJRPCWRIT[],7,FALSE),"")</f>
        <v/>
      </c>
      <c r="N171" s="211" t="str">
        <f>IFERROR(VLOOKUP(TableHandbook[[#This Row],[UDC]],TableMJRPDGCMS[],7,FALSE),"")</f>
        <v/>
      </c>
      <c r="O171" s="211" t="str">
        <f>IFERROR(VLOOKUP(TableHandbook[[#This Row],[UDC]],TableMJRPFINAR[],7,FALSE),"")</f>
        <v/>
      </c>
      <c r="P171" s="211" t="str">
        <f>IFERROR(VLOOKUP(TableHandbook[[#This Row],[UDC]],TableMJRPPWRIT[],7,FALSE),"")</f>
        <v/>
      </c>
      <c r="Q171" s="211" t="str">
        <f>IFERROR(VLOOKUP(TableHandbook[[#This Row],[UDC]],TableMJRPSCRAR[],7,FALSE),"")</f>
        <v/>
      </c>
      <c r="R171" s="213" t="str">
        <f>IFERROR(VLOOKUP(TableHandbook[[#This Row],[UDC]],TableMCMMJRG[],7,FALSE),"")</f>
        <v/>
      </c>
      <c r="S171" s="211" t="str">
        <f>IFERROR(VLOOKUP(TableHandbook[[#This Row],[UDC]],TableMCMMJRN[],7,FALSE),"")</f>
        <v/>
      </c>
      <c r="T171" s="211" t="str">
        <f>IFERROR(VLOOKUP(TableHandbook[[#This Row],[UDC]],TableGDMMJRN[],7,FALSE),"")</f>
        <v/>
      </c>
      <c r="U171" s="211" t="str">
        <f>IFERROR(VLOOKUP(TableHandbook[[#This Row],[UDC]],TableGCMMJRN[],7,FALSE),"")</f>
        <v/>
      </c>
      <c r="V171" s="213" t="str">
        <f>IFERROR(VLOOKUP(TableHandbook[[#This Row],[UDC]],TableMCHRIGLO[],7,FALSE),"")</f>
        <v/>
      </c>
      <c r="W171" s="211" t="str">
        <f>IFERROR(VLOOKUP(TableHandbook[[#This Row],[UDC]],TableMCHRIGHT[],7,FALSE),"")</f>
        <v/>
      </c>
      <c r="X171" s="211" t="str">
        <f>IFERROR(VLOOKUP(TableHandbook[[#This Row],[UDC]],TableGDHRIGHT[],7,FALSE),"")</f>
        <v/>
      </c>
      <c r="Y171" s="211" t="str">
        <f>IFERROR(VLOOKUP(TableHandbook[[#This Row],[UDC]],TableGCHRIGHT[],7,FALSE),"")</f>
        <v/>
      </c>
      <c r="Z171" s="213" t="str">
        <f>IFERROR(VLOOKUP(TableHandbook[[#This Row],[UDC]],TableMCGLOBL2[],7,FALSE),"")</f>
        <v/>
      </c>
      <c r="AA171" s="211" t="str">
        <f>IFERROR(VLOOKUP(TableHandbook[[#This Row],[UDC]],TableMCGLOBL[],7,FALSE),"")</f>
        <v/>
      </c>
      <c r="AB171" s="211" t="str">
        <f>IFERROR(VLOOKUP(TableHandbook[[#This Row],[UDC]],TableSTRPGLOBL[],7,FALSE),"")</f>
        <v/>
      </c>
      <c r="AC171" s="211" t="str">
        <f>IFERROR(VLOOKUP(TableHandbook[[#This Row],[UDC]],TableSTRPHRIGT[],7,FALSE),"")</f>
        <v/>
      </c>
      <c r="AD171" s="211" t="str">
        <f>IFERROR(VLOOKUP(TableHandbook[[#This Row],[UDC]],TableSTRPINTRN[],7,FALSE),"")</f>
        <v/>
      </c>
      <c r="AE171" s="211" t="str">
        <f>IFERROR(VLOOKUP(TableHandbook[[#This Row],[UDC]],TableGCGLOBL[],7,FALSE),"")</f>
        <v/>
      </c>
      <c r="AF171" s="213" t="str">
        <f>IFERROR(VLOOKUP(TableHandbook[[#This Row],[UDC]],TableMCINTREL[],7,FALSE),"")</f>
        <v/>
      </c>
      <c r="AG171" s="211" t="str">
        <f>IFERROR(VLOOKUP(TableHandbook[[#This Row],[UDC]],TableMCINTSEC[],7,FALSE),"")</f>
        <v/>
      </c>
      <c r="AH171" s="211" t="str">
        <f>IFERROR(VLOOKUP(TableHandbook[[#This Row],[UDC]],TableGDINTSEC[],7,FALSE),"")</f>
        <v/>
      </c>
      <c r="AI171" s="211" t="str">
        <f>IFERROR(VLOOKUP(TableHandbook[[#This Row],[UDC]],TableGCINTSEC[],7,FALSE),"")</f>
        <v/>
      </c>
      <c r="AJ171" s="211" t="str">
        <f>IFERROR(VLOOKUP(TableHandbook[[#This Row],[UDC]],TableGCINTELL[],7,FALSE),"")</f>
        <v/>
      </c>
      <c r="AK171" s="211" t="str">
        <f>IFERROR(VLOOKUP(TableHandbook[[#This Row],[UDC]],TableGCIPCSEC[],7,FALSE),"")</f>
        <v/>
      </c>
    </row>
    <row r="172" spans="1:37" x14ac:dyDescent="0.3">
      <c r="A172" s="231" t="s">
        <v>187</v>
      </c>
      <c r="B172" s="3">
        <v>3</v>
      </c>
      <c r="C172" s="3"/>
      <c r="D172" s="209" t="s">
        <v>610</v>
      </c>
      <c r="E172" s="3">
        <v>25</v>
      </c>
      <c r="F172" s="245" t="s">
        <v>611</v>
      </c>
      <c r="G172" s="96" t="str">
        <f>IFERROR(IF(VLOOKUP(TableHandbook[[#This Row],[UDC]],TableAvailabilities[],2,FALSE)&gt;0,"Y",""),"")</f>
        <v/>
      </c>
      <c r="H172" s="96" t="str">
        <f>IFERROR(IF(VLOOKUP(TableHandbook[[#This Row],[UDC]],TableAvailabilities[],3,FALSE)&gt;0,"Y",""),"")</f>
        <v/>
      </c>
      <c r="I172" s="96" t="str">
        <f>IFERROR(IF(VLOOKUP(TableHandbook[[#This Row],[UDC]],TableAvailabilities[],4,FALSE)&gt;0,"Y",""),"")</f>
        <v>Y</v>
      </c>
      <c r="J172" s="96" t="str">
        <f>IFERROR(IF(VLOOKUP(TableHandbook[[#This Row],[UDC]],TableAvailabilities[],5,FALSE)&gt;0,"Y",""),"")</f>
        <v/>
      </c>
      <c r="K172" s="209" t="s">
        <v>433</v>
      </c>
      <c r="L172" s="213" t="str">
        <f>IFERROR(VLOOKUP(TableHandbook[[#This Row],[UDC]],TableMCARTS[],7,FALSE),"")</f>
        <v/>
      </c>
      <c r="M172" s="211" t="str">
        <f>IFERROR(VLOOKUP(TableHandbook[[#This Row],[UDC]],TableMJRPCWRIT[],7,FALSE),"")</f>
        <v/>
      </c>
      <c r="N172" s="211" t="str">
        <f>IFERROR(VLOOKUP(TableHandbook[[#This Row],[UDC]],TableMJRPDGCMS[],7,FALSE),"")</f>
        <v>Option</v>
      </c>
      <c r="O172" s="211" t="str">
        <f>IFERROR(VLOOKUP(TableHandbook[[#This Row],[UDC]],TableMJRPFINAR[],7,FALSE),"")</f>
        <v/>
      </c>
      <c r="P172" s="211" t="str">
        <f>IFERROR(VLOOKUP(TableHandbook[[#This Row],[UDC]],TableMJRPPWRIT[],7,FALSE),"")</f>
        <v>Option</v>
      </c>
      <c r="Q172" s="211" t="str">
        <f>IFERROR(VLOOKUP(TableHandbook[[#This Row],[UDC]],TableMJRPSCRAR[],7,FALSE),"")</f>
        <v/>
      </c>
      <c r="R172" s="213" t="str">
        <f>IFERROR(VLOOKUP(TableHandbook[[#This Row],[UDC]],TableMCMMJRG[],7,FALSE),"")</f>
        <v/>
      </c>
      <c r="S172" s="211" t="str">
        <f>IFERROR(VLOOKUP(TableHandbook[[#This Row],[UDC]],TableMCMMJRN[],7,FALSE),"")</f>
        <v/>
      </c>
      <c r="T172" s="211" t="str">
        <f>IFERROR(VLOOKUP(TableHandbook[[#This Row],[UDC]],TableGDMMJRN[],7,FALSE),"")</f>
        <v/>
      </c>
      <c r="U172" s="211" t="str">
        <f>IFERROR(VLOOKUP(TableHandbook[[#This Row],[UDC]],TableGCMMJRN[],7,FALSE),"")</f>
        <v/>
      </c>
      <c r="V172" s="213" t="str">
        <f>IFERROR(VLOOKUP(TableHandbook[[#This Row],[UDC]],TableMCHRIGLO[],7,FALSE),"")</f>
        <v/>
      </c>
      <c r="W172" s="211" t="str">
        <f>IFERROR(VLOOKUP(TableHandbook[[#This Row],[UDC]],TableMCHRIGHT[],7,FALSE),"")</f>
        <v/>
      </c>
      <c r="X172" s="211" t="str">
        <f>IFERROR(VLOOKUP(TableHandbook[[#This Row],[UDC]],TableGDHRIGHT[],7,FALSE),"")</f>
        <v/>
      </c>
      <c r="Y172" s="211" t="str">
        <f>IFERROR(VLOOKUP(TableHandbook[[#This Row],[UDC]],TableGCHRIGHT[],7,FALSE),"")</f>
        <v/>
      </c>
      <c r="Z172" s="213" t="str">
        <f>IFERROR(VLOOKUP(TableHandbook[[#This Row],[UDC]],TableMCGLOBL2[],7,FALSE),"")</f>
        <v/>
      </c>
      <c r="AA172" s="211" t="str">
        <f>IFERROR(VLOOKUP(TableHandbook[[#This Row],[UDC]],TableMCGLOBL[],7,FALSE),"")</f>
        <v/>
      </c>
      <c r="AB172" s="211" t="str">
        <f>IFERROR(VLOOKUP(TableHandbook[[#This Row],[UDC]],TableSTRPGLOBL[],7,FALSE),"")</f>
        <v/>
      </c>
      <c r="AC172" s="211" t="str">
        <f>IFERROR(VLOOKUP(TableHandbook[[#This Row],[UDC]],TableSTRPHRIGT[],7,FALSE),"")</f>
        <v/>
      </c>
      <c r="AD172" s="211" t="str">
        <f>IFERROR(VLOOKUP(TableHandbook[[#This Row],[UDC]],TableSTRPINTRN[],7,FALSE),"")</f>
        <v/>
      </c>
      <c r="AE172" s="211" t="str">
        <f>IFERROR(VLOOKUP(TableHandbook[[#This Row],[UDC]],TableGCGLOBL[],7,FALSE),"")</f>
        <v/>
      </c>
      <c r="AF172" s="213" t="str">
        <f>IFERROR(VLOOKUP(TableHandbook[[#This Row],[UDC]],TableMCINTREL[],7,FALSE),"")</f>
        <v/>
      </c>
      <c r="AG172" s="211" t="str">
        <f>IFERROR(VLOOKUP(TableHandbook[[#This Row],[UDC]],TableMCINTSEC[],7,FALSE),"")</f>
        <v/>
      </c>
      <c r="AH172" s="211" t="str">
        <f>IFERROR(VLOOKUP(TableHandbook[[#This Row],[UDC]],TableGDINTSEC[],7,FALSE),"")</f>
        <v/>
      </c>
      <c r="AI172" s="211" t="str">
        <f>IFERROR(VLOOKUP(TableHandbook[[#This Row],[UDC]],TableGCINTSEC[],7,FALSE),"")</f>
        <v/>
      </c>
      <c r="AJ172" s="211" t="str">
        <f>IFERROR(VLOOKUP(TableHandbook[[#This Row],[UDC]],TableGCINTELL[],7,FALSE),"")</f>
        <v/>
      </c>
      <c r="AK172" s="211" t="str">
        <f>IFERROR(VLOOKUP(TableHandbook[[#This Row],[UDC]],TableGCIPCSEC[],7,FALSE),"")</f>
        <v/>
      </c>
    </row>
    <row r="173" spans="1:37" x14ac:dyDescent="0.3">
      <c r="A173" s="2" t="s">
        <v>612</v>
      </c>
      <c r="B173" s="3">
        <v>2</v>
      </c>
      <c r="C173" s="3"/>
      <c r="D173" s="209" t="s">
        <v>613</v>
      </c>
      <c r="E173" s="3">
        <v>25</v>
      </c>
      <c r="F173" s="149" t="s">
        <v>611</v>
      </c>
      <c r="G173" s="96" t="str">
        <f>IFERROR(IF(VLOOKUP(TableHandbook[[#This Row],[UDC]],TableAvailabilities[],2,FALSE)&gt;0,"Y",""),"")</f>
        <v/>
      </c>
      <c r="H173" s="96" t="str">
        <f>IFERROR(IF(VLOOKUP(TableHandbook[[#This Row],[UDC]],TableAvailabilities[],3,FALSE)&gt;0,"Y",""),"")</f>
        <v/>
      </c>
      <c r="I173" s="96" t="str">
        <f>IFERROR(IF(VLOOKUP(TableHandbook[[#This Row],[UDC]],TableAvailabilities[],4,FALSE)&gt;0,"Y",""),"")</f>
        <v/>
      </c>
      <c r="J173" s="96" t="str">
        <f>IFERROR(IF(VLOOKUP(TableHandbook[[#This Row],[UDC]],TableAvailabilities[],5,FALSE)&gt;0,"Y",""),"")</f>
        <v/>
      </c>
      <c r="K173" s="209" t="s">
        <v>436</v>
      </c>
      <c r="L173" s="213" t="str">
        <f>IFERROR(VLOOKUP(TableHandbook[[#This Row],[UDC]],TableMCARTS[],7,FALSE),"")</f>
        <v/>
      </c>
      <c r="M173" s="211" t="str">
        <f>IFERROR(VLOOKUP(TableHandbook[[#This Row],[UDC]],TableMJRPCWRIT[],7,FALSE),"")</f>
        <v/>
      </c>
      <c r="N173" s="211" t="str">
        <f>IFERROR(VLOOKUP(TableHandbook[[#This Row],[UDC]],TableMJRPDGCMS[],7,FALSE),"")</f>
        <v/>
      </c>
      <c r="O173" s="211" t="str">
        <f>IFERROR(VLOOKUP(TableHandbook[[#This Row],[UDC]],TableMJRPFINAR[],7,FALSE),"")</f>
        <v/>
      </c>
      <c r="P173" s="211" t="str">
        <f>IFERROR(VLOOKUP(TableHandbook[[#This Row],[UDC]],TableMJRPPWRIT[],7,FALSE),"")</f>
        <v/>
      </c>
      <c r="Q173" s="211" t="str">
        <f>IFERROR(VLOOKUP(TableHandbook[[#This Row],[UDC]],TableMJRPSCRAR[],7,FALSE),"")</f>
        <v/>
      </c>
      <c r="R173" s="213" t="str">
        <f>IFERROR(VLOOKUP(TableHandbook[[#This Row],[UDC]],TableMCMMJRG[],7,FALSE),"")</f>
        <v/>
      </c>
      <c r="S173" s="211" t="str">
        <f>IFERROR(VLOOKUP(TableHandbook[[#This Row],[UDC]],TableMCMMJRN[],7,FALSE),"")</f>
        <v/>
      </c>
      <c r="T173" s="211" t="str">
        <f>IFERROR(VLOOKUP(TableHandbook[[#This Row],[UDC]],TableGDMMJRN[],7,FALSE),"")</f>
        <v/>
      </c>
      <c r="U173" s="211" t="str">
        <f>IFERROR(VLOOKUP(TableHandbook[[#This Row],[UDC]],TableGCMMJRN[],7,FALSE),"")</f>
        <v/>
      </c>
      <c r="V173" s="213" t="str">
        <f>IFERROR(VLOOKUP(TableHandbook[[#This Row],[UDC]],TableMCHRIGLO[],7,FALSE),"")</f>
        <v/>
      </c>
      <c r="W173" s="211" t="str">
        <f>IFERROR(VLOOKUP(TableHandbook[[#This Row],[UDC]],TableMCHRIGHT[],7,FALSE),"")</f>
        <v/>
      </c>
      <c r="X173" s="211" t="str">
        <f>IFERROR(VLOOKUP(TableHandbook[[#This Row],[UDC]],TableGDHRIGHT[],7,FALSE),"")</f>
        <v/>
      </c>
      <c r="Y173" s="211" t="str">
        <f>IFERROR(VLOOKUP(TableHandbook[[#This Row],[UDC]],TableGCHRIGHT[],7,FALSE),"")</f>
        <v/>
      </c>
      <c r="Z173" s="213" t="str">
        <f>IFERROR(VLOOKUP(TableHandbook[[#This Row],[UDC]],TableMCGLOBL2[],7,FALSE),"")</f>
        <v/>
      </c>
      <c r="AA173" s="211" t="str">
        <f>IFERROR(VLOOKUP(TableHandbook[[#This Row],[UDC]],TableMCGLOBL[],7,FALSE),"")</f>
        <v/>
      </c>
      <c r="AB173" s="211" t="str">
        <f>IFERROR(VLOOKUP(TableHandbook[[#This Row],[UDC]],TableSTRPGLOBL[],7,FALSE),"")</f>
        <v/>
      </c>
      <c r="AC173" s="211" t="str">
        <f>IFERROR(VLOOKUP(TableHandbook[[#This Row],[UDC]],TableSTRPHRIGT[],7,FALSE),"")</f>
        <v/>
      </c>
      <c r="AD173" s="211" t="str">
        <f>IFERROR(VLOOKUP(TableHandbook[[#This Row],[UDC]],TableSTRPINTRN[],7,FALSE),"")</f>
        <v/>
      </c>
      <c r="AE173" s="211" t="str">
        <f>IFERROR(VLOOKUP(TableHandbook[[#This Row],[UDC]],TableGCGLOBL[],7,FALSE),"")</f>
        <v/>
      </c>
      <c r="AF173" s="213" t="str">
        <f>IFERROR(VLOOKUP(TableHandbook[[#This Row],[UDC]],TableMCINTREL[],7,FALSE),"")</f>
        <v/>
      </c>
      <c r="AG173" s="211" t="str">
        <f>IFERROR(VLOOKUP(TableHandbook[[#This Row],[UDC]],TableMCINTSEC[],7,FALSE),"")</f>
        <v/>
      </c>
      <c r="AH173" s="211" t="str">
        <f>IFERROR(VLOOKUP(TableHandbook[[#This Row],[UDC]],TableGDINTSEC[],7,FALSE),"")</f>
        <v/>
      </c>
      <c r="AI173" s="211" t="str">
        <f>IFERROR(VLOOKUP(TableHandbook[[#This Row],[UDC]],TableGCINTSEC[],7,FALSE),"")</f>
        <v/>
      </c>
      <c r="AJ173" s="211" t="str">
        <f>IFERROR(VLOOKUP(TableHandbook[[#This Row],[UDC]],TableGCINTELL[],7,FALSE),"")</f>
        <v/>
      </c>
      <c r="AK173" s="211" t="str">
        <f>IFERROR(VLOOKUP(TableHandbook[[#This Row],[UDC]],TableGCIPCSEC[],7,FALSE),"")</f>
        <v/>
      </c>
    </row>
    <row r="174" spans="1:37" x14ac:dyDescent="0.3">
      <c r="A174" s="231" t="s">
        <v>230</v>
      </c>
      <c r="B174" s="3">
        <v>3</v>
      </c>
      <c r="C174" s="3"/>
      <c r="D174" s="209" t="s">
        <v>614</v>
      </c>
      <c r="E174" s="3">
        <v>25</v>
      </c>
      <c r="F174" s="245" t="s">
        <v>192</v>
      </c>
      <c r="G174" s="96" t="str">
        <f>IFERROR(IF(VLOOKUP(TableHandbook[[#This Row],[UDC]],TableAvailabilities[],2,FALSE)&gt;0,"Y",""),"")</f>
        <v/>
      </c>
      <c r="H174" s="96" t="str">
        <f>IFERROR(IF(VLOOKUP(TableHandbook[[#This Row],[UDC]],TableAvailabilities[],3,FALSE)&gt;0,"Y",""),"")</f>
        <v/>
      </c>
      <c r="I174" s="96" t="str">
        <f>IFERROR(IF(VLOOKUP(TableHandbook[[#This Row],[UDC]],TableAvailabilities[],4,FALSE)&gt;0,"Y",""),"")</f>
        <v>Y</v>
      </c>
      <c r="J174" s="96" t="str">
        <f>IFERROR(IF(VLOOKUP(TableHandbook[[#This Row],[UDC]],TableAvailabilities[],5,FALSE)&gt;0,"Y",""),"")</f>
        <v/>
      </c>
      <c r="K174" s="209" t="s">
        <v>433</v>
      </c>
      <c r="L174" s="213" t="str">
        <f>IFERROR(VLOOKUP(TableHandbook[[#This Row],[UDC]],TableMCARTS[],7,FALSE),"")</f>
        <v/>
      </c>
      <c r="M174" s="211" t="str">
        <f>IFERROR(VLOOKUP(TableHandbook[[#This Row],[UDC]],TableMJRPCWRIT[],7,FALSE),"")</f>
        <v>Option</v>
      </c>
      <c r="N174" s="211" t="str">
        <f>IFERROR(VLOOKUP(TableHandbook[[#This Row],[UDC]],TableMJRPDGCMS[],7,FALSE),"")</f>
        <v/>
      </c>
      <c r="O174" s="211" t="str">
        <f>IFERROR(VLOOKUP(TableHandbook[[#This Row],[UDC]],TableMJRPFINAR[],7,FALSE),"")</f>
        <v/>
      </c>
      <c r="P174" s="211" t="str">
        <f>IFERROR(VLOOKUP(TableHandbook[[#This Row],[UDC]],TableMJRPPWRIT[],7,FALSE),"")</f>
        <v>Option</v>
      </c>
      <c r="Q174" s="211" t="str">
        <f>IFERROR(VLOOKUP(TableHandbook[[#This Row],[UDC]],TableMJRPSCRAR[],7,FALSE),"")</f>
        <v/>
      </c>
      <c r="R174" s="213" t="str">
        <f>IFERROR(VLOOKUP(TableHandbook[[#This Row],[UDC]],TableMCMMJRG[],7,FALSE),"")</f>
        <v/>
      </c>
      <c r="S174" s="211" t="str">
        <f>IFERROR(VLOOKUP(TableHandbook[[#This Row],[UDC]],TableMCMMJRN[],7,FALSE),"")</f>
        <v/>
      </c>
      <c r="T174" s="211" t="str">
        <f>IFERROR(VLOOKUP(TableHandbook[[#This Row],[UDC]],TableGDMMJRN[],7,FALSE),"")</f>
        <v/>
      </c>
      <c r="U174" s="211" t="str">
        <f>IFERROR(VLOOKUP(TableHandbook[[#This Row],[UDC]],TableGCMMJRN[],7,FALSE),"")</f>
        <v/>
      </c>
      <c r="V174" s="213" t="str">
        <f>IFERROR(VLOOKUP(TableHandbook[[#This Row],[UDC]],TableMCHRIGLO[],7,FALSE),"")</f>
        <v/>
      </c>
      <c r="W174" s="211" t="str">
        <f>IFERROR(VLOOKUP(TableHandbook[[#This Row],[UDC]],TableMCHRIGHT[],7,FALSE),"")</f>
        <v/>
      </c>
      <c r="X174" s="211" t="str">
        <f>IFERROR(VLOOKUP(TableHandbook[[#This Row],[UDC]],TableGDHRIGHT[],7,FALSE),"")</f>
        <v/>
      </c>
      <c r="Y174" s="211" t="str">
        <f>IFERROR(VLOOKUP(TableHandbook[[#This Row],[UDC]],TableGCHRIGHT[],7,FALSE),"")</f>
        <v/>
      </c>
      <c r="Z174" s="213" t="str">
        <f>IFERROR(VLOOKUP(TableHandbook[[#This Row],[UDC]],TableMCGLOBL2[],7,FALSE),"")</f>
        <v/>
      </c>
      <c r="AA174" s="211" t="str">
        <f>IFERROR(VLOOKUP(TableHandbook[[#This Row],[UDC]],TableMCGLOBL[],7,FALSE),"")</f>
        <v/>
      </c>
      <c r="AB174" s="211" t="str">
        <f>IFERROR(VLOOKUP(TableHandbook[[#This Row],[UDC]],TableSTRPGLOBL[],7,FALSE),"")</f>
        <v/>
      </c>
      <c r="AC174" s="211" t="str">
        <f>IFERROR(VLOOKUP(TableHandbook[[#This Row],[UDC]],TableSTRPHRIGT[],7,FALSE),"")</f>
        <v/>
      </c>
      <c r="AD174" s="211" t="str">
        <f>IFERROR(VLOOKUP(TableHandbook[[#This Row],[UDC]],TableSTRPINTRN[],7,FALSE),"")</f>
        <v/>
      </c>
      <c r="AE174" s="211" t="str">
        <f>IFERROR(VLOOKUP(TableHandbook[[#This Row],[UDC]],TableGCGLOBL[],7,FALSE),"")</f>
        <v/>
      </c>
      <c r="AF174" s="213" t="str">
        <f>IFERROR(VLOOKUP(TableHandbook[[#This Row],[UDC]],TableMCINTREL[],7,FALSE),"")</f>
        <v/>
      </c>
      <c r="AG174" s="211" t="str">
        <f>IFERROR(VLOOKUP(TableHandbook[[#This Row],[UDC]],TableMCINTSEC[],7,FALSE),"")</f>
        <v/>
      </c>
      <c r="AH174" s="211" t="str">
        <f>IFERROR(VLOOKUP(TableHandbook[[#This Row],[UDC]],TableGDINTSEC[],7,FALSE),"")</f>
        <v/>
      </c>
      <c r="AI174" s="211" t="str">
        <f>IFERROR(VLOOKUP(TableHandbook[[#This Row],[UDC]],TableGCINTSEC[],7,FALSE),"")</f>
        <v/>
      </c>
      <c r="AJ174" s="211" t="str">
        <f>IFERROR(VLOOKUP(TableHandbook[[#This Row],[UDC]],TableGCINTELL[],7,FALSE),"")</f>
        <v/>
      </c>
      <c r="AK174" s="211" t="str">
        <f>IFERROR(VLOOKUP(TableHandbook[[#This Row],[UDC]],TableGCIPCSEC[],7,FALSE),"")</f>
        <v/>
      </c>
    </row>
    <row r="175" spans="1:37" x14ac:dyDescent="0.3">
      <c r="A175" s="2" t="s">
        <v>615</v>
      </c>
      <c r="B175" s="3">
        <v>2</v>
      </c>
      <c r="C175" s="3"/>
      <c r="D175" s="209" t="s">
        <v>616</v>
      </c>
      <c r="E175" s="3">
        <v>25</v>
      </c>
      <c r="F175" s="149" t="s">
        <v>192</v>
      </c>
      <c r="G175" s="96" t="str">
        <f>IFERROR(IF(VLOOKUP(TableHandbook[[#This Row],[UDC]],TableAvailabilities[],2,FALSE)&gt;0,"Y",""),"")</f>
        <v/>
      </c>
      <c r="H175" s="96" t="str">
        <f>IFERROR(IF(VLOOKUP(TableHandbook[[#This Row],[UDC]],TableAvailabilities[],3,FALSE)&gt;0,"Y",""),"")</f>
        <v/>
      </c>
      <c r="I175" s="96" t="str">
        <f>IFERROR(IF(VLOOKUP(TableHandbook[[#This Row],[UDC]],TableAvailabilities[],4,FALSE)&gt;0,"Y",""),"")</f>
        <v/>
      </c>
      <c r="J175" s="96" t="str">
        <f>IFERROR(IF(VLOOKUP(TableHandbook[[#This Row],[UDC]],TableAvailabilities[],5,FALSE)&gt;0,"Y",""),"")</f>
        <v/>
      </c>
      <c r="K175" s="209" t="s">
        <v>436</v>
      </c>
      <c r="L175" s="213" t="str">
        <f>IFERROR(VLOOKUP(TableHandbook[[#This Row],[UDC]],TableMCARTS[],7,FALSE),"")</f>
        <v/>
      </c>
      <c r="M175" s="211" t="str">
        <f>IFERROR(VLOOKUP(TableHandbook[[#This Row],[UDC]],TableMJRPCWRIT[],7,FALSE),"")</f>
        <v/>
      </c>
      <c r="N175" s="211" t="str">
        <f>IFERROR(VLOOKUP(TableHandbook[[#This Row],[UDC]],TableMJRPDGCMS[],7,FALSE),"")</f>
        <v/>
      </c>
      <c r="O175" s="211" t="str">
        <f>IFERROR(VLOOKUP(TableHandbook[[#This Row],[UDC]],TableMJRPFINAR[],7,FALSE),"")</f>
        <v/>
      </c>
      <c r="P175" s="211" t="str">
        <f>IFERROR(VLOOKUP(TableHandbook[[#This Row],[UDC]],TableMJRPPWRIT[],7,FALSE),"")</f>
        <v/>
      </c>
      <c r="Q175" s="211" t="str">
        <f>IFERROR(VLOOKUP(TableHandbook[[#This Row],[UDC]],TableMJRPSCRAR[],7,FALSE),"")</f>
        <v/>
      </c>
      <c r="R175" s="213" t="str">
        <f>IFERROR(VLOOKUP(TableHandbook[[#This Row],[UDC]],TableMCMMJRG[],7,FALSE),"")</f>
        <v/>
      </c>
      <c r="S175" s="211" t="str">
        <f>IFERROR(VLOOKUP(TableHandbook[[#This Row],[UDC]],TableMCMMJRN[],7,FALSE),"")</f>
        <v/>
      </c>
      <c r="T175" s="211" t="str">
        <f>IFERROR(VLOOKUP(TableHandbook[[#This Row],[UDC]],TableGDMMJRN[],7,FALSE),"")</f>
        <v/>
      </c>
      <c r="U175" s="211" t="str">
        <f>IFERROR(VLOOKUP(TableHandbook[[#This Row],[UDC]],TableGCMMJRN[],7,FALSE),"")</f>
        <v/>
      </c>
      <c r="V175" s="213" t="str">
        <f>IFERROR(VLOOKUP(TableHandbook[[#This Row],[UDC]],TableMCHRIGLO[],7,FALSE),"")</f>
        <v/>
      </c>
      <c r="W175" s="211" t="str">
        <f>IFERROR(VLOOKUP(TableHandbook[[#This Row],[UDC]],TableMCHRIGHT[],7,FALSE),"")</f>
        <v/>
      </c>
      <c r="X175" s="211" t="str">
        <f>IFERROR(VLOOKUP(TableHandbook[[#This Row],[UDC]],TableGDHRIGHT[],7,FALSE),"")</f>
        <v/>
      </c>
      <c r="Y175" s="211" t="str">
        <f>IFERROR(VLOOKUP(TableHandbook[[#This Row],[UDC]],TableGCHRIGHT[],7,FALSE),"")</f>
        <v/>
      </c>
      <c r="Z175" s="213" t="str">
        <f>IFERROR(VLOOKUP(TableHandbook[[#This Row],[UDC]],TableMCGLOBL2[],7,FALSE),"")</f>
        <v/>
      </c>
      <c r="AA175" s="211" t="str">
        <f>IFERROR(VLOOKUP(TableHandbook[[#This Row],[UDC]],TableMCGLOBL[],7,FALSE),"")</f>
        <v/>
      </c>
      <c r="AB175" s="211" t="str">
        <f>IFERROR(VLOOKUP(TableHandbook[[#This Row],[UDC]],TableSTRPGLOBL[],7,FALSE),"")</f>
        <v/>
      </c>
      <c r="AC175" s="211" t="str">
        <f>IFERROR(VLOOKUP(TableHandbook[[#This Row],[UDC]],TableSTRPHRIGT[],7,FALSE),"")</f>
        <v/>
      </c>
      <c r="AD175" s="211" t="str">
        <f>IFERROR(VLOOKUP(TableHandbook[[#This Row],[UDC]],TableSTRPINTRN[],7,FALSE),"")</f>
        <v/>
      </c>
      <c r="AE175" s="211" t="str">
        <f>IFERROR(VLOOKUP(TableHandbook[[#This Row],[UDC]],TableGCGLOBL[],7,FALSE),"")</f>
        <v/>
      </c>
      <c r="AF175" s="213" t="str">
        <f>IFERROR(VLOOKUP(TableHandbook[[#This Row],[UDC]],TableMCINTREL[],7,FALSE),"")</f>
        <v/>
      </c>
      <c r="AG175" s="211" t="str">
        <f>IFERROR(VLOOKUP(TableHandbook[[#This Row],[UDC]],TableMCINTSEC[],7,FALSE),"")</f>
        <v/>
      </c>
      <c r="AH175" s="211" t="str">
        <f>IFERROR(VLOOKUP(TableHandbook[[#This Row],[UDC]],TableGDINTSEC[],7,FALSE),"")</f>
        <v/>
      </c>
      <c r="AI175" s="211" t="str">
        <f>IFERROR(VLOOKUP(TableHandbook[[#This Row],[UDC]],TableGCINTSEC[],7,FALSE),"")</f>
        <v/>
      </c>
      <c r="AJ175" s="211" t="str">
        <f>IFERROR(VLOOKUP(TableHandbook[[#This Row],[UDC]],TableGCINTELL[],7,FALSE),"")</f>
        <v/>
      </c>
      <c r="AK175" s="211" t="str">
        <f>IFERROR(VLOOKUP(TableHandbook[[#This Row],[UDC]],TableGCIPCSEC[],7,FALSE),"")</f>
        <v/>
      </c>
    </row>
    <row r="176" spans="1:37" x14ac:dyDescent="0.3">
      <c r="A176" s="231" t="s">
        <v>192</v>
      </c>
      <c r="B176" s="3">
        <v>3</v>
      </c>
      <c r="C176" s="3"/>
      <c r="D176" s="209" t="s">
        <v>617</v>
      </c>
      <c r="E176" s="3">
        <v>25</v>
      </c>
      <c r="F176" s="245" t="s">
        <v>108</v>
      </c>
      <c r="G176" s="96" t="str">
        <f>IFERROR(IF(VLOOKUP(TableHandbook[[#This Row],[UDC]],TableAvailabilities[],2,FALSE)&gt;0,"Y",""),"")</f>
        <v>Y</v>
      </c>
      <c r="H176" s="96" t="str">
        <f>IFERROR(IF(VLOOKUP(TableHandbook[[#This Row],[UDC]],TableAvailabilities[],3,FALSE)&gt;0,"Y",""),"")</f>
        <v/>
      </c>
      <c r="I176" s="96" t="str">
        <f>IFERROR(IF(VLOOKUP(TableHandbook[[#This Row],[UDC]],TableAvailabilities[],4,FALSE)&gt;0,"Y",""),"")</f>
        <v/>
      </c>
      <c r="J176" s="96" t="str">
        <f>IFERROR(IF(VLOOKUP(TableHandbook[[#This Row],[UDC]],TableAvailabilities[],5,FALSE)&gt;0,"Y",""),"")</f>
        <v/>
      </c>
      <c r="K176" s="209" t="s">
        <v>433</v>
      </c>
      <c r="L176" s="213" t="str">
        <f>IFERROR(VLOOKUP(TableHandbook[[#This Row],[UDC]],TableMCARTS[],7,FALSE),"")</f>
        <v/>
      </c>
      <c r="M176" s="211" t="str">
        <f>IFERROR(VLOOKUP(TableHandbook[[#This Row],[UDC]],TableMJRPCWRIT[],7,FALSE),"")</f>
        <v>Option</v>
      </c>
      <c r="N176" s="211" t="str">
        <f>IFERROR(VLOOKUP(TableHandbook[[#This Row],[UDC]],TableMJRPDGCMS[],7,FALSE),"")</f>
        <v/>
      </c>
      <c r="O176" s="211" t="str">
        <f>IFERROR(VLOOKUP(TableHandbook[[#This Row],[UDC]],TableMJRPFINAR[],7,FALSE),"")</f>
        <v/>
      </c>
      <c r="P176" s="211" t="str">
        <f>IFERROR(VLOOKUP(TableHandbook[[#This Row],[UDC]],TableMJRPPWRIT[],7,FALSE),"")</f>
        <v>Option</v>
      </c>
      <c r="Q176" s="211" t="str">
        <f>IFERROR(VLOOKUP(TableHandbook[[#This Row],[UDC]],TableMJRPSCRAR[],7,FALSE),"")</f>
        <v/>
      </c>
      <c r="R176" s="213" t="str">
        <f>IFERROR(VLOOKUP(TableHandbook[[#This Row],[UDC]],TableMCMMJRG[],7,FALSE),"")</f>
        <v/>
      </c>
      <c r="S176" s="211" t="str">
        <f>IFERROR(VLOOKUP(TableHandbook[[#This Row],[UDC]],TableMCMMJRN[],7,FALSE),"")</f>
        <v/>
      </c>
      <c r="T176" s="211" t="str">
        <f>IFERROR(VLOOKUP(TableHandbook[[#This Row],[UDC]],TableGDMMJRN[],7,FALSE),"")</f>
        <v/>
      </c>
      <c r="U176" s="211" t="str">
        <f>IFERROR(VLOOKUP(TableHandbook[[#This Row],[UDC]],TableGCMMJRN[],7,FALSE),"")</f>
        <v/>
      </c>
      <c r="V176" s="213" t="str">
        <f>IFERROR(VLOOKUP(TableHandbook[[#This Row],[UDC]],TableMCHRIGLO[],7,FALSE),"")</f>
        <v/>
      </c>
      <c r="W176" s="211" t="str">
        <f>IFERROR(VLOOKUP(TableHandbook[[#This Row],[UDC]],TableMCHRIGHT[],7,FALSE),"")</f>
        <v/>
      </c>
      <c r="X176" s="211" t="str">
        <f>IFERROR(VLOOKUP(TableHandbook[[#This Row],[UDC]],TableGDHRIGHT[],7,FALSE),"")</f>
        <v/>
      </c>
      <c r="Y176" s="211" t="str">
        <f>IFERROR(VLOOKUP(TableHandbook[[#This Row],[UDC]],TableGCHRIGHT[],7,FALSE),"")</f>
        <v/>
      </c>
      <c r="Z176" s="213" t="str">
        <f>IFERROR(VLOOKUP(TableHandbook[[#This Row],[UDC]],TableMCGLOBL2[],7,FALSE),"")</f>
        <v/>
      </c>
      <c r="AA176" s="211" t="str">
        <f>IFERROR(VLOOKUP(TableHandbook[[#This Row],[UDC]],TableMCGLOBL[],7,FALSE),"")</f>
        <v/>
      </c>
      <c r="AB176" s="211" t="str">
        <f>IFERROR(VLOOKUP(TableHandbook[[#This Row],[UDC]],TableSTRPGLOBL[],7,FALSE),"")</f>
        <v/>
      </c>
      <c r="AC176" s="211" t="str">
        <f>IFERROR(VLOOKUP(TableHandbook[[#This Row],[UDC]],TableSTRPHRIGT[],7,FALSE),"")</f>
        <v/>
      </c>
      <c r="AD176" s="211" t="str">
        <f>IFERROR(VLOOKUP(TableHandbook[[#This Row],[UDC]],TableSTRPINTRN[],7,FALSE),"")</f>
        <v/>
      </c>
      <c r="AE176" s="211" t="str">
        <f>IFERROR(VLOOKUP(TableHandbook[[#This Row],[UDC]],TableGCGLOBL[],7,FALSE),"")</f>
        <v/>
      </c>
      <c r="AF176" s="213" t="str">
        <f>IFERROR(VLOOKUP(TableHandbook[[#This Row],[UDC]],TableMCINTREL[],7,FALSE),"")</f>
        <v/>
      </c>
      <c r="AG176" s="211" t="str">
        <f>IFERROR(VLOOKUP(TableHandbook[[#This Row],[UDC]],TableMCINTSEC[],7,FALSE),"")</f>
        <v/>
      </c>
      <c r="AH176" s="211" t="str">
        <f>IFERROR(VLOOKUP(TableHandbook[[#This Row],[UDC]],TableGDINTSEC[],7,FALSE),"")</f>
        <v/>
      </c>
      <c r="AI176" s="211" t="str">
        <f>IFERROR(VLOOKUP(TableHandbook[[#This Row],[UDC]],TableGCINTSEC[],7,FALSE),"")</f>
        <v/>
      </c>
      <c r="AJ176" s="211" t="str">
        <f>IFERROR(VLOOKUP(TableHandbook[[#This Row],[UDC]],TableGCINTELL[],7,FALSE),"")</f>
        <v/>
      </c>
      <c r="AK176" s="211" t="str">
        <f>IFERROR(VLOOKUP(TableHandbook[[#This Row],[UDC]],TableGCIPCSEC[],7,FALSE),"")</f>
        <v/>
      </c>
    </row>
    <row r="177" spans="1:37" x14ac:dyDescent="0.3">
      <c r="A177" s="2" t="s">
        <v>618</v>
      </c>
      <c r="B177" s="3">
        <v>2</v>
      </c>
      <c r="C177" s="3"/>
      <c r="D177" s="209" t="s">
        <v>619</v>
      </c>
      <c r="E177" s="3">
        <v>25</v>
      </c>
      <c r="F177" s="149" t="s">
        <v>108</v>
      </c>
      <c r="G177" s="96" t="str">
        <f>IFERROR(IF(VLOOKUP(TableHandbook[[#This Row],[UDC]],TableAvailabilities[],2,FALSE)&gt;0,"Y",""),"")</f>
        <v/>
      </c>
      <c r="H177" s="96" t="str">
        <f>IFERROR(IF(VLOOKUP(TableHandbook[[#This Row],[UDC]],TableAvailabilities[],3,FALSE)&gt;0,"Y",""),"")</f>
        <v/>
      </c>
      <c r="I177" s="96" t="str">
        <f>IFERROR(IF(VLOOKUP(TableHandbook[[#This Row],[UDC]],TableAvailabilities[],4,FALSE)&gt;0,"Y",""),"")</f>
        <v/>
      </c>
      <c r="J177" s="96" t="str">
        <f>IFERROR(IF(VLOOKUP(TableHandbook[[#This Row],[UDC]],TableAvailabilities[],5,FALSE)&gt;0,"Y",""),"")</f>
        <v/>
      </c>
      <c r="K177" s="209" t="s">
        <v>436</v>
      </c>
      <c r="L177" s="213" t="str">
        <f>IFERROR(VLOOKUP(TableHandbook[[#This Row],[UDC]],TableMCARTS[],7,FALSE),"")</f>
        <v/>
      </c>
      <c r="M177" s="211" t="str">
        <f>IFERROR(VLOOKUP(TableHandbook[[#This Row],[UDC]],TableMJRPCWRIT[],7,FALSE),"")</f>
        <v/>
      </c>
      <c r="N177" s="211" t="str">
        <f>IFERROR(VLOOKUP(TableHandbook[[#This Row],[UDC]],TableMJRPDGCMS[],7,FALSE),"")</f>
        <v/>
      </c>
      <c r="O177" s="211" t="str">
        <f>IFERROR(VLOOKUP(TableHandbook[[#This Row],[UDC]],TableMJRPFINAR[],7,FALSE),"")</f>
        <v/>
      </c>
      <c r="P177" s="211" t="str">
        <f>IFERROR(VLOOKUP(TableHandbook[[#This Row],[UDC]],TableMJRPPWRIT[],7,FALSE),"")</f>
        <v/>
      </c>
      <c r="Q177" s="211" t="str">
        <f>IFERROR(VLOOKUP(TableHandbook[[#This Row],[UDC]],TableMJRPSCRAR[],7,FALSE),"")</f>
        <v/>
      </c>
      <c r="R177" s="213" t="str">
        <f>IFERROR(VLOOKUP(TableHandbook[[#This Row],[UDC]],TableMCMMJRG[],7,FALSE),"")</f>
        <v/>
      </c>
      <c r="S177" s="211" t="str">
        <f>IFERROR(VLOOKUP(TableHandbook[[#This Row],[UDC]],TableMCMMJRN[],7,FALSE),"")</f>
        <v/>
      </c>
      <c r="T177" s="211" t="str">
        <f>IFERROR(VLOOKUP(TableHandbook[[#This Row],[UDC]],TableGDMMJRN[],7,FALSE),"")</f>
        <v/>
      </c>
      <c r="U177" s="211" t="str">
        <f>IFERROR(VLOOKUP(TableHandbook[[#This Row],[UDC]],TableGCMMJRN[],7,FALSE),"")</f>
        <v/>
      </c>
      <c r="V177" s="213" t="str">
        <f>IFERROR(VLOOKUP(TableHandbook[[#This Row],[UDC]],TableMCHRIGLO[],7,FALSE),"")</f>
        <v/>
      </c>
      <c r="W177" s="211" t="str">
        <f>IFERROR(VLOOKUP(TableHandbook[[#This Row],[UDC]],TableMCHRIGHT[],7,FALSE),"")</f>
        <v/>
      </c>
      <c r="X177" s="211" t="str">
        <f>IFERROR(VLOOKUP(TableHandbook[[#This Row],[UDC]],TableGDHRIGHT[],7,FALSE),"")</f>
        <v/>
      </c>
      <c r="Y177" s="211" t="str">
        <f>IFERROR(VLOOKUP(TableHandbook[[#This Row],[UDC]],TableGCHRIGHT[],7,FALSE),"")</f>
        <v/>
      </c>
      <c r="Z177" s="213" t="str">
        <f>IFERROR(VLOOKUP(TableHandbook[[#This Row],[UDC]],TableMCGLOBL2[],7,FALSE),"")</f>
        <v/>
      </c>
      <c r="AA177" s="211" t="str">
        <f>IFERROR(VLOOKUP(TableHandbook[[#This Row],[UDC]],TableMCGLOBL[],7,FALSE),"")</f>
        <v/>
      </c>
      <c r="AB177" s="211" t="str">
        <f>IFERROR(VLOOKUP(TableHandbook[[#This Row],[UDC]],TableSTRPGLOBL[],7,FALSE),"")</f>
        <v/>
      </c>
      <c r="AC177" s="211" t="str">
        <f>IFERROR(VLOOKUP(TableHandbook[[#This Row],[UDC]],TableSTRPHRIGT[],7,FALSE),"")</f>
        <v/>
      </c>
      <c r="AD177" s="211" t="str">
        <f>IFERROR(VLOOKUP(TableHandbook[[#This Row],[UDC]],TableSTRPINTRN[],7,FALSE),"")</f>
        <v/>
      </c>
      <c r="AE177" s="211" t="str">
        <f>IFERROR(VLOOKUP(TableHandbook[[#This Row],[UDC]],TableGCGLOBL[],7,FALSE),"")</f>
        <v/>
      </c>
      <c r="AF177" s="213" t="str">
        <f>IFERROR(VLOOKUP(TableHandbook[[#This Row],[UDC]],TableMCINTREL[],7,FALSE),"")</f>
        <v/>
      </c>
      <c r="AG177" s="211" t="str">
        <f>IFERROR(VLOOKUP(TableHandbook[[#This Row],[UDC]],TableMCINTSEC[],7,FALSE),"")</f>
        <v/>
      </c>
      <c r="AH177" s="211" t="str">
        <f>IFERROR(VLOOKUP(TableHandbook[[#This Row],[UDC]],TableGDINTSEC[],7,FALSE),"")</f>
        <v/>
      </c>
      <c r="AI177" s="211" t="str">
        <f>IFERROR(VLOOKUP(TableHandbook[[#This Row],[UDC]],TableGCINTSEC[],7,FALSE),"")</f>
        <v/>
      </c>
      <c r="AJ177" s="211" t="str">
        <f>IFERROR(VLOOKUP(TableHandbook[[#This Row],[UDC]],TableGCINTELL[],7,FALSE),"")</f>
        <v/>
      </c>
      <c r="AK177" s="211" t="str">
        <f>IFERROR(VLOOKUP(TableHandbook[[#This Row],[UDC]],TableGCIPCSEC[],7,FALSE),"")</f>
        <v/>
      </c>
    </row>
    <row r="178" spans="1:37" x14ac:dyDescent="0.3">
      <c r="A178" s="231" t="s">
        <v>198</v>
      </c>
      <c r="B178" s="3">
        <v>3</v>
      </c>
      <c r="C178" s="3"/>
      <c r="D178" s="209" t="s">
        <v>620</v>
      </c>
      <c r="E178" s="3">
        <v>25</v>
      </c>
      <c r="F178" s="245" t="s">
        <v>108</v>
      </c>
      <c r="G178" s="96" t="str">
        <f>IFERROR(IF(VLOOKUP(TableHandbook[[#This Row],[UDC]],TableAvailabilities[],2,FALSE)&gt;0,"Y",""),"")</f>
        <v>Y</v>
      </c>
      <c r="H178" s="96" t="str">
        <f>IFERROR(IF(VLOOKUP(TableHandbook[[#This Row],[UDC]],TableAvailabilities[],3,FALSE)&gt;0,"Y",""),"")</f>
        <v/>
      </c>
      <c r="I178" s="96" t="str">
        <f>IFERROR(IF(VLOOKUP(TableHandbook[[#This Row],[UDC]],TableAvailabilities[],4,FALSE)&gt;0,"Y",""),"")</f>
        <v/>
      </c>
      <c r="J178" s="96" t="str">
        <f>IFERROR(IF(VLOOKUP(TableHandbook[[#This Row],[UDC]],TableAvailabilities[],5,FALSE)&gt;0,"Y",""),"")</f>
        <v/>
      </c>
      <c r="K178" s="209" t="s">
        <v>433</v>
      </c>
      <c r="L178" s="213" t="str">
        <f>IFERROR(VLOOKUP(TableHandbook[[#This Row],[UDC]],TableMCARTS[],7,FALSE),"")</f>
        <v/>
      </c>
      <c r="M178" s="211" t="str">
        <f>IFERROR(VLOOKUP(TableHandbook[[#This Row],[UDC]],TableMJRPCWRIT[],7,FALSE),"")</f>
        <v/>
      </c>
      <c r="N178" s="211" t="str">
        <f>IFERROR(VLOOKUP(TableHandbook[[#This Row],[UDC]],TableMJRPDGCMS[],7,FALSE),"")</f>
        <v/>
      </c>
      <c r="O178" s="211" t="str">
        <f>IFERROR(VLOOKUP(TableHandbook[[#This Row],[UDC]],TableMJRPFINAR[],7,FALSE),"")</f>
        <v/>
      </c>
      <c r="P178" s="211" t="str">
        <f>IFERROR(VLOOKUP(TableHandbook[[#This Row],[UDC]],TableMJRPPWRIT[],7,FALSE),"")</f>
        <v>Option</v>
      </c>
      <c r="Q178" s="211" t="str">
        <f>IFERROR(VLOOKUP(TableHandbook[[#This Row],[UDC]],TableMJRPSCRAR[],7,FALSE),"")</f>
        <v/>
      </c>
      <c r="R178" s="213" t="str">
        <f>IFERROR(VLOOKUP(TableHandbook[[#This Row],[UDC]],TableMCMMJRG[],7,FALSE),"")</f>
        <v/>
      </c>
      <c r="S178" s="211" t="str">
        <f>IFERROR(VLOOKUP(TableHandbook[[#This Row],[UDC]],TableMCMMJRN[],7,FALSE),"")</f>
        <v/>
      </c>
      <c r="T178" s="211" t="str">
        <f>IFERROR(VLOOKUP(TableHandbook[[#This Row],[UDC]],TableGDMMJRN[],7,FALSE),"")</f>
        <v/>
      </c>
      <c r="U178" s="211" t="str">
        <f>IFERROR(VLOOKUP(TableHandbook[[#This Row],[UDC]],TableGCMMJRN[],7,FALSE),"")</f>
        <v/>
      </c>
      <c r="V178" s="213" t="str">
        <f>IFERROR(VLOOKUP(TableHandbook[[#This Row],[UDC]],TableMCHRIGLO[],7,FALSE),"")</f>
        <v/>
      </c>
      <c r="W178" s="211" t="str">
        <f>IFERROR(VLOOKUP(TableHandbook[[#This Row],[UDC]],TableMCHRIGHT[],7,FALSE),"")</f>
        <v/>
      </c>
      <c r="X178" s="211" t="str">
        <f>IFERROR(VLOOKUP(TableHandbook[[#This Row],[UDC]],TableGDHRIGHT[],7,FALSE),"")</f>
        <v/>
      </c>
      <c r="Y178" s="211" t="str">
        <f>IFERROR(VLOOKUP(TableHandbook[[#This Row],[UDC]],TableGCHRIGHT[],7,FALSE),"")</f>
        <v/>
      </c>
      <c r="Z178" s="213" t="str">
        <f>IFERROR(VLOOKUP(TableHandbook[[#This Row],[UDC]],TableMCGLOBL2[],7,FALSE),"")</f>
        <v/>
      </c>
      <c r="AA178" s="211" t="str">
        <f>IFERROR(VLOOKUP(TableHandbook[[#This Row],[UDC]],TableMCGLOBL[],7,FALSE),"")</f>
        <v/>
      </c>
      <c r="AB178" s="211" t="str">
        <f>IFERROR(VLOOKUP(TableHandbook[[#This Row],[UDC]],TableSTRPGLOBL[],7,FALSE),"")</f>
        <v/>
      </c>
      <c r="AC178" s="211" t="str">
        <f>IFERROR(VLOOKUP(TableHandbook[[#This Row],[UDC]],TableSTRPHRIGT[],7,FALSE),"")</f>
        <v/>
      </c>
      <c r="AD178" s="211" t="str">
        <f>IFERROR(VLOOKUP(TableHandbook[[#This Row],[UDC]],TableSTRPINTRN[],7,FALSE),"")</f>
        <v/>
      </c>
      <c r="AE178" s="211" t="str">
        <f>IFERROR(VLOOKUP(TableHandbook[[#This Row],[UDC]],TableGCGLOBL[],7,FALSE),"")</f>
        <v/>
      </c>
      <c r="AF178" s="213" t="str">
        <f>IFERROR(VLOOKUP(TableHandbook[[#This Row],[UDC]],TableMCINTREL[],7,FALSE),"")</f>
        <v/>
      </c>
      <c r="AG178" s="211" t="str">
        <f>IFERROR(VLOOKUP(TableHandbook[[#This Row],[UDC]],TableMCINTSEC[],7,FALSE),"")</f>
        <v/>
      </c>
      <c r="AH178" s="211" t="str">
        <f>IFERROR(VLOOKUP(TableHandbook[[#This Row],[UDC]],TableGDINTSEC[],7,FALSE),"")</f>
        <v/>
      </c>
      <c r="AI178" s="211" t="str">
        <f>IFERROR(VLOOKUP(TableHandbook[[#This Row],[UDC]],TableGCINTSEC[],7,FALSE),"")</f>
        <v/>
      </c>
      <c r="AJ178" s="211" t="str">
        <f>IFERROR(VLOOKUP(TableHandbook[[#This Row],[UDC]],TableGCINTELL[],7,FALSE),"")</f>
        <v/>
      </c>
      <c r="AK178" s="211" t="str">
        <f>IFERROR(VLOOKUP(TableHandbook[[#This Row],[UDC]],TableGCIPCSEC[],7,FALSE),"")</f>
        <v/>
      </c>
    </row>
    <row r="179" spans="1:37" x14ac:dyDescent="0.3">
      <c r="A179" s="2" t="s">
        <v>621</v>
      </c>
      <c r="B179" s="3">
        <v>2</v>
      </c>
      <c r="C179" s="3"/>
      <c r="D179" s="209" t="s">
        <v>622</v>
      </c>
      <c r="E179" s="3">
        <v>25</v>
      </c>
      <c r="F179" s="149" t="s">
        <v>108</v>
      </c>
      <c r="G179" s="96" t="str">
        <f>IFERROR(IF(VLOOKUP(TableHandbook[[#This Row],[UDC]],TableAvailabilities[],2,FALSE)&gt;0,"Y",""),"")</f>
        <v/>
      </c>
      <c r="H179" s="96" t="str">
        <f>IFERROR(IF(VLOOKUP(TableHandbook[[#This Row],[UDC]],TableAvailabilities[],3,FALSE)&gt;0,"Y",""),"")</f>
        <v/>
      </c>
      <c r="I179" s="96" t="str">
        <f>IFERROR(IF(VLOOKUP(TableHandbook[[#This Row],[UDC]],TableAvailabilities[],4,FALSE)&gt;0,"Y",""),"")</f>
        <v/>
      </c>
      <c r="J179" s="96" t="str">
        <f>IFERROR(IF(VLOOKUP(TableHandbook[[#This Row],[UDC]],TableAvailabilities[],5,FALSE)&gt;0,"Y",""),"")</f>
        <v/>
      </c>
      <c r="K179" s="209" t="s">
        <v>436</v>
      </c>
      <c r="L179" s="213" t="str">
        <f>IFERROR(VLOOKUP(TableHandbook[[#This Row],[UDC]],TableMCARTS[],7,FALSE),"")</f>
        <v/>
      </c>
      <c r="M179" s="211" t="str">
        <f>IFERROR(VLOOKUP(TableHandbook[[#This Row],[UDC]],TableMJRPCWRIT[],7,FALSE),"")</f>
        <v/>
      </c>
      <c r="N179" s="211" t="str">
        <f>IFERROR(VLOOKUP(TableHandbook[[#This Row],[UDC]],TableMJRPDGCMS[],7,FALSE),"")</f>
        <v/>
      </c>
      <c r="O179" s="211" t="str">
        <f>IFERROR(VLOOKUP(TableHandbook[[#This Row],[UDC]],TableMJRPFINAR[],7,FALSE),"")</f>
        <v/>
      </c>
      <c r="P179" s="211" t="str">
        <f>IFERROR(VLOOKUP(TableHandbook[[#This Row],[UDC]],TableMJRPPWRIT[],7,FALSE),"")</f>
        <v/>
      </c>
      <c r="Q179" s="211" t="str">
        <f>IFERROR(VLOOKUP(TableHandbook[[#This Row],[UDC]],TableMJRPSCRAR[],7,FALSE),"")</f>
        <v/>
      </c>
      <c r="R179" s="213" t="str">
        <f>IFERROR(VLOOKUP(TableHandbook[[#This Row],[UDC]],TableMCMMJRG[],7,FALSE),"")</f>
        <v/>
      </c>
      <c r="S179" s="211" t="str">
        <f>IFERROR(VLOOKUP(TableHandbook[[#This Row],[UDC]],TableMCMMJRN[],7,FALSE),"")</f>
        <v/>
      </c>
      <c r="T179" s="211" t="str">
        <f>IFERROR(VLOOKUP(TableHandbook[[#This Row],[UDC]],TableGDMMJRN[],7,FALSE),"")</f>
        <v/>
      </c>
      <c r="U179" s="211" t="str">
        <f>IFERROR(VLOOKUP(TableHandbook[[#This Row],[UDC]],TableGCMMJRN[],7,FALSE),"")</f>
        <v/>
      </c>
      <c r="V179" s="213" t="str">
        <f>IFERROR(VLOOKUP(TableHandbook[[#This Row],[UDC]],TableMCHRIGLO[],7,FALSE),"")</f>
        <v/>
      </c>
      <c r="W179" s="211" t="str">
        <f>IFERROR(VLOOKUP(TableHandbook[[#This Row],[UDC]],TableMCHRIGHT[],7,FALSE),"")</f>
        <v/>
      </c>
      <c r="X179" s="211" t="str">
        <f>IFERROR(VLOOKUP(TableHandbook[[#This Row],[UDC]],TableGDHRIGHT[],7,FALSE),"")</f>
        <v/>
      </c>
      <c r="Y179" s="211" t="str">
        <f>IFERROR(VLOOKUP(TableHandbook[[#This Row],[UDC]],TableGCHRIGHT[],7,FALSE),"")</f>
        <v/>
      </c>
      <c r="Z179" s="213" t="str">
        <f>IFERROR(VLOOKUP(TableHandbook[[#This Row],[UDC]],TableMCGLOBL2[],7,FALSE),"")</f>
        <v/>
      </c>
      <c r="AA179" s="211" t="str">
        <f>IFERROR(VLOOKUP(TableHandbook[[#This Row],[UDC]],TableMCGLOBL[],7,FALSE),"")</f>
        <v/>
      </c>
      <c r="AB179" s="211" t="str">
        <f>IFERROR(VLOOKUP(TableHandbook[[#This Row],[UDC]],TableSTRPGLOBL[],7,FALSE),"")</f>
        <v/>
      </c>
      <c r="AC179" s="211" t="str">
        <f>IFERROR(VLOOKUP(TableHandbook[[#This Row],[UDC]],TableSTRPHRIGT[],7,FALSE),"")</f>
        <v/>
      </c>
      <c r="AD179" s="211" t="str">
        <f>IFERROR(VLOOKUP(TableHandbook[[#This Row],[UDC]],TableSTRPINTRN[],7,FALSE),"")</f>
        <v/>
      </c>
      <c r="AE179" s="211" t="str">
        <f>IFERROR(VLOOKUP(TableHandbook[[#This Row],[UDC]],TableGCGLOBL[],7,FALSE),"")</f>
        <v/>
      </c>
      <c r="AF179" s="213" t="str">
        <f>IFERROR(VLOOKUP(TableHandbook[[#This Row],[UDC]],TableMCINTREL[],7,FALSE),"")</f>
        <v/>
      </c>
      <c r="AG179" s="211" t="str">
        <f>IFERROR(VLOOKUP(TableHandbook[[#This Row],[UDC]],TableMCINTSEC[],7,FALSE),"")</f>
        <v/>
      </c>
      <c r="AH179" s="211" t="str">
        <f>IFERROR(VLOOKUP(TableHandbook[[#This Row],[UDC]],TableGDINTSEC[],7,FALSE),"")</f>
        <v/>
      </c>
      <c r="AI179" s="211" t="str">
        <f>IFERROR(VLOOKUP(TableHandbook[[#This Row],[UDC]],TableGCINTSEC[],7,FALSE),"")</f>
        <v/>
      </c>
      <c r="AJ179" s="211" t="str">
        <f>IFERROR(VLOOKUP(TableHandbook[[#This Row],[UDC]],TableGCINTELL[],7,FALSE),"")</f>
        <v/>
      </c>
      <c r="AK179" s="211" t="str">
        <f>IFERROR(VLOOKUP(TableHandbook[[#This Row],[UDC]],TableGCIPCSEC[],7,FALSE),"")</f>
        <v/>
      </c>
    </row>
    <row r="180" spans="1:37" x14ac:dyDescent="0.3">
      <c r="A180" s="231" t="s">
        <v>204</v>
      </c>
      <c r="B180" s="3">
        <v>3</v>
      </c>
      <c r="C180" s="3"/>
      <c r="D180" s="209" t="s">
        <v>623</v>
      </c>
      <c r="E180" s="3">
        <v>25</v>
      </c>
      <c r="F180" s="245" t="s">
        <v>108</v>
      </c>
      <c r="G180" s="96" t="str">
        <f>IFERROR(IF(VLOOKUP(TableHandbook[[#This Row],[UDC]],TableAvailabilities[],2,FALSE)&gt;0,"Y",""),"")</f>
        <v/>
      </c>
      <c r="H180" s="96" t="str">
        <f>IFERROR(IF(VLOOKUP(TableHandbook[[#This Row],[UDC]],TableAvailabilities[],3,FALSE)&gt;0,"Y",""),"")</f>
        <v/>
      </c>
      <c r="I180" s="96" t="str">
        <f>IFERROR(IF(VLOOKUP(TableHandbook[[#This Row],[UDC]],TableAvailabilities[],4,FALSE)&gt;0,"Y",""),"")</f>
        <v>Y</v>
      </c>
      <c r="J180" s="96" t="str">
        <f>IFERROR(IF(VLOOKUP(TableHandbook[[#This Row],[UDC]],TableAvailabilities[],5,FALSE)&gt;0,"Y",""),"")</f>
        <v/>
      </c>
      <c r="K180" s="209" t="s">
        <v>433</v>
      </c>
      <c r="L180" s="213" t="str">
        <f>IFERROR(VLOOKUP(TableHandbook[[#This Row],[UDC]],TableMCARTS[],7,FALSE),"")</f>
        <v/>
      </c>
      <c r="M180" s="211" t="str">
        <f>IFERROR(VLOOKUP(TableHandbook[[#This Row],[UDC]],TableMJRPCWRIT[],7,FALSE),"")</f>
        <v/>
      </c>
      <c r="N180" s="211" t="str">
        <f>IFERROR(VLOOKUP(TableHandbook[[#This Row],[UDC]],TableMJRPDGCMS[],7,FALSE),"")</f>
        <v/>
      </c>
      <c r="O180" s="211" t="str">
        <f>IFERROR(VLOOKUP(TableHandbook[[#This Row],[UDC]],TableMJRPFINAR[],7,FALSE),"")</f>
        <v/>
      </c>
      <c r="P180" s="211" t="str">
        <f>IFERROR(VLOOKUP(TableHandbook[[#This Row],[UDC]],TableMJRPPWRIT[],7,FALSE),"")</f>
        <v>Option</v>
      </c>
      <c r="Q180" s="211" t="str">
        <f>IFERROR(VLOOKUP(TableHandbook[[#This Row],[UDC]],TableMJRPSCRAR[],7,FALSE),"")</f>
        <v/>
      </c>
      <c r="R180" s="213" t="str">
        <f>IFERROR(VLOOKUP(TableHandbook[[#This Row],[UDC]],TableMCMMJRG[],7,FALSE),"")</f>
        <v/>
      </c>
      <c r="S180" s="211" t="str">
        <f>IFERROR(VLOOKUP(TableHandbook[[#This Row],[UDC]],TableMCMMJRN[],7,FALSE),"")</f>
        <v/>
      </c>
      <c r="T180" s="211" t="str">
        <f>IFERROR(VLOOKUP(TableHandbook[[#This Row],[UDC]],TableGDMMJRN[],7,FALSE),"")</f>
        <v/>
      </c>
      <c r="U180" s="211" t="str">
        <f>IFERROR(VLOOKUP(TableHandbook[[#This Row],[UDC]],TableGCMMJRN[],7,FALSE),"")</f>
        <v/>
      </c>
      <c r="V180" s="213" t="str">
        <f>IFERROR(VLOOKUP(TableHandbook[[#This Row],[UDC]],TableMCHRIGLO[],7,FALSE),"")</f>
        <v/>
      </c>
      <c r="W180" s="211" t="str">
        <f>IFERROR(VLOOKUP(TableHandbook[[#This Row],[UDC]],TableMCHRIGHT[],7,FALSE),"")</f>
        <v/>
      </c>
      <c r="X180" s="211" t="str">
        <f>IFERROR(VLOOKUP(TableHandbook[[#This Row],[UDC]],TableGDHRIGHT[],7,FALSE),"")</f>
        <v/>
      </c>
      <c r="Y180" s="211" t="str">
        <f>IFERROR(VLOOKUP(TableHandbook[[#This Row],[UDC]],TableGCHRIGHT[],7,FALSE),"")</f>
        <v/>
      </c>
      <c r="Z180" s="213" t="str">
        <f>IFERROR(VLOOKUP(TableHandbook[[#This Row],[UDC]],TableMCGLOBL2[],7,FALSE),"")</f>
        <v/>
      </c>
      <c r="AA180" s="211" t="str">
        <f>IFERROR(VLOOKUP(TableHandbook[[#This Row],[UDC]],TableMCGLOBL[],7,FALSE),"")</f>
        <v/>
      </c>
      <c r="AB180" s="211" t="str">
        <f>IFERROR(VLOOKUP(TableHandbook[[#This Row],[UDC]],TableSTRPGLOBL[],7,FALSE),"")</f>
        <v/>
      </c>
      <c r="AC180" s="211" t="str">
        <f>IFERROR(VLOOKUP(TableHandbook[[#This Row],[UDC]],TableSTRPHRIGT[],7,FALSE),"")</f>
        <v/>
      </c>
      <c r="AD180" s="211" t="str">
        <f>IFERROR(VLOOKUP(TableHandbook[[#This Row],[UDC]],TableSTRPINTRN[],7,FALSE),"")</f>
        <v/>
      </c>
      <c r="AE180" s="211" t="str">
        <f>IFERROR(VLOOKUP(TableHandbook[[#This Row],[UDC]],TableGCGLOBL[],7,FALSE),"")</f>
        <v/>
      </c>
      <c r="AF180" s="213" t="str">
        <f>IFERROR(VLOOKUP(TableHandbook[[#This Row],[UDC]],TableMCINTREL[],7,FALSE),"")</f>
        <v/>
      </c>
      <c r="AG180" s="211" t="str">
        <f>IFERROR(VLOOKUP(TableHandbook[[#This Row],[UDC]],TableMCINTSEC[],7,FALSE),"")</f>
        <v/>
      </c>
      <c r="AH180" s="211" t="str">
        <f>IFERROR(VLOOKUP(TableHandbook[[#This Row],[UDC]],TableGDINTSEC[],7,FALSE),"")</f>
        <v/>
      </c>
      <c r="AI180" s="211" t="str">
        <f>IFERROR(VLOOKUP(TableHandbook[[#This Row],[UDC]],TableGCINTSEC[],7,FALSE),"")</f>
        <v/>
      </c>
      <c r="AJ180" s="211" t="str">
        <f>IFERROR(VLOOKUP(TableHandbook[[#This Row],[UDC]],TableGCINTELL[],7,FALSE),"")</f>
        <v/>
      </c>
      <c r="AK180" s="211" t="str">
        <f>IFERROR(VLOOKUP(TableHandbook[[#This Row],[UDC]],TableGCIPCSEC[],7,FALSE),"")</f>
        <v/>
      </c>
    </row>
    <row r="181" spans="1:37" x14ac:dyDescent="0.3">
      <c r="A181" s="2" t="s">
        <v>624</v>
      </c>
      <c r="B181" s="3">
        <v>2</v>
      </c>
      <c r="C181" s="3"/>
      <c r="D181" s="209" t="s">
        <v>625</v>
      </c>
      <c r="E181" s="3">
        <v>25</v>
      </c>
      <c r="F181" s="149" t="s">
        <v>108</v>
      </c>
      <c r="G181" s="96" t="str">
        <f>IFERROR(IF(VLOOKUP(TableHandbook[[#This Row],[UDC]],TableAvailabilities[],2,FALSE)&gt;0,"Y",""),"")</f>
        <v/>
      </c>
      <c r="H181" s="96" t="str">
        <f>IFERROR(IF(VLOOKUP(TableHandbook[[#This Row],[UDC]],TableAvailabilities[],3,FALSE)&gt;0,"Y",""),"")</f>
        <v/>
      </c>
      <c r="I181" s="96" t="str">
        <f>IFERROR(IF(VLOOKUP(TableHandbook[[#This Row],[UDC]],TableAvailabilities[],4,FALSE)&gt;0,"Y",""),"")</f>
        <v/>
      </c>
      <c r="J181" s="96" t="str">
        <f>IFERROR(IF(VLOOKUP(TableHandbook[[#This Row],[UDC]],TableAvailabilities[],5,FALSE)&gt;0,"Y",""),"")</f>
        <v/>
      </c>
      <c r="K181" s="209" t="s">
        <v>436</v>
      </c>
      <c r="L181" s="213" t="str">
        <f>IFERROR(VLOOKUP(TableHandbook[[#This Row],[UDC]],TableMCARTS[],7,FALSE),"")</f>
        <v/>
      </c>
      <c r="M181" s="211" t="str">
        <f>IFERROR(VLOOKUP(TableHandbook[[#This Row],[UDC]],TableMJRPCWRIT[],7,FALSE),"")</f>
        <v/>
      </c>
      <c r="N181" s="211" t="str">
        <f>IFERROR(VLOOKUP(TableHandbook[[#This Row],[UDC]],TableMJRPDGCMS[],7,FALSE),"")</f>
        <v/>
      </c>
      <c r="O181" s="211" t="str">
        <f>IFERROR(VLOOKUP(TableHandbook[[#This Row],[UDC]],TableMJRPFINAR[],7,FALSE),"")</f>
        <v/>
      </c>
      <c r="P181" s="211" t="str">
        <f>IFERROR(VLOOKUP(TableHandbook[[#This Row],[UDC]],TableMJRPPWRIT[],7,FALSE),"")</f>
        <v/>
      </c>
      <c r="Q181" s="211" t="str">
        <f>IFERROR(VLOOKUP(TableHandbook[[#This Row],[UDC]],TableMJRPSCRAR[],7,FALSE),"")</f>
        <v/>
      </c>
      <c r="R181" s="213" t="str">
        <f>IFERROR(VLOOKUP(TableHandbook[[#This Row],[UDC]],TableMCMMJRG[],7,FALSE),"")</f>
        <v/>
      </c>
      <c r="S181" s="211" t="str">
        <f>IFERROR(VLOOKUP(TableHandbook[[#This Row],[UDC]],TableMCMMJRN[],7,FALSE),"")</f>
        <v/>
      </c>
      <c r="T181" s="211" t="str">
        <f>IFERROR(VLOOKUP(TableHandbook[[#This Row],[UDC]],TableGDMMJRN[],7,FALSE),"")</f>
        <v/>
      </c>
      <c r="U181" s="211" t="str">
        <f>IFERROR(VLOOKUP(TableHandbook[[#This Row],[UDC]],TableGCMMJRN[],7,FALSE),"")</f>
        <v/>
      </c>
      <c r="V181" s="213" t="str">
        <f>IFERROR(VLOOKUP(TableHandbook[[#This Row],[UDC]],TableMCHRIGLO[],7,FALSE),"")</f>
        <v/>
      </c>
      <c r="W181" s="211" t="str">
        <f>IFERROR(VLOOKUP(TableHandbook[[#This Row],[UDC]],TableMCHRIGHT[],7,FALSE),"")</f>
        <v/>
      </c>
      <c r="X181" s="211" t="str">
        <f>IFERROR(VLOOKUP(TableHandbook[[#This Row],[UDC]],TableGDHRIGHT[],7,FALSE),"")</f>
        <v/>
      </c>
      <c r="Y181" s="211" t="str">
        <f>IFERROR(VLOOKUP(TableHandbook[[#This Row],[UDC]],TableGCHRIGHT[],7,FALSE),"")</f>
        <v/>
      </c>
      <c r="Z181" s="213" t="str">
        <f>IFERROR(VLOOKUP(TableHandbook[[#This Row],[UDC]],TableMCGLOBL2[],7,FALSE),"")</f>
        <v/>
      </c>
      <c r="AA181" s="211" t="str">
        <f>IFERROR(VLOOKUP(TableHandbook[[#This Row],[UDC]],TableMCGLOBL[],7,FALSE),"")</f>
        <v/>
      </c>
      <c r="AB181" s="211" t="str">
        <f>IFERROR(VLOOKUP(TableHandbook[[#This Row],[UDC]],TableSTRPGLOBL[],7,FALSE),"")</f>
        <v/>
      </c>
      <c r="AC181" s="211" t="str">
        <f>IFERROR(VLOOKUP(TableHandbook[[#This Row],[UDC]],TableSTRPHRIGT[],7,FALSE),"")</f>
        <v/>
      </c>
      <c r="AD181" s="211" t="str">
        <f>IFERROR(VLOOKUP(TableHandbook[[#This Row],[UDC]],TableSTRPINTRN[],7,FALSE),"")</f>
        <v/>
      </c>
      <c r="AE181" s="211" t="str">
        <f>IFERROR(VLOOKUP(TableHandbook[[#This Row],[UDC]],TableGCGLOBL[],7,FALSE),"")</f>
        <v/>
      </c>
      <c r="AF181" s="213" t="str">
        <f>IFERROR(VLOOKUP(TableHandbook[[#This Row],[UDC]],TableMCINTREL[],7,FALSE),"")</f>
        <v/>
      </c>
      <c r="AG181" s="211" t="str">
        <f>IFERROR(VLOOKUP(TableHandbook[[#This Row],[UDC]],TableMCINTSEC[],7,FALSE),"")</f>
        <v/>
      </c>
      <c r="AH181" s="211" t="str">
        <f>IFERROR(VLOOKUP(TableHandbook[[#This Row],[UDC]],TableGDINTSEC[],7,FALSE),"")</f>
        <v/>
      </c>
      <c r="AI181" s="211" t="str">
        <f>IFERROR(VLOOKUP(TableHandbook[[#This Row],[UDC]],TableGCINTSEC[],7,FALSE),"")</f>
        <v/>
      </c>
      <c r="AJ181" s="211" t="str">
        <f>IFERROR(VLOOKUP(TableHandbook[[#This Row],[UDC]],TableGCINTELL[],7,FALSE),"")</f>
        <v/>
      </c>
      <c r="AK181" s="211" t="str">
        <f>IFERROR(VLOOKUP(TableHandbook[[#This Row],[UDC]],TableGCIPCSEC[],7,FALSE),"")</f>
        <v/>
      </c>
    </row>
    <row r="182" spans="1:37" x14ac:dyDescent="0.3">
      <c r="A182" s="231" t="s">
        <v>209</v>
      </c>
      <c r="B182" s="3">
        <v>2</v>
      </c>
      <c r="C182" s="3"/>
      <c r="D182" s="209" t="s">
        <v>626</v>
      </c>
      <c r="E182" s="3">
        <v>25</v>
      </c>
      <c r="F182" s="245" t="s">
        <v>108</v>
      </c>
      <c r="G182" s="96" t="str">
        <f>IFERROR(IF(VLOOKUP(TableHandbook[[#This Row],[UDC]],TableAvailabilities[],2,FALSE)&gt;0,"Y",""),"")</f>
        <v/>
      </c>
      <c r="H182" s="96" t="str">
        <f>IFERROR(IF(VLOOKUP(TableHandbook[[#This Row],[UDC]],TableAvailabilities[],3,FALSE)&gt;0,"Y",""),"")</f>
        <v/>
      </c>
      <c r="I182" s="96" t="str">
        <f>IFERROR(IF(VLOOKUP(TableHandbook[[#This Row],[UDC]],TableAvailabilities[],4,FALSE)&gt;0,"Y",""),"")</f>
        <v>Y</v>
      </c>
      <c r="J182" s="96" t="str">
        <f>IFERROR(IF(VLOOKUP(TableHandbook[[#This Row],[UDC]],TableAvailabilities[],5,FALSE)&gt;0,"Y",""),"")</f>
        <v/>
      </c>
      <c r="K182" s="209" t="s">
        <v>433</v>
      </c>
      <c r="L182" s="213" t="str">
        <f>IFERROR(VLOOKUP(TableHandbook[[#This Row],[UDC]],TableMCARTS[],7,FALSE),"")</f>
        <v/>
      </c>
      <c r="M182" s="211" t="str">
        <f>IFERROR(VLOOKUP(TableHandbook[[#This Row],[UDC]],TableMJRPCWRIT[],7,FALSE),"")</f>
        <v/>
      </c>
      <c r="N182" s="211" t="str">
        <f>IFERROR(VLOOKUP(TableHandbook[[#This Row],[UDC]],TableMJRPDGCMS[],7,FALSE),"")</f>
        <v>Option</v>
      </c>
      <c r="O182" s="211" t="str">
        <f>IFERROR(VLOOKUP(TableHandbook[[#This Row],[UDC]],TableMJRPFINAR[],7,FALSE),"")</f>
        <v/>
      </c>
      <c r="P182" s="211" t="str">
        <f>IFERROR(VLOOKUP(TableHandbook[[#This Row],[UDC]],TableMJRPPWRIT[],7,FALSE),"")</f>
        <v>Option</v>
      </c>
      <c r="Q182" s="211" t="str">
        <f>IFERROR(VLOOKUP(TableHandbook[[#This Row],[UDC]],TableMJRPSCRAR[],7,FALSE),"")</f>
        <v/>
      </c>
      <c r="R182" s="213" t="str">
        <f>IFERROR(VLOOKUP(TableHandbook[[#This Row],[UDC]],TableMCMMJRG[],7,FALSE),"")</f>
        <v/>
      </c>
      <c r="S182" s="211" t="str">
        <f>IFERROR(VLOOKUP(TableHandbook[[#This Row],[UDC]],TableMCMMJRN[],7,FALSE),"")</f>
        <v/>
      </c>
      <c r="T182" s="211" t="str">
        <f>IFERROR(VLOOKUP(TableHandbook[[#This Row],[UDC]],TableGDMMJRN[],7,FALSE),"")</f>
        <v/>
      </c>
      <c r="U182" s="211" t="str">
        <f>IFERROR(VLOOKUP(TableHandbook[[#This Row],[UDC]],TableGCMMJRN[],7,FALSE),"")</f>
        <v/>
      </c>
      <c r="V182" s="213" t="str">
        <f>IFERROR(VLOOKUP(TableHandbook[[#This Row],[UDC]],TableMCHRIGLO[],7,FALSE),"")</f>
        <v/>
      </c>
      <c r="W182" s="211" t="str">
        <f>IFERROR(VLOOKUP(TableHandbook[[#This Row],[UDC]],TableMCHRIGHT[],7,FALSE),"")</f>
        <v/>
      </c>
      <c r="X182" s="211" t="str">
        <f>IFERROR(VLOOKUP(TableHandbook[[#This Row],[UDC]],TableGDHRIGHT[],7,FALSE),"")</f>
        <v/>
      </c>
      <c r="Y182" s="211" t="str">
        <f>IFERROR(VLOOKUP(TableHandbook[[#This Row],[UDC]],TableGCHRIGHT[],7,FALSE),"")</f>
        <v/>
      </c>
      <c r="Z182" s="213" t="str">
        <f>IFERROR(VLOOKUP(TableHandbook[[#This Row],[UDC]],TableMCGLOBL2[],7,FALSE),"")</f>
        <v/>
      </c>
      <c r="AA182" s="211" t="str">
        <f>IFERROR(VLOOKUP(TableHandbook[[#This Row],[UDC]],TableMCGLOBL[],7,FALSE),"")</f>
        <v/>
      </c>
      <c r="AB182" s="211" t="str">
        <f>IFERROR(VLOOKUP(TableHandbook[[#This Row],[UDC]],TableSTRPGLOBL[],7,FALSE),"")</f>
        <v/>
      </c>
      <c r="AC182" s="211" t="str">
        <f>IFERROR(VLOOKUP(TableHandbook[[#This Row],[UDC]],TableSTRPHRIGT[],7,FALSE),"")</f>
        <v/>
      </c>
      <c r="AD182" s="211" t="str">
        <f>IFERROR(VLOOKUP(TableHandbook[[#This Row],[UDC]],TableSTRPINTRN[],7,FALSE),"")</f>
        <v/>
      </c>
      <c r="AE182" s="211" t="str">
        <f>IFERROR(VLOOKUP(TableHandbook[[#This Row],[UDC]],TableGCGLOBL[],7,FALSE),"")</f>
        <v/>
      </c>
      <c r="AF182" s="213" t="str">
        <f>IFERROR(VLOOKUP(TableHandbook[[#This Row],[UDC]],TableMCINTREL[],7,FALSE),"")</f>
        <v/>
      </c>
      <c r="AG182" s="211" t="str">
        <f>IFERROR(VLOOKUP(TableHandbook[[#This Row],[UDC]],TableMCINTSEC[],7,FALSE),"")</f>
        <v/>
      </c>
      <c r="AH182" s="211" t="str">
        <f>IFERROR(VLOOKUP(TableHandbook[[#This Row],[UDC]],TableGDINTSEC[],7,FALSE),"")</f>
        <v/>
      </c>
      <c r="AI182" s="211" t="str">
        <f>IFERROR(VLOOKUP(TableHandbook[[#This Row],[UDC]],TableGCINTSEC[],7,FALSE),"")</f>
        <v/>
      </c>
      <c r="AJ182" s="211" t="str">
        <f>IFERROR(VLOOKUP(TableHandbook[[#This Row],[UDC]],TableGCINTELL[],7,FALSE),"")</f>
        <v/>
      </c>
      <c r="AK182" s="211" t="str">
        <f>IFERROR(VLOOKUP(TableHandbook[[#This Row],[UDC]],TableGCIPCSEC[],7,FALSE),"")</f>
        <v/>
      </c>
    </row>
    <row r="183" spans="1:37" x14ac:dyDescent="0.3">
      <c r="A183" s="2" t="s">
        <v>627</v>
      </c>
      <c r="B183" s="3">
        <v>1</v>
      </c>
      <c r="C183" s="3"/>
      <c r="D183" s="209" t="s">
        <v>628</v>
      </c>
      <c r="E183" s="3">
        <v>25</v>
      </c>
      <c r="F183" s="149" t="s">
        <v>108</v>
      </c>
      <c r="G183" s="96" t="str">
        <f>IFERROR(IF(VLOOKUP(TableHandbook[[#This Row],[UDC]],TableAvailabilities[],2,FALSE)&gt;0,"Y",""),"")</f>
        <v/>
      </c>
      <c r="H183" s="96" t="str">
        <f>IFERROR(IF(VLOOKUP(TableHandbook[[#This Row],[UDC]],TableAvailabilities[],3,FALSE)&gt;0,"Y",""),"")</f>
        <v/>
      </c>
      <c r="I183" s="96" t="str">
        <f>IFERROR(IF(VLOOKUP(TableHandbook[[#This Row],[UDC]],TableAvailabilities[],4,FALSE)&gt;0,"Y",""),"")</f>
        <v/>
      </c>
      <c r="J183" s="96" t="str">
        <f>IFERROR(IF(VLOOKUP(TableHandbook[[#This Row],[UDC]],TableAvailabilities[],5,FALSE)&gt;0,"Y",""),"")</f>
        <v/>
      </c>
      <c r="K183" s="209" t="s">
        <v>436</v>
      </c>
      <c r="L183" s="213" t="str">
        <f>IFERROR(VLOOKUP(TableHandbook[[#This Row],[UDC]],TableMCARTS[],7,FALSE),"")</f>
        <v/>
      </c>
      <c r="M183" s="211" t="str">
        <f>IFERROR(VLOOKUP(TableHandbook[[#This Row],[UDC]],TableMJRPCWRIT[],7,FALSE),"")</f>
        <v/>
      </c>
      <c r="N183" s="211" t="str">
        <f>IFERROR(VLOOKUP(TableHandbook[[#This Row],[UDC]],TableMJRPDGCMS[],7,FALSE),"")</f>
        <v/>
      </c>
      <c r="O183" s="211" t="str">
        <f>IFERROR(VLOOKUP(TableHandbook[[#This Row],[UDC]],TableMJRPFINAR[],7,FALSE),"")</f>
        <v/>
      </c>
      <c r="P183" s="211" t="str">
        <f>IFERROR(VLOOKUP(TableHandbook[[#This Row],[UDC]],TableMJRPPWRIT[],7,FALSE),"")</f>
        <v/>
      </c>
      <c r="Q183" s="211" t="str">
        <f>IFERROR(VLOOKUP(TableHandbook[[#This Row],[UDC]],TableMJRPSCRAR[],7,FALSE),"")</f>
        <v/>
      </c>
      <c r="R183" s="213" t="str">
        <f>IFERROR(VLOOKUP(TableHandbook[[#This Row],[UDC]],TableMCMMJRG[],7,FALSE),"")</f>
        <v/>
      </c>
      <c r="S183" s="211" t="str">
        <f>IFERROR(VLOOKUP(TableHandbook[[#This Row],[UDC]],TableMCMMJRN[],7,FALSE),"")</f>
        <v/>
      </c>
      <c r="T183" s="211" t="str">
        <f>IFERROR(VLOOKUP(TableHandbook[[#This Row],[UDC]],TableGDMMJRN[],7,FALSE),"")</f>
        <v/>
      </c>
      <c r="U183" s="211" t="str">
        <f>IFERROR(VLOOKUP(TableHandbook[[#This Row],[UDC]],TableGCMMJRN[],7,FALSE),"")</f>
        <v/>
      </c>
      <c r="V183" s="213" t="str">
        <f>IFERROR(VLOOKUP(TableHandbook[[#This Row],[UDC]],TableMCHRIGLO[],7,FALSE),"")</f>
        <v/>
      </c>
      <c r="W183" s="211" t="str">
        <f>IFERROR(VLOOKUP(TableHandbook[[#This Row],[UDC]],TableMCHRIGHT[],7,FALSE),"")</f>
        <v/>
      </c>
      <c r="X183" s="211" t="str">
        <f>IFERROR(VLOOKUP(TableHandbook[[#This Row],[UDC]],TableGDHRIGHT[],7,FALSE),"")</f>
        <v/>
      </c>
      <c r="Y183" s="211" t="str">
        <f>IFERROR(VLOOKUP(TableHandbook[[#This Row],[UDC]],TableGCHRIGHT[],7,FALSE),"")</f>
        <v/>
      </c>
      <c r="Z183" s="213" t="str">
        <f>IFERROR(VLOOKUP(TableHandbook[[#This Row],[UDC]],TableMCGLOBL2[],7,FALSE),"")</f>
        <v/>
      </c>
      <c r="AA183" s="211" t="str">
        <f>IFERROR(VLOOKUP(TableHandbook[[#This Row],[UDC]],TableMCGLOBL[],7,FALSE),"")</f>
        <v/>
      </c>
      <c r="AB183" s="211" t="str">
        <f>IFERROR(VLOOKUP(TableHandbook[[#This Row],[UDC]],TableSTRPGLOBL[],7,FALSE),"")</f>
        <v/>
      </c>
      <c r="AC183" s="211" t="str">
        <f>IFERROR(VLOOKUP(TableHandbook[[#This Row],[UDC]],TableSTRPHRIGT[],7,FALSE),"")</f>
        <v/>
      </c>
      <c r="AD183" s="211" t="str">
        <f>IFERROR(VLOOKUP(TableHandbook[[#This Row],[UDC]],TableSTRPINTRN[],7,FALSE),"")</f>
        <v/>
      </c>
      <c r="AE183" s="211" t="str">
        <f>IFERROR(VLOOKUP(TableHandbook[[#This Row],[UDC]],TableGCGLOBL[],7,FALSE),"")</f>
        <v/>
      </c>
      <c r="AF183" s="213" t="str">
        <f>IFERROR(VLOOKUP(TableHandbook[[#This Row],[UDC]],TableMCINTREL[],7,FALSE),"")</f>
        <v/>
      </c>
      <c r="AG183" s="211" t="str">
        <f>IFERROR(VLOOKUP(TableHandbook[[#This Row],[UDC]],TableMCINTSEC[],7,FALSE),"")</f>
        <v/>
      </c>
      <c r="AH183" s="211" t="str">
        <f>IFERROR(VLOOKUP(TableHandbook[[#This Row],[UDC]],TableGDINTSEC[],7,FALSE),"")</f>
        <v/>
      </c>
      <c r="AI183" s="211" t="str">
        <f>IFERROR(VLOOKUP(TableHandbook[[#This Row],[UDC]],TableGCINTSEC[],7,FALSE),"")</f>
        <v/>
      </c>
      <c r="AJ183" s="211" t="str">
        <f>IFERROR(VLOOKUP(TableHandbook[[#This Row],[UDC]],TableGCINTELL[],7,FALSE),"")</f>
        <v/>
      </c>
      <c r="AK183" s="211" t="str">
        <f>IFERROR(VLOOKUP(TableHandbook[[#This Row],[UDC]],TableGCIPCSEC[],7,FALSE),"")</f>
        <v/>
      </c>
    </row>
    <row r="184" spans="1:37" x14ac:dyDescent="0.3">
      <c r="A184" s="231" t="s">
        <v>244</v>
      </c>
      <c r="B184" s="3">
        <v>2</v>
      </c>
      <c r="C184" s="3"/>
      <c r="D184" s="209" t="s">
        <v>629</v>
      </c>
      <c r="E184" s="3">
        <v>25</v>
      </c>
      <c r="F184" s="245" t="s">
        <v>187</v>
      </c>
      <c r="G184" s="96" t="str">
        <f>IFERROR(IF(VLOOKUP(TableHandbook[[#This Row],[UDC]],TableAvailabilities[],2,FALSE)&gt;0,"Y",""),"")</f>
        <v>Y</v>
      </c>
      <c r="H184" s="96" t="str">
        <f>IFERROR(IF(VLOOKUP(TableHandbook[[#This Row],[UDC]],TableAvailabilities[],3,FALSE)&gt;0,"Y",""),"")</f>
        <v/>
      </c>
      <c r="I184" s="96" t="str">
        <f>IFERROR(IF(VLOOKUP(TableHandbook[[#This Row],[UDC]],TableAvailabilities[],4,FALSE)&gt;0,"Y",""),"")</f>
        <v/>
      </c>
      <c r="J184" s="96" t="str">
        <f>IFERROR(IF(VLOOKUP(TableHandbook[[#This Row],[UDC]],TableAvailabilities[],5,FALSE)&gt;0,"Y",""),"")</f>
        <v/>
      </c>
      <c r="K184" s="209" t="s">
        <v>433</v>
      </c>
      <c r="L184" s="213" t="str">
        <f>IFERROR(VLOOKUP(TableHandbook[[#This Row],[UDC]],TableMCARTS[],7,FALSE),"")</f>
        <v/>
      </c>
      <c r="M184" s="211" t="str">
        <f>IFERROR(VLOOKUP(TableHandbook[[#This Row],[UDC]],TableMJRPCWRIT[],7,FALSE),"")</f>
        <v/>
      </c>
      <c r="N184" s="211" t="str">
        <f>IFERROR(VLOOKUP(TableHandbook[[#This Row],[UDC]],TableMJRPDGCMS[],7,FALSE),"")</f>
        <v/>
      </c>
      <c r="O184" s="211" t="str">
        <f>IFERROR(VLOOKUP(TableHandbook[[#This Row],[UDC]],TableMJRPFINAR[],7,FALSE),"")</f>
        <v/>
      </c>
      <c r="P184" s="211" t="str">
        <f>IFERROR(VLOOKUP(TableHandbook[[#This Row],[UDC]],TableMJRPPWRIT[],7,FALSE),"")</f>
        <v>Option</v>
      </c>
      <c r="Q184" s="211" t="str">
        <f>IFERROR(VLOOKUP(TableHandbook[[#This Row],[UDC]],TableMJRPSCRAR[],7,FALSE),"")</f>
        <v/>
      </c>
      <c r="R184" s="213" t="str">
        <f>IFERROR(VLOOKUP(TableHandbook[[#This Row],[UDC]],TableMCMMJRG[],7,FALSE),"")</f>
        <v/>
      </c>
      <c r="S184" s="211" t="str">
        <f>IFERROR(VLOOKUP(TableHandbook[[#This Row],[UDC]],TableMCMMJRN[],7,FALSE),"")</f>
        <v/>
      </c>
      <c r="T184" s="211" t="str">
        <f>IFERROR(VLOOKUP(TableHandbook[[#This Row],[UDC]],TableGDMMJRN[],7,FALSE),"")</f>
        <v/>
      </c>
      <c r="U184" s="211" t="str">
        <f>IFERROR(VLOOKUP(TableHandbook[[#This Row],[UDC]],TableGCMMJRN[],7,FALSE),"")</f>
        <v/>
      </c>
      <c r="V184" s="213" t="str">
        <f>IFERROR(VLOOKUP(TableHandbook[[#This Row],[UDC]],TableMCHRIGLO[],7,FALSE),"")</f>
        <v/>
      </c>
      <c r="W184" s="211" t="str">
        <f>IFERROR(VLOOKUP(TableHandbook[[#This Row],[UDC]],TableMCHRIGHT[],7,FALSE),"")</f>
        <v/>
      </c>
      <c r="X184" s="211" t="str">
        <f>IFERROR(VLOOKUP(TableHandbook[[#This Row],[UDC]],TableGDHRIGHT[],7,FALSE),"")</f>
        <v/>
      </c>
      <c r="Y184" s="211" t="str">
        <f>IFERROR(VLOOKUP(TableHandbook[[#This Row],[UDC]],TableGCHRIGHT[],7,FALSE),"")</f>
        <v/>
      </c>
      <c r="Z184" s="213" t="str">
        <f>IFERROR(VLOOKUP(TableHandbook[[#This Row],[UDC]],TableMCGLOBL2[],7,FALSE),"")</f>
        <v/>
      </c>
      <c r="AA184" s="211" t="str">
        <f>IFERROR(VLOOKUP(TableHandbook[[#This Row],[UDC]],TableMCGLOBL[],7,FALSE),"")</f>
        <v/>
      </c>
      <c r="AB184" s="211" t="str">
        <f>IFERROR(VLOOKUP(TableHandbook[[#This Row],[UDC]],TableSTRPGLOBL[],7,FALSE),"")</f>
        <v/>
      </c>
      <c r="AC184" s="211" t="str">
        <f>IFERROR(VLOOKUP(TableHandbook[[#This Row],[UDC]],TableSTRPHRIGT[],7,FALSE),"")</f>
        <v/>
      </c>
      <c r="AD184" s="211" t="str">
        <f>IFERROR(VLOOKUP(TableHandbook[[#This Row],[UDC]],TableSTRPINTRN[],7,FALSE),"")</f>
        <v/>
      </c>
      <c r="AE184" s="211" t="str">
        <f>IFERROR(VLOOKUP(TableHandbook[[#This Row],[UDC]],TableGCGLOBL[],7,FALSE),"")</f>
        <v/>
      </c>
      <c r="AF184" s="213" t="str">
        <f>IFERROR(VLOOKUP(TableHandbook[[#This Row],[UDC]],TableMCINTREL[],7,FALSE),"")</f>
        <v/>
      </c>
      <c r="AG184" s="211" t="str">
        <f>IFERROR(VLOOKUP(TableHandbook[[#This Row],[UDC]],TableMCINTSEC[],7,FALSE),"")</f>
        <v/>
      </c>
      <c r="AH184" s="211" t="str">
        <f>IFERROR(VLOOKUP(TableHandbook[[#This Row],[UDC]],TableGDINTSEC[],7,FALSE),"")</f>
        <v/>
      </c>
      <c r="AI184" s="211" t="str">
        <f>IFERROR(VLOOKUP(TableHandbook[[#This Row],[UDC]],TableGCINTSEC[],7,FALSE),"")</f>
        <v/>
      </c>
      <c r="AJ184" s="211" t="str">
        <f>IFERROR(VLOOKUP(TableHandbook[[#This Row],[UDC]],TableGCINTELL[],7,FALSE),"")</f>
        <v/>
      </c>
      <c r="AK184" s="211" t="str">
        <f>IFERROR(VLOOKUP(TableHandbook[[#This Row],[UDC]],TableGCIPCSEC[],7,FALSE),"")</f>
        <v/>
      </c>
    </row>
    <row r="185" spans="1:37" x14ac:dyDescent="0.3">
      <c r="A185" s="2" t="s">
        <v>630</v>
      </c>
      <c r="B185" s="3">
        <v>1</v>
      </c>
      <c r="C185" s="3"/>
      <c r="D185" s="209" t="s">
        <v>631</v>
      </c>
      <c r="E185" s="3">
        <v>25</v>
      </c>
      <c r="F185" s="149" t="s">
        <v>187</v>
      </c>
      <c r="G185" s="96" t="str">
        <f>IFERROR(IF(VLOOKUP(TableHandbook[[#This Row],[UDC]],TableAvailabilities[],2,FALSE)&gt;0,"Y",""),"")</f>
        <v/>
      </c>
      <c r="H185" s="96" t="str">
        <f>IFERROR(IF(VLOOKUP(TableHandbook[[#This Row],[UDC]],TableAvailabilities[],3,FALSE)&gt;0,"Y",""),"")</f>
        <v/>
      </c>
      <c r="I185" s="96" t="str">
        <f>IFERROR(IF(VLOOKUP(TableHandbook[[#This Row],[UDC]],TableAvailabilities[],4,FALSE)&gt;0,"Y",""),"")</f>
        <v/>
      </c>
      <c r="J185" s="96" t="str">
        <f>IFERROR(IF(VLOOKUP(TableHandbook[[#This Row],[UDC]],TableAvailabilities[],5,FALSE)&gt;0,"Y",""),"")</f>
        <v/>
      </c>
      <c r="K185" s="209" t="s">
        <v>436</v>
      </c>
      <c r="L185" s="213" t="str">
        <f>IFERROR(VLOOKUP(TableHandbook[[#This Row],[UDC]],TableMCARTS[],7,FALSE),"")</f>
        <v/>
      </c>
      <c r="M185" s="211" t="str">
        <f>IFERROR(VLOOKUP(TableHandbook[[#This Row],[UDC]],TableMJRPCWRIT[],7,FALSE),"")</f>
        <v/>
      </c>
      <c r="N185" s="211" t="str">
        <f>IFERROR(VLOOKUP(TableHandbook[[#This Row],[UDC]],TableMJRPDGCMS[],7,FALSE),"")</f>
        <v/>
      </c>
      <c r="O185" s="211" t="str">
        <f>IFERROR(VLOOKUP(TableHandbook[[#This Row],[UDC]],TableMJRPFINAR[],7,FALSE),"")</f>
        <v/>
      </c>
      <c r="P185" s="211" t="str">
        <f>IFERROR(VLOOKUP(TableHandbook[[#This Row],[UDC]],TableMJRPPWRIT[],7,FALSE),"")</f>
        <v/>
      </c>
      <c r="Q185" s="211" t="str">
        <f>IFERROR(VLOOKUP(TableHandbook[[#This Row],[UDC]],TableMJRPSCRAR[],7,FALSE),"")</f>
        <v/>
      </c>
      <c r="R185" s="213" t="str">
        <f>IFERROR(VLOOKUP(TableHandbook[[#This Row],[UDC]],TableMCMMJRG[],7,FALSE),"")</f>
        <v/>
      </c>
      <c r="S185" s="211" t="str">
        <f>IFERROR(VLOOKUP(TableHandbook[[#This Row],[UDC]],TableMCMMJRN[],7,FALSE),"")</f>
        <v/>
      </c>
      <c r="T185" s="211" t="str">
        <f>IFERROR(VLOOKUP(TableHandbook[[#This Row],[UDC]],TableGDMMJRN[],7,FALSE),"")</f>
        <v/>
      </c>
      <c r="U185" s="211" t="str">
        <f>IFERROR(VLOOKUP(TableHandbook[[#This Row],[UDC]],TableGCMMJRN[],7,FALSE),"")</f>
        <v/>
      </c>
      <c r="V185" s="213" t="str">
        <f>IFERROR(VLOOKUP(TableHandbook[[#This Row],[UDC]],TableMCHRIGLO[],7,FALSE),"")</f>
        <v/>
      </c>
      <c r="W185" s="211" t="str">
        <f>IFERROR(VLOOKUP(TableHandbook[[#This Row],[UDC]],TableMCHRIGHT[],7,FALSE),"")</f>
        <v/>
      </c>
      <c r="X185" s="211" t="str">
        <f>IFERROR(VLOOKUP(TableHandbook[[#This Row],[UDC]],TableGDHRIGHT[],7,FALSE),"")</f>
        <v/>
      </c>
      <c r="Y185" s="211" t="str">
        <f>IFERROR(VLOOKUP(TableHandbook[[#This Row],[UDC]],TableGCHRIGHT[],7,FALSE),"")</f>
        <v/>
      </c>
      <c r="Z185" s="213" t="str">
        <f>IFERROR(VLOOKUP(TableHandbook[[#This Row],[UDC]],TableMCGLOBL2[],7,FALSE),"")</f>
        <v/>
      </c>
      <c r="AA185" s="211" t="str">
        <f>IFERROR(VLOOKUP(TableHandbook[[#This Row],[UDC]],TableMCGLOBL[],7,FALSE),"")</f>
        <v/>
      </c>
      <c r="AB185" s="211" t="str">
        <f>IFERROR(VLOOKUP(TableHandbook[[#This Row],[UDC]],TableSTRPGLOBL[],7,FALSE),"")</f>
        <v/>
      </c>
      <c r="AC185" s="211" t="str">
        <f>IFERROR(VLOOKUP(TableHandbook[[#This Row],[UDC]],TableSTRPHRIGT[],7,FALSE),"")</f>
        <v/>
      </c>
      <c r="AD185" s="211" t="str">
        <f>IFERROR(VLOOKUP(TableHandbook[[#This Row],[UDC]],TableSTRPINTRN[],7,FALSE),"")</f>
        <v/>
      </c>
      <c r="AE185" s="211" t="str">
        <f>IFERROR(VLOOKUP(TableHandbook[[#This Row],[UDC]],TableGCGLOBL[],7,FALSE),"")</f>
        <v/>
      </c>
      <c r="AF185" s="213" t="str">
        <f>IFERROR(VLOOKUP(TableHandbook[[#This Row],[UDC]],TableMCINTREL[],7,FALSE),"")</f>
        <v/>
      </c>
      <c r="AG185" s="211" t="str">
        <f>IFERROR(VLOOKUP(TableHandbook[[#This Row],[UDC]],TableMCINTSEC[],7,FALSE),"")</f>
        <v/>
      </c>
      <c r="AH185" s="211" t="str">
        <f>IFERROR(VLOOKUP(TableHandbook[[#This Row],[UDC]],TableGDINTSEC[],7,FALSE),"")</f>
        <v/>
      </c>
      <c r="AI185" s="211" t="str">
        <f>IFERROR(VLOOKUP(TableHandbook[[#This Row],[UDC]],TableGCINTSEC[],7,FALSE),"")</f>
        <v/>
      </c>
      <c r="AJ185" s="211" t="str">
        <f>IFERROR(VLOOKUP(TableHandbook[[#This Row],[UDC]],TableGCINTELL[],7,FALSE),"")</f>
        <v/>
      </c>
      <c r="AK185" s="211" t="str">
        <f>IFERROR(VLOOKUP(TableHandbook[[#This Row],[UDC]],TableGCIPCSEC[],7,FALSE),"")</f>
        <v/>
      </c>
    </row>
    <row r="186" spans="1:37" x14ac:dyDescent="0.3">
      <c r="A186" s="231" t="s">
        <v>80</v>
      </c>
      <c r="B186" s="3">
        <v>3</v>
      </c>
      <c r="C186" s="3"/>
      <c r="D186" s="209" t="s">
        <v>632</v>
      </c>
      <c r="E186" s="3">
        <v>25</v>
      </c>
      <c r="F186" s="245" t="s">
        <v>108</v>
      </c>
      <c r="G186" s="96" t="str">
        <f>IFERROR(IF(VLOOKUP(TableHandbook[[#This Row],[UDC]],TableAvailabilities[],2,FALSE)&gt;0,"Y",""),"")</f>
        <v>Y</v>
      </c>
      <c r="H186" s="96" t="str">
        <f>IFERROR(IF(VLOOKUP(TableHandbook[[#This Row],[UDC]],TableAvailabilities[],3,FALSE)&gt;0,"Y",""),"")</f>
        <v/>
      </c>
      <c r="I186" s="96" t="str">
        <f>IFERROR(IF(VLOOKUP(TableHandbook[[#This Row],[UDC]],TableAvailabilities[],4,FALSE)&gt;0,"Y",""),"")</f>
        <v>Y</v>
      </c>
      <c r="J186" s="96" t="str">
        <f>IFERROR(IF(VLOOKUP(TableHandbook[[#This Row],[UDC]],TableAvailabilities[],5,FALSE)&gt;0,"Y",""),"")</f>
        <v/>
      </c>
      <c r="K186" s="209" t="s">
        <v>433</v>
      </c>
      <c r="L186" s="213" t="str">
        <f>IFERROR(VLOOKUP(TableHandbook[[#This Row],[UDC]],TableMCARTS[],7,FALSE),"")</f>
        <v/>
      </c>
      <c r="M186" s="211" t="str">
        <f>IFERROR(VLOOKUP(TableHandbook[[#This Row],[UDC]],TableMJRPCWRIT[],7,FALSE),"")</f>
        <v/>
      </c>
      <c r="N186" s="211" t="str">
        <f>IFERROR(VLOOKUP(TableHandbook[[#This Row],[UDC]],TableMJRPDGCMS[],7,FALSE),"")</f>
        <v/>
      </c>
      <c r="O186" s="211" t="str">
        <f>IFERROR(VLOOKUP(TableHandbook[[#This Row],[UDC]],TableMJRPFINAR[],7,FALSE),"")</f>
        <v/>
      </c>
      <c r="P186" s="211" t="str">
        <f>IFERROR(VLOOKUP(TableHandbook[[#This Row],[UDC]],TableMJRPPWRIT[],7,FALSE),"")</f>
        <v/>
      </c>
      <c r="Q186" s="211" t="str">
        <f>IFERROR(VLOOKUP(TableHandbook[[#This Row],[UDC]],TableMJRPSCRAR[],7,FALSE),"")</f>
        <v>Core</v>
      </c>
      <c r="R186" s="213" t="str">
        <f>IFERROR(VLOOKUP(TableHandbook[[#This Row],[UDC]],TableMCMMJRG[],7,FALSE),"")</f>
        <v/>
      </c>
      <c r="S186" s="211" t="str">
        <f>IFERROR(VLOOKUP(TableHandbook[[#This Row],[UDC]],TableMCMMJRN[],7,FALSE),"")</f>
        <v/>
      </c>
      <c r="T186" s="211" t="str">
        <f>IFERROR(VLOOKUP(TableHandbook[[#This Row],[UDC]],TableGDMMJRN[],7,FALSE),"")</f>
        <v/>
      </c>
      <c r="U186" s="211" t="str">
        <f>IFERROR(VLOOKUP(TableHandbook[[#This Row],[UDC]],TableGCMMJRN[],7,FALSE),"")</f>
        <v/>
      </c>
      <c r="V186" s="213" t="str">
        <f>IFERROR(VLOOKUP(TableHandbook[[#This Row],[UDC]],TableMCHRIGLO[],7,FALSE),"")</f>
        <v/>
      </c>
      <c r="W186" s="211" t="str">
        <f>IFERROR(VLOOKUP(TableHandbook[[#This Row],[UDC]],TableMCHRIGHT[],7,FALSE),"")</f>
        <v/>
      </c>
      <c r="X186" s="211" t="str">
        <f>IFERROR(VLOOKUP(TableHandbook[[#This Row],[UDC]],TableGDHRIGHT[],7,FALSE),"")</f>
        <v/>
      </c>
      <c r="Y186" s="211" t="str">
        <f>IFERROR(VLOOKUP(TableHandbook[[#This Row],[UDC]],TableGCHRIGHT[],7,FALSE),"")</f>
        <v/>
      </c>
      <c r="Z186" s="213" t="str">
        <f>IFERROR(VLOOKUP(TableHandbook[[#This Row],[UDC]],TableMCGLOBL2[],7,FALSE),"")</f>
        <v/>
      </c>
      <c r="AA186" s="211" t="str">
        <f>IFERROR(VLOOKUP(TableHandbook[[#This Row],[UDC]],TableMCGLOBL[],7,FALSE),"")</f>
        <v/>
      </c>
      <c r="AB186" s="211" t="str">
        <f>IFERROR(VLOOKUP(TableHandbook[[#This Row],[UDC]],TableSTRPGLOBL[],7,FALSE),"")</f>
        <v/>
      </c>
      <c r="AC186" s="211" t="str">
        <f>IFERROR(VLOOKUP(TableHandbook[[#This Row],[UDC]],TableSTRPHRIGT[],7,FALSE),"")</f>
        <v/>
      </c>
      <c r="AD186" s="211" t="str">
        <f>IFERROR(VLOOKUP(TableHandbook[[#This Row],[UDC]],TableSTRPINTRN[],7,FALSE),"")</f>
        <v/>
      </c>
      <c r="AE186" s="211" t="str">
        <f>IFERROR(VLOOKUP(TableHandbook[[#This Row],[UDC]],TableGCGLOBL[],7,FALSE),"")</f>
        <v/>
      </c>
      <c r="AF186" s="213" t="str">
        <f>IFERROR(VLOOKUP(TableHandbook[[#This Row],[UDC]],TableMCINTREL[],7,FALSE),"")</f>
        <v/>
      </c>
      <c r="AG186" s="211" t="str">
        <f>IFERROR(VLOOKUP(TableHandbook[[#This Row],[UDC]],TableMCINTSEC[],7,FALSE),"")</f>
        <v/>
      </c>
      <c r="AH186" s="211" t="str">
        <f>IFERROR(VLOOKUP(TableHandbook[[#This Row],[UDC]],TableGDINTSEC[],7,FALSE),"")</f>
        <v/>
      </c>
      <c r="AI186" s="211" t="str">
        <f>IFERROR(VLOOKUP(TableHandbook[[#This Row],[UDC]],TableGCINTSEC[],7,FALSE),"")</f>
        <v/>
      </c>
      <c r="AJ186" s="211" t="str">
        <f>IFERROR(VLOOKUP(TableHandbook[[#This Row],[UDC]],TableGCINTELL[],7,FALSE),"")</f>
        <v/>
      </c>
      <c r="AK186" s="211" t="str">
        <f>IFERROR(VLOOKUP(TableHandbook[[#This Row],[UDC]],TableGCIPCSEC[],7,FALSE),"")</f>
        <v/>
      </c>
    </row>
    <row r="187" spans="1:37" x14ac:dyDescent="0.3">
      <c r="A187" s="2" t="s">
        <v>633</v>
      </c>
      <c r="B187" s="3">
        <v>2</v>
      </c>
      <c r="C187" s="3"/>
      <c r="D187" s="209" t="s">
        <v>634</v>
      </c>
      <c r="E187" s="3">
        <v>25</v>
      </c>
      <c r="F187" s="149" t="s">
        <v>108</v>
      </c>
      <c r="G187" s="96" t="str">
        <f>IFERROR(IF(VLOOKUP(TableHandbook[[#This Row],[UDC]],TableAvailabilities[],2,FALSE)&gt;0,"Y",""),"")</f>
        <v/>
      </c>
      <c r="H187" s="96" t="str">
        <f>IFERROR(IF(VLOOKUP(TableHandbook[[#This Row],[UDC]],TableAvailabilities[],3,FALSE)&gt;0,"Y",""),"")</f>
        <v/>
      </c>
      <c r="I187" s="96" t="str">
        <f>IFERROR(IF(VLOOKUP(TableHandbook[[#This Row],[UDC]],TableAvailabilities[],4,FALSE)&gt;0,"Y",""),"")</f>
        <v/>
      </c>
      <c r="J187" s="96" t="str">
        <f>IFERROR(IF(VLOOKUP(TableHandbook[[#This Row],[UDC]],TableAvailabilities[],5,FALSE)&gt;0,"Y",""),"")</f>
        <v/>
      </c>
      <c r="K187" s="209" t="s">
        <v>436</v>
      </c>
      <c r="L187" s="213" t="str">
        <f>IFERROR(VLOOKUP(TableHandbook[[#This Row],[UDC]],TableMCARTS[],7,FALSE),"")</f>
        <v/>
      </c>
      <c r="M187" s="211" t="str">
        <f>IFERROR(VLOOKUP(TableHandbook[[#This Row],[UDC]],TableMJRPCWRIT[],7,FALSE),"")</f>
        <v/>
      </c>
      <c r="N187" s="211" t="str">
        <f>IFERROR(VLOOKUP(TableHandbook[[#This Row],[UDC]],TableMJRPDGCMS[],7,FALSE),"")</f>
        <v/>
      </c>
      <c r="O187" s="211" t="str">
        <f>IFERROR(VLOOKUP(TableHandbook[[#This Row],[UDC]],TableMJRPFINAR[],7,FALSE),"")</f>
        <v/>
      </c>
      <c r="P187" s="211" t="str">
        <f>IFERROR(VLOOKUP(TableHandbook[[#This Row],[UDC]],TableMJRPPWRIT[],7,FALSE),"")</f>
        <v/>
      </c>
      <c r="Q187" s="211" t="str">
        <f>IFERROR(VLOOKUP(TableHandbook[[#This Row],[UDC]],TableMJRPSCRAR[],7,FALSE),"")</f>
        <v/>
      </c>
      <c r="R187" s="213" t="str">
        <f>IFERROR(VLOOKUP(TableHandbook[[#This Row],[UDC]],TableMCMMJRG[],7,FALSE),"")</f>
        <v/>
      </c>
      <c r="S187" s="211" t="str">
        <f>IFERROR(VLOOKUP(TableHandbook[[#This Row],[UDC]],TableMCMMJRN[],7,FALSE),"")</f>
        <v/>
      </c>
      <c r="T187" s="211" t="str">
        <f>IFERROR(VLOOKUP(TableHandbook[[#This Row],[UDC]],TableGDMMJRN[],7,FALSE),"")</f>
        <v/>
      </c>
      <c r="U187" s="211" t="str">
        <f>IFERROR(VLOOKUP(TableHandbook[[#This Row],[UDC]],TableGCMMJRN[],7,FALSE),"")</f>
        <v/>
      </c>
      <c r="V187" s="213" t="str">
        <f>IFERROR(VLOOKUP(TableHandbook[[#This Row],[UDC]],TableMCHRIGLO[],7,FALSE),"")</f>
        <v/>
      </c>
      <c r="W187" s="211" t="str">
        <f>IFERROR(VLOOKUP(TableHandbook[[#This Row],[UDC]],TableMCHRIGHT[],7,FALSE),"")</f>
        <v/>
      </c>
      <c r="X187" s="211" t="str">
        <f>IFERROR(VLOOKUP(TableHandbook[[#This Row],[UDC]],TableGDHRIGHT[],7,FALSE),"")</f>
        <v/>
      </c>
      <c r="Y187" s="211" t="str">
        <f>IFERROR(VLOOKUP(TableHandbook[[#This Row],[UDC]],TableGCHRIGHT[],7,FALSE),"")</f>
        <v/>
      </c>
      <c r="Z187" s="213" t="str">
        <f>IFERROR(VLOOKUP(TableHandbook[[#This Row],[UDC]],TableMCGLOBL2[],7,FALSE),"")</f>
        <v/>
      </c>
      <c r="AA187" s="211" t="str">
        <f>IFERROR(VLOOKUP(TableHandbook[[#This Row],[UDC]],TableMCGLOBL[],7,FALSE),"")</f>
        <v/>
      </c>
      <c r="AB187" s="211" t="str">
        <f>IFERROR(VLOOKUP(TableHandbook[[#This Row],[UDC]],TableSTRPGLOBL[],7,FALSE),"")</f>
        <v/>
      </c>
      <c r="AC187" s="211" t="str">
        <f>IFERROR(VLOOKUP(TableHandbook[[#This Row],[UDC]],TableSTRPHRIGT[],7,FALSE),"")</f>
        <v/>
      </c>
      <c r="AD187" s="211" t="str">
        <f>IFERROR(VLOOKUP(TableHandbook[[#This Row],[UDC]],TableSTRPINTRN[],7,FALSE),"")</f>
        <v/>
      </c>
      <c r="AE187" s="211" t="str">
        <f>IFERROR(VLOOKUP(TableHandbook[[#This Row],[UDC]],TableGCGLOBL[],7,FALSE),"")</f>
        <v/>
      </c>
      <c r="AF187" s="213" t="str">
        <f>IFERROR(VLOOKUP(TableHandbook[[#This Row],[UDC]],TableMCINTREL[],7,FALSE),"")</f>
        <v/>
      </c>
      <c r="AG187" s="211" t="str">
        <f>IFERROR(VLOOKUP(TableHandbook[[#This Row],[UDC]],TableMCINTSEC[],7,FALSE),"")</f>
        <v/>
      </c>
      <c r="AH187" s="211" t="str">
        <f>IFERROR(VLOOKUP(TableHandbook[[#This Row],[UDC]],TableGDINTSEC[],7,FALSE),"")</f>
        <v/>
      </c>
      <c r="AI187" s="211" t="str">
        <f>IFERROR(VLOOKUP(TableHandbook[[#This Row],[UDC]],TableGCINTSEC[],7,FALSE),"")</f>
        <v/>
      </c>
      <c r="AJ187" s="211" t="str">
        <f>IFERROR(VLOOKUP(TableHandbook[[#This Row],[UDC]],TableGCINTELL[],7,FALSE),"")</f>
        <v/>
      </c>
      <c r="AK187" s="211" t="str">
        <f>IFERROR(VLOOKUP(TableHandbook[[#This Row],[UDC]],TableGCIPCSEC[],7,FALSE),"")</f>
        <v/>
      </c>
    </row>
    <row r="188" spans="1:37" x14ac:dyDescent="0.3">
      <c r="A188" s="231" t="s">
        <v>67</v>
      </c>
      <c r="B188" s="3">
        <v>3</v>
      </c>
      <c r="C188" s="3"/>
      <c r="D188" s="209" t="s">
        <v>635</v>
      </c>
      <c r="E188" s="3">
        <v>25</v>
      </c>
      <c r="F188" s="245" t="s">
        <v>108</v>
      </c>
      <c r="G188" s="96" t="str">
        <f>IFERROR(IF(VLOOKUP(TableHandbook[[#This Row],[UDC]],TableAvailabilities[],2,FALSE)&gt;0,"Y",""),"")</f>
        <v>Y</v>
      </c>
      <c r="H188" s="96" t="str">
        <f>IFERROR(IF(VLOOKUP(TableHandbook[[#This Row],[UDC]],TableAvailabilities[],3,FALSE)&gt;0,"Y",""),"")</f>
        <v/>
      </c>
      <c r="I188" s="96" t="str">
        <f>IFERROR(IF(VLOOKUP(TableHandbook[[#This Row],[UDC]],TableAvailabilities[],4,FALSE)&gt;0,"Y",""),"")</f>
        <v/>
      </c>
      <c r="J188" s="96" t="str">
        <f>IFERROR(IF(VLOOKUP(TableHandbook[[#This Row],[UDC]],TableAvailabilities[],5,FALSE)&gt;0,"Y",""),"")</f>
        <v/>
      </c>
      <c r="K188" s="209" t="s">
        <v>433</v>
      </c>
      <c r="L188" s="213" t="str">
        <f>IFERROR(VLOOKUP(TableHandbook[[#This Row],[UDC]],TableMCARTS[],7,FALSE),"")</f>
        <v/>
      </c>
      <c r="M188" s="211" t="str">
        <f>IFERROR(VLOOKUP(TableHandbook[[#This Row],[UDC]],TableMJRPCWRIT[],7,FALSE),"")</f>
        <v/>
      </c>
      <c r="N188" s="211" t="str">
        <f>IFERROR(VLOOKUP(TableHandbook[[#This Row],[UDC]],TableMJRPDGCMS[],7,FALSE),"")</f>
        <v/>
      </c>
      <c r="O188" s="211" t="str">
        <f>IFERROR(VLOOKUP(TableHandbook[[#This Row],[UDC]],TableMJRPFINAR[],7,FALSE),"")</f>
        <v/>
      </c>
      <c r="P188" s="211" t="str">
        <f>IFERROR(VLOOKUP(TableHandbook[[#This Row],[UDC]],TableMJRPPWRIT[],7,FALSE),"")</f>
        <v/>
      </c>
      <c r="Q188" s="211" t="str">
        <f>IFERROR(VLOOKUP(TableHandbook[[#This Row],[UDC]],TableMJRPSCRAR[],7,FALSE),"")</f>
        <v>Core</v>
      </c>
      <c r="R188" s="213" t="str">
        <f>IFERROR(VLOOKUP(TableHandbook[[#This Row],[UDC]],TableMCMMJRG[],7,FALSE),"")</f>
        <v/>
      </c>
      <c r="S188" s="211" t="str">
        <f>IFERROR(VLOOKUP(TableHandbook[[#This Row],[UDC]],TableMCMMJRN[],7,FALSE),"")</f>
        <v/>
      </c>
      <c r="T188" s="211" t="str">
        <f>IFERROR(VLOOKUP(TableHandbook[[#This Row],[UDC]],TableGDMMJRN[],7,FALSE),"")</f>
        <v/>
      </c>
      <c r="U188" s="211" t="str">
        <f>IFERROR(VLOOKUP(TableHandbook[[#This Row],[UDC]],TableGCMMJRN[],7,FALSE),"")</f>
        <v/>
      </c>
      <c r="V188" s="213" t="str">
        <f>IFERROR(VLOOKUP(TableHandbook[[#This Row],[UDC]],TableMCHRIGLO[],7,FALSE),"")</f>
        <v/>
      </c>
      <c r="W188" s="211" t="str">
        <f>IFERROR(VLOOKUP(TableHandbook[[#This Row],[UDC]],TableMCHRIGHT[],7,FALSE),"")</f>
        <v/>
      </c>
      <c r="X188" s="211" t="str">
        <f>IFERROR(VLOOKUP(TableHandbook[[#This Row],[UDC]],TableGDHRIGHT[],7,FALSE),"")</f>
        <v/>
      </c>
      <c r="Y188" s="211" t="str">
        <f>IFERROR(VLOOKUP(TableHandbook[[#This Row],[UDC]],TableGCHRIGHT[],7,FALSE),"")</f>
        <v/>
      </c>
      <c r="Z188" s="213" t="str">
        <f>IFERROR(VLOOKUP(TableHandbook[[#This Row],[UDC]],TableMCGLOBL2[],7,FALSE),"")</f>
        <v/>
      </c>
      <c r="AA188" s="211" t="str">
        <f>IFERROR(VLOOKUP(TableHandbook[[#This Row],[UDC]],TableMCGLOBL[],7,FALSE),"")</f>
        <v/>
      </c>
      <c r="AB188" s="211" t="str">
        <f>IFERROR(VLOOKUP(TableHandbook[[#This Row],[UDC]],TableSTRPGLOBL[],7,FALSE),"")</f>
        <v/>
      </c>
      <c r="AC188" s="211" t="str">
        <f>IFERROR(VLOOKUP(TableHandbook[[#This Row],[UDC]],TableSTRPHRIGT[],7,FALSE),"")</f>
        <v/>
      </c>
      <c r="AD188" s="211" t="str">
        <f>IFERROR(VLOOKUP(TableHandbook[[#This Row],[UDC]],TableSTRPINTRN[],7,FALSE),"")</f>
        <v/>
      </c>
      <c r="AE188" s="211" t="str">
        <f>IFERROR(VLOOKUP(TableHandbook[[#This Row],[UDC]],TableGCGLOBL[],7,FALSE),"")</f>
        <v/>
      </c>
      <c r="AF188" s="213" t="str">
        <f>IFERROR(VLOOKUP(TableHandbook[[#This Row],[UDC]],TableMCINTREL[],7,FALSE),"")</f>
        <v/>
      </c>
      <c r="AG188" s="211" t="str">
        <f>IFERROR(VLOOKUP(TableHandbook[[#This Row],[UDC]],TableMCINTSEC[],7,FALSE),"")</f>
        <v/>
      </c>
      <c r="AH188" s="211" t="str">
        <f>IFERROR(VLOOKUP(TableHandbook[[#This Row],[UDC]],TableGDINTSEC[],7,FALSE),"")</f>
        <v/>
      </c>
      <c r="AI188" s="211" t="str">
        <f>IFERROR(VLOOKUP(TableHandbook[[#This Row],[UDC]],TableGCINTSEC[],7,FALSE),"")</f>
        <v/>
      </c>
      <c r="AJ188" s="211" t="str">
        <f>IFERROR(VLOOKUP(TableHandbook[[#This Row],[UDC]],TableGCINTELL[],7,FALSE),"")</f>
        <v/>
      </c>
      <c r="AK188" s="211" t="str">
        <f>IFERROR(VLOOKUP(TableHandbook[[#This Row],[UDC]],TableGCIPCSEC[],7,FALSE),"")</f>
        <v/>
      </c>
    </row>
    <row r="189" spans="1:37" x14ac:dyDescent="0.3">
      <c r="A189" s="2" t="s">
        <v>636</v>
      </c>
      <c r="B189" s="3">
        <v>2</v>
      </c>
      <c r="C189" s="3"/>
      <c r="D189" s="209" t="s">
        <v>637</v>
      </c>
      <c r="E189" s="3">
        <v>25</v>
      </c>
      <c r="F189" s="149" t="s">
        <v>108</v>
      </c>
      <c r="G189" s="96" t="str">
        <f>IFERROR(IF(VLOOKUP(TableHandbook[[#This Row],[UDC]],TableAvailabilities[],2,FALSE)&gt;0,"Y",""),"")</f>
        <v/>
      </c>
      <c r="H189" s="96" t="str">
        <f>IFERROR(IF(VLOOKUP(TableHandbook[[#This Row],[UDC]],TableAvailabilities[],3,FALSE)&gt;0,"Y",""),"")</f>
        <v/>
      </c>
      <c r="I189" s="96" t="str">
        <f>IFERROR(IF(VLOOKUP(TableHandbook[[#This Row],[UDC]],TableAvailabilities[],4,FALSE)&gt;0,"Y",""),"")</f>
        <v/>
      </c>
      <c r="J189" s="96" t="str">
        <f>IFERROR(IF(VLOOKUP(TableHandbook[[#This Row],[UDC]],TableAvailabilities[],5,FALSE)&gt;0,"Y",""),"")</f>
        <v/>
      </c>
      <c r="K189" s="209" t="s">
        <v>436</v>
      </c>
      <c r="L189" s="213" t="str">
        <f>IFERROR(VLOOKUP(TableHandbook[[#This Row],[UDC]],TableMCARTS[],7,FALSE),"")</f>
        <v/>
      </c>
      <c r="M189" s="211" t="str">
        <f>IFERROR(VLOOKUP(TableHandbook[[#This Row],[UDC]],TableMJRPCWRIT[],7,FALSE),"")</f>
        <v/>
      </c>
      <c r="N189" s="211" t="str">
        <f>IFERROR(VLOOKUP(TableHandbook[[#This Row],[UDC]],TableMJRPDGCMS[],7,FALSE),"")</f>
        <v/>
      </c>
      <c r="O189" s="211" t="str">
        <f>IFERROR(VLOOKUP(TableHandbook[[#This Row],[UDC]],TableMJRPFINAR[],7,FALSE),"")</f>
        <v/>
      </c>
      <c r="P189" s="211" t="str">
        <f>IFERROR(VLOOKUP(TableHandbook[[#This Row],[UDC]],TableMJRPPWRIT[],7,FALSE),"")</f>
        <v/>
      </c>
      <c r="Q189" s="211" t="str">
        <f>IFERROR(VLOOKUP(TableHandbook[[#This Row],[UDC]],TableMJRPSCRAR[],7,FALSE),"")</f>
        <v/>
      </c>
      <c r="R189" s="213" t="str">
        <f>IFERROR(VLOOKUP(TableHandbook[[#This Row],[UDC]],TableMCMMJRG[],7,FALSE),"")</f>
        <v/>
      </c>
      <c r="S189" s="211" t="str">
        <f>IFERROR(VLOOKUP(TableHandbook[[#This Row],[UDC]],TableMCMMJRN[],7,FALSE),"")</f>
        <v/>
      </c>
      <c r="T189" s="211" t="str">
        <f>IFERROR(VLOOKUP(TableHandbook[[#This Row],[UDC]],TableGDMMJRN[],7,FALSE),"")</f>
        <v/>
      </c>
      <c r="U189" s="211" t="str">
        <f>IFERROR(VLOOKUP(TableHandbook[[#This Row],[UDC]],TableGCMMJRN[],7,FALSE),"")</f>
        <v/>
      </c>
      <c r="V189" s="213" t="str">
        <f>IFERROR(VLOOKUP(TableHandbook[[#This Row],[UDC]],TableMCHRIGLO[],7,FALSE),"")</f>
        <v/>
      </c>
      <c r="W189" s="211" t="str">
        <f>IFERROR(VLOOKUP(TableHandbook[[#This Row],[UDC]],TableMCHRIGHT[],7,FALSE),"")</f>
        <v/>
      </c>
      <c r="X189" s="211" t="str">
        <f>IFERROR(VLOOKUP(TableHandbook[[#This Row],[UDC]],TableGDHRIGHT[],7,FALSE),"")</f>
        <v/>
      </c>
      <c r="Y189" s="211" t="str">
        <f>IFERROR(VLOOKUP(TableHandbook[[#This Row],[UDC]],TableGCHRIGHT[],7,FALSE),"")</f>
        <v/>
      </c>
      <c r="Z189" s="213" t="str">
        <f>IFERROR(VLOOKUP(TableHandbook[[#This Row],[UDC]],TableMCGLOBL2[],7,FALSE),"")</f>
        <v/>
      </c>
      <c r="AA189" s="211" t="str">
        <f>IFERROR(VLOOKUP(TableHandbook[[#This Row],[UDC]],TableMCGLOBL[],7,FALSE),"")</f>
        <v/>
      </c>
      <c r="AB189" s="211" t="str">
        <f>IFERROR(VLOOKUP(TableHandbook[[#This Row],[UDC]],TableSTRPGLOBL[],7,FALSE),"")</f>
        <v/>
      </c>
      <c r="AC189" s="211" t="str">
        <f>IFERROR(VLOOKUP(TableHandbook[[#This Row],[UDC]],TableSTRPHRIGT[],7,FALSE),"")</f>
        <v/>
      </c>
      <c r="AD189" s="211" t="str">
        <f>IFERROR(VLOOKUP(TableHandbook[[#This Row],[UDC]],TableSTRPINTRN[],7,FALSE),"")</f>
        <v/>
      </c>
      <c r="AE189" s="211" t="str">
        <f>IFERROR(VLOOKUP(TableHandbook[[#This Row],[UDC]],TableGCGLOBL[],7,FALSE),"")</f>
        <v/>
      </c>
      <c r="AF189" s="213" t="str">
        <f>IFERROR(VLOOKUP(TableHandbook[[#This Row],[UDC]],TableMCINTREL[],7,FALSE),"")</f>
        <v/>
      </c>
      <c r="AG189" s="211" t="str">
        <f>IFERROR(VLOOKUP(TableHandbook[[#This Row],[UDC]],TableMCINTSEC[],7,FALSE),"")</f>
        <v/>
      </c>
      <c r="AH189" s="211" t="str">
        <f>IFERROR(VLOOKUP(TableHandbook[[#This Row],[UDC]],TableGDINTSEC[],7,FALSE),"")</f>
        <v/>
      </c>
      <c r="AI189" s="211" t="str">
        <f>IFERROR(VLOOKUP(TableHandbook[[#This Row],[UDC]],TableGCINTSEC[],7,FALSE),"")</f>
        <v/>
      </c>
      <c r="AJ189" s="211" t="str">
        <f>IFERROR(VLOOKUP(TableHandbook[[#This Row],[UDC]],TableGCINTELL[],7,FALSE),"")</f>
        <v/>
      </c>
      <c r="AK189" s="211" t="str">
        <f>IFERROR(VLOOKUP(TableHandbook[[#This Row],[UDC]],TableGCIPCSEC[],7,FALSE),"")</f>
        <v/>
      </c>
    </row>
    <row r="190" spans="1:37" x14ac:dyDescent="0.3">
      <c r="A190" s="231" t="s">
        <v>68</v>
      </c>
      <c r="B190" s="3">
        <v>4</v>
      </c>
      <c r="C190" s="3"/>
      <c r="D190" s="209" t="s">
        <v>638</v>
      </c>
      <c r="E190" s="3">
        <v>25</v>
      </c>
      <c r="F190" s="245" t="s">
        <v>108</v>
      </c>
      <c r="G190" s="96" t="str">
        <f>IFERROR(IF(VLOOKUP(TableHandbook[[#This Row],[UDC]],TableAvailabilities[],2,FALSE)&gt;0,"Y",""),"")</f>
        <v/>
      </c>
      <c r="H190" s="96" t="str">
        <f>IFERROR(IF(VLOOKUP(TableHandbook[[#This Row],[UDC]],TableAvailabilities[],3,FALSE)&gt;0,"Y",""),"")</f>
        <v/>
      </c>
      <c r="I190" s="96" t="str">
        <f>IFERROR(IF(VLOOKUP(TableHandbook[[#This Row],[UDC]],TableAvailabilities[],4,FALSE)&gt;0,"Y",""),"")</f>
        <v>Y</v>
      </c>
      <c r="J190" s="96" t="str">
        <f>IFERROR(IF(VLOOKUP(TableHandbook[[#This Row],[UDC]],TableAvailabilities[],5,FALSE)&gt;0,"Y",""),"")</f>
        <v/>
      </c>
      <c r="K190" s="209" t="s">
        <v>433</v>
      </c>
      <c r="L190" s="213" t="str">
        <f>IFERROR(VLOOKUP(TableHandbook[[#This Row],[UDC]],TableMCARTS[],7,FALSE),"")</f>
        <v/>
      </c>
      <c r="M190" s="211" t="str">
        <f>IFERROR(VLOOKUP(TableHandbook[[#This Row],[UDC]],TableMJRPCWRIT[],7,FALSE),"")</f>
        <v/>
      </c>
      <c r="N190" s="211" t="str">
        <f>IFERROR(VLOOKUP(TableHandbook[[#This Row],[UDC]],TableMJRPDGCMS[],7,FALSE),"")</f>
        <v/>
      </c>
      <c r="O190" s="211" t="str">
        <f>IFERROR(VLOOKUP(TableHandbook[[#This Row],[UDC]],TableMJRPFINAR[],7,FALSE),"")</f>
        <v/>
      </c>
      <c r="P190" s="211" t="str">
        <f>IFERROR(VLOOKUP(TableHandbook[[#This Row],[UDC]],TableMJRPPWRIT[],7,FALSE),"")</f>
        <v/>
      </c>
      <c r="Q190" s="211" t="str">
        <f>IFERROR(VLOOKUP(TableHandbook[[#This Row],[UDC]],TableMJRPSCRAR[],7,FALSE),"")</f>
        <v>Core</v>
      </c>
      <c r="R190" s="213" t="str">
        <f>IFERROR(VLOOKUP(TableHandbook[[#This Row],[UDC]],TableMCMMJRG[],7,FALSE),"")</f>
        <v/>
      </c>
      <c r="S190" s="211" t="str">
        <f>IFERROR(VLOOKUP(TableHandbook[[#This Row],[UDC]],TableMCMMJRN[],7,FALSE),"")</f>
        <v/>
      </c>
      <c r="T190" s="211" t="str">
        <f>IFERROR(VLOOKUP(TableHandbook[[#This Row],[UDC]],TableGDMMJRN[],7,FALSE),"")</f>
        <v/>
      </c>
      <c r="U190" s="211" t="str">
        <f>IFERROR(VLOOKUP(TableHandbook[[#This Row],[UDC]],TableGCMMJRN[],7,FALSE),"")</f>
        <v/>
      </c>
      <c r="V190" s="213" t="str">
        <f>IFERROR(VLOOKUP(TableHandbook[[#This Row],[UDC]],TableMCHRIGLO[],7,FALSE),"")</f>
        <v/>
      </c>
      <c r="W190" s="211" t="str">
        <f>IFERROR(VLOOKUP(TableHandbook[[#This Row],[UDC]],TableMCHRIGHT[],7,FALSE),"")</f>
        <v/>
      </c>
      <c r="X190" s="211" t="str">
        <f>IFERROR(VLOOKUP(TableHandbook[[#This Row],[UDC]],TableGDHRIGHT[],7,FALSE),"")</f>
        <v/>
      </c>
      <c r="Y190" s="211" t="str">
        <f>IFERROR(VLOOKUP(TableHandbook[[#This Row],[UDC]],TableGCHRIGHT[],7,FALSE),"")</f>
        <v/>
      </c>
      <c r="Z190" s="213" t="str">
        <f>IFERROR(VLOOKUP(TableHandbook[[#This Row],[UDC]],TableMCGLOBL2[],7,FALSE),"")</f>
        <v/>
      </c>
      <c r="AA190" s="211" t="str">
        <f>IFERROR(VLOOKUP(TableHandbook[[#This Row],[UDC]],TableMCGLOBL[],7,FALSE),"")</f>
        <v/>
      </c>
      <c r="AB190" s="211" t="str">
        <f>IFERROR(VLOOKUP(TableHandbook[[#This Row],[UDC]],TableSTRPGLOBL[],7,FALSE),"")</f>
        <v/>
      </c>
      <c r="AC190" s="211" t="str">
        <f>IFERROR(VLOOKUP(TableHandbook[[#This Row],[UDC]],TableSTRPHRIGT[],7,FALSE),"")</f>
        <v/>
      </c>
      <c r="AD190" s="211" t="str">
        <f>IFERROR(VLOOKUP(TableHandbook[[#This Row],[UDC]],TableSTRPINTRN[],7,FALSE),"")</f>
        <v/>
      </c>
      <c r="AE190" s="211" t="str">
        <f>IFERROR(VLOOKUP(TableHandbook[[#This Row],[UDC]],TableGCGLOBL[],7,FALSE),"")</f>
        <v/>
      </c>
      <c r="AF190" s="213" t="str">
        <f>IFERROR(VLOOKUP(TableHandbook[[#This Row],[UDC]],TableMCINTREL[],7,FALSE),"")</f>
        <v/>
      </c>
      <c r="AG190" s="211" t="str">
        <f>IFERROR(VLOOKUP(TableHandbook[[#This Row],[UDC]],TableMCINTSEC[],7,FALSE),"")</f>
        <v/>
      </c>
      <c r="AH190" s="211" t="str">
        <f>IFERROR(VLOOKUP(TableHandbook[[#This Row],[UDC]],TableGDINTSEC[],7,FALSE),"")</f>
        <v/>
      </c>
      <c r="AI190" s="211" t="str">
        <f>IFERROR(VLOOKUP(TableHandbook[[#This Row],[UDC]],TableGCINTSEC[],7,FALSE),"")</f>
        <v/>
      </c>
      <c r="AJ190" s="211" t="str">
        <f>IFERROR(VLOOKUP(TableHandbook[[#This Row],[UDC]],TableGCINTELL[],7,FALSE),"")</f>
        <v/>
      </c>
      <c r="AK190" s="211" t="str">
        <f>IFERROR(VLOOKUP(TableHandbook[[#This Row],[UDC]],TableGCIPCSEC[],7,FALSE),"")</f>
        <v/>
      </c>
    </row>
    <row r="191" spans="1:37" x14ac:dyDescent="0.3">
      <c r="A191" s="2" t="s">
        <v>639</v>
      </c>
      <c r="B191" s="3">
        <v>3</v>
      </c>
      <c r="C191" s="3"/>
      <c r="D191" s="209" t="s">
        <v>640</v>
      </c>
      <c r="E191" s="3">
        <v>25</v>
      </c>
      <c r="F191" s="149" t="s">
        <v>108</v>
      </c>
      <c r="G191" s="96" t="str">
        <f>IFERROR(IF(VLOOKUP(TableHandbook[[#This Row],[UDC]],TableAvailabilities[],2,FALSE)&gt;0,"Y",""),"")</f>
        <v/>
      </c>
      <c r="H191" s="96" t="str">
        <f>IFERROR(IF(VLOOKUP(TableHandbook[[#This Row],[UDC]],TableAvailabilities[],3,FALSE)&gt;0,"Y",""),"")</f>
        <v/>
      </c>
      <c r="I191" s="96" t="str">
        <f>IFERROR(IF(VLOOKUP(TableHandbook[[#This Row],[UDC]],TableAvailabilities[],4,FALSE)&gt;0,"Y",""),"")</f>
        <v/>
      </c>
      <c r="J191" s="96" t="str">
        <f>IFERROR(IF(VLOOKUP(TableHandbook[[#This Row],[UDC]],TableAvailabilities[],5,FALSE)&gt;0,"Y",""),"")</f>
        <v/>
      </c>
      <c r="K191" s="209" t="s">
        <v>436</v>
      </c>
      <c r="L191" s="213" t="str">
        <f>IFERROR(VLOOKUP(TableHandbook[[#This Row],[UDC]],TableMCARTS[],7,FALSE),"")</f>
        <v/>
      </c>
      <c r="M191" s="211" t="str">
        <f>IFERROR(VLOOKUP(TableHandbook[[#This Row],[UDC]],TableMJRPCWRIT[],7,FALSE),"")</f>
        <v/>
      </c>
      <c r="N191" s="211" t="str">
        <f>IFERROR(VLOOKUP(TableHandbook[[#This Row],[UDC]],TableMJRPDGCMS[],7,FALSE),"")</f>
        <v/>
      </c>
      <c r="O191" s="211" t="str">
        <f>IFERROR(VLOOKUP(TableHandbook[[#This Row],[UDC]],TableMJRPFINAR[],7,FALSE),"")</f>
        <v/>
      </c>
      <c r="P191" s="211" t="str">
        <f>IFERROR(VLOOKUP(TableHandbook[[#This Row],[UDC]],TableMJRPPWRIT[],7,FALSE),"")</f>
        <v/>
      </c>
      <c r="Q191" s="211" t="str">
        <f>IFERROR(VLOOKUP(TableHandbook[[#This Row],[UDC]],TableMJRPSCRAR[],7,FALSE),"")</f>
        <v/>
      </c>
      <c r="R191" s="213" t="str">
        <f>IFERROR(VLOOKUP(TableHandbook[[#This Row],[UDC]],TableMCMMJRG[],7,FALSE),"")</f>
        <v/>
      </c>
      <c r="S191" s="211" t="str">
        <f>IFERROR(VLOOKUP(TableHandbook[[#This Row],[UDC]],TableMCMMJRN[],7,FALSE),"")</f>
        <v/>
      </c>
      <c r="T191" s="211" t="str">
        <f>IFERROR(VLOOKUP(TableHandbook[[#This Row],[UDC]],TableGDMMJRN[],7,FALSE),"")</f>
        <v/>
      </c>
      <c r="U191" s="211" t="str">
        <f>IFERROR(VLOOKUP(TableHandbook[[#This Row],[UDC]],TableGCMMJRN[],7,FALSE),"")</f>
        <v/>
      </c>
      <c r="V191" s="213" t="str">
        <f>IFERROR(VLOOKUP(TableHandbook[[#This Row],[UDC]],TableMCHRIGLO[],7,FALSE),"")</f>
        <v/>
      </c>
      <c r="W191" s="211" t="str">
        <f>IFERROR(VLOOKUP(TableHandbook[[#This Row],[UDC]],TableMCHRIGHT[],7,FALSE),"")</f>
        <v/>
      </c>
      <c r="X191" s="211" t="str">
        <f>IFERROR(VLOOKUP(TableHandbook[[#This Row],[UDC]],TableGDHRIGHT[],7,FALSE),"")</f>
        <v/>
      </c>
      <c r="Y191" s="211" t="str">
        <f>IFERROR(VLOOKUP(TableHandbook[[#This Row],[UDC]],TableGCHRIGHT[],7,FALSE),"")</f>
        <v/>
      </c>
      <c r="Z191" s="213" t="str">
        <f>IFERROR(VLOOKUP(TableHandbook[[#This Row],[UDC]],TableMCGLOBL2[],7,FALSE),"")</f>
        <v/>
      </c>
      <c r="AA191" s="211" t="str">
        <f>IFERROR(VLOOKUP(TableHandbook[[#This Row],[UDC]],TableMCGLOBL[],7,FALSE),"")</f>
        <v/>
      </c>
      <c r="AB191" s="211" t="str">
        <f>IFERROR(VLOOKUP(TableHandbook[[#This Row],[UDC]],TableSTRPGLOBL[],7,FALSE),"")</f>
        <v/>
      </c>
      <c r="AC191" s="211" t="str">
        <f>IFERROR(VLOOKUP(TableHandbook[[#This Row],[UDC]],TableSTRPHRIGT[],7,FALSE),"")</f>
        <v/>
      </c>
      <c r="AD191" s="211" t="str">
        <f>IFERROR(VLOOKUP(TableHandbook[[#This Row],[UDC]],TableSTRPINTRN[],7,FALSE),"")</f>
        <v/>
      </c>
      <c r="AE191" s="211" t="str">
        <f>IFERROR(VLOOKUP(TableHandbook[[#This Row],[UDC]],TableGCGLOBL[],7,FALSE),"")</f>
        <v/>
      </c>
      <c r="AF191" s="213" t="str">
        <f>IFERROR(VLOOKUP(TableHandbook[[#This Row],[UDC]],TableMCINTREL[],7,FALSE),"")</f>
        <v/>
      </c>
      <c r="AG191" s="211" t="str">
        <f>IFERROR(VLOOKUP(TableHandbook[[#This Row],[UDC]],TableMCINTSEC[],7,FALSE),"")</f>
        <v/>
      </c>
      <c r="AH191" s="211" t="str">
        <f>IFERROR(VLOOKUP(TableHandbook[[#This Row],[UDC]],TableGDINTSEC[],7,FALSE),"")</f>
        <v/>
      </c>
      <c r="AI191" s="211" t="str">
        <f>IFERROR(VLOOKUP(TableHandbook[[#This Row],[UDC]],TableGCINTSEC[],7,FALSE),"")</f>
        <v/>
      </c>
      <c r="AJ191" s="211" t="str">
        <f>IFERROR(VLOOKUP(TableHandbook[[#This Row],[UDC]],TableGCINTELL[],7,FALSE),"")</f>
        <v/>
      </c>
      <c r="AK191" s="211" t="str">
        <f>IFERROR(VLOOKUP(TableHandbook[[#This Row],[UDC]],TableGCIPCSEC[],7,FALSE),"")</f>
        <v/>
      </c>
    </row>
    <row r="192" spans="1:37" x14ac:dyDescent="0.3">
      <c r="A192" s="231" t="s">
        <v>219</v>
      </c>
      <c r="B192" s="3">
        <v>4</v>
      </c>
      <c r="C192" s="3"/>
      <c r="D192" s="209" t="s">
        <v>641</v>
      </c>
      <c r="E192" s="3">
        <v>25</v>
      </c>
      <c r="F192" s="245" t="s">
        <v>75</v>
      </c>
      <c r="G192" s="96" t="str">
        <f>IFERROR(IF(VLOOKUP(TableHandbook[[#This Row],[UDC]],TableAvailabilities[],2,FALSE)&gt;0,"Y",""),"")</f>
        <v>Y</v>
      </c>
      <c r="H192" s="96" t="str">
        <f>IFERROR(IF(VLOOKUP(TableHandbook[[#This Row],[UDC]],TableAvailabilities[],3,FALSE)&gt;0,"Y",""),"")</f>
        <v/>
      </c>
      <c r="I192" s="96" t="str">
        <f>IFERROR(IF(VLOOKUP(TableHandbook[[#This Row],[UDC]],TableAvailabilities[],4,FALSE)&gt;0,"Y",""),"")</f>
        <v/>
      </c>
      <c r="J192" s="96" t="str">
        <f>IFERROR(IF(VLOOKUP(TableHandbook[[#This Row],[UDC]],TableAvailabilities[],5,FALSE)&gt;0,"Y",""),"")</f>
        <v/>
      </c>
      <c r="K192" s="209" t="s">
        <v>433</v>
      </c>
      <c r="L192" s="213" t="str">
        <f>IFERROR(VLOOKUP(TableHandbook[[#This Row],[UDC]],TableMCARTS[],7,FALSE),"")</f>
        <v/>
      </c>
      <c r="M192" s="211" t="str">
        <f>IFERROR(VLOOKUP(TableHandbook[[#This Row],[UDC]],TableMJRPCWRIT[],7,FALSE),"")</f>
        <v/>
      </c>
      <c r="N192" s="211" t="str">
        <f>IFERROR(VLOOKUP(TableHandbook[[#This Row],[UDC]],TableMJRPDGCMS[],7,FALSE),"")</f>
        <v/>
      </c>
      <c r="O192" s="211" t="str">
        <f>IFERROR(VLOOKUP(TableHandbook[[#This Row],[UDC]],TableMJRPFINAR[],7,FALSE),"")</f>
        <v/>
      </c>
      <c r="P192" s="211" t="str">
        <f>IFERROR(VLOOKUP(TableHandbook[[#This Row],[UDC]],TableMJRPPWRIT[],7,FALSE),"")</f>
        <v/>
      </c>
      <c r="Q192" s="211" t="str">
        <f>IFERROR(VLOOKUP(TableHandbook[[#This Row],[UDC]],TableMJRPSCRAR[],7,FALSE),"")</f>
        <v>Option</v>
      </c>
      <c r="R192" s="213" t="str">
        <f>IFERROR(VLOOKUP(TableHandbook[[#This Row],[UDC]],TableMCMMJRG[],7,FALSE),"")</f>
        <v/>
      </c>
      <c r="S192" s="211" t="str">
        <f>IFERROR(VLOOKUP(TableHandbook[[#This Row],[UDC]],TableMCMMJRN[],7,FALSE),"")</f>
        <v/>
      </c>
      <c r="T192" s="211" t="str">
        <f>IFERROR(VLOOKUP(TableHandbook[[#This Row],[UDC]],TableGDMMJRN[],7,FALSE),"")</f>
        <v/>
      </c>
      <c r="U192" s="211" t="str">
        <f>IFERROR(VLOOKUP(TableHandbook[[#This Row],[UDC]],TableGCMMJRN[],7,FALSE),"")</f>
        <v/>
      </c>
      <c r="V192" s="213" t="str">
        <f>IFERROR(VLOOKUP(TableHandbook[[#This Row],[UDC]],TableMCHRIGLO[],7,FALSE),"")</f>
        <v/>
      </c>
      <c r="W192" s="211" t="str">
        <f>IFERROR(VLOOKUP(TableHandbook[[#This Row],[UDC]],TableMCHRIGHT[],7,FALSE),"")</f>
        <v/>
      </c>
      <c r="X192" s="211" t="str">
        <f>IFERROR(VLOOKUP(TableHandbook[[#This Row],[UDC]],TableGDHRIGHT[],7,FALSE),"")</f>
        <v/>
      </c>
      <c r="Y192" s="211" t="str">
        <f>IFERROR(VLOOKUP(TableHandbook[[#This Row],[UDC]],TableGCHRIGHT[],7,FALSE),"")</f>
        <v/>
      </c>
      <c r="Z192" s="213" t="str">
        <f>IFERROR(VLOOKUP(TableHandbook[[#This Row],[UDC]],TableMCGLOBL2[],7,FALSE),"")</f>
        <v/>
      </c>
      <c r="AA192" s="211" t="str">
        <f>IFERROR(VLOOKUP(TableHandbook[[#This Row],[UDC]],TableMCGLOBL[],7,FALSE),"")</f>
        <v/>
      </c>
      <c r="AB192" s="211" t="str">
        <f>IFERROR(VLOOKUP(TableHandbook[[#This Row],[UDC]],TableSTRPGLOBL[],7,FALSE),"")</f>
        <v/>
      </c>
      <c r="AC192" s="211" t="str">
        <f>IFERROR(VLOOKUP(TableHandbook[[#This Row],[UDC]],TableSTRPHRIGT[],7,FALSE),"")</f>
        <v/>
      </c>
      <c r="AD192" s="211" t="str">
        <f>IFERROR(VLOOKUP(TableHandbook[[#This Row],[UDC]],TableSTRPINTRN[],7,FALSE),"")</f>
        <v/>
      </c>
      <c r="AE192" s="211" t="str">
        <f>IFERROR(VLOOKUP(TableHandbook[[#This Row],[UDC]],TableGCGLOBL[],7,FALSE),"")</f>
        <v/>
      </c>
      <c r="AF192" s="213" t="str">
        <f>IFERROR(VLOOKUP(TableHandbook[[#This Row],[UDC]],TableMCINTREL[],7,FALSE),"")</f>
        <v/>
      </c>
      <c r="AG192" s="211" t="str">
        <f>IFERROR(VLOOKUP(TableHandbook[[#This Row],[UDC]],TableMCINTSEC[],7,FALSE),"")</f>
        <v/>
      </c>
      <c r="AH192" s="211" t="str">
        <f>IFERROR(VLOOKUP(TableHandbook[[#This Row],[UDC]],TableGDINTSEC[],7,FALSE),"")</f>
        <v/>
      </c>
      <c r="AI192" s="211" t="str">
        <f>IFERROR(VLOOKUP(TableHandbook[[#This Row],[UDC]],TableGCINTSEC[],7,FALSE),"")</f>
        <v/>
      </c>
      <c r="AJ192" s="211" t="str">
        <f>IFERROR(VLOOKUP(TableHandbook[[#This Row],[UDC]],TableGCINTELL[],7,FALSE),"")</f>
        <v/>
      </c>
      <c r="AK192" s="211" t="str">
        <f>IFERROR(VLOOKUP(TableHandbook[[#This Row],[UDC]],TableGCIPCSEC[],7,FALSE),"")</f>
        <v/>
      </c>
    </row>
    <row r="193" spans="1:37" x14ac:dyDescent="0.3">
      <c r="A193" s="2" t="s">
        <v>642</v>
      </c>
      <c r="B193" s="3">
        <v>3</v>
      </c>
      <c r="C193" s="3"/>
      <c r="D193" s="209" t="s">
        <v>643</v>
      </c>
      <c r="E193" s="3">
        <v>25</v>
      </c>
      <c r="F193" s="149" t="s">
        <v>75</v>
      </c>
      <c r="G193" s="96" t="str">
        <f>IFERROR(IF(VLOOKUP(TableHandbook[[#This Row],[UDC]],TableAvailabilities[],2,FALSE)&gt;0,"Y",""),"")</f>
        <v/>
      </c>
      <c r="H193" s="96" t="str">
        <f>IFERROR(IF(VLOOKUP(TableHandbook[[#This Row],[UDC]],TableAvailabilities[],3,FALSE)&gt;0,"Y",""),"")</f>
        <v/>
      </c>
      <c r="I193" s="96" t="str">
        <f>IFERROR(IF(VLOOKUP(TableHandbook[[#This Row],[UDC]],TableAvailabilities[],4,FALSE)&gt;0,"Y",""),"")</f>
        <v/>
      </c>
      <c r="J193" s="96" t="str">
        <f>IFERROR(IF(VLOOKUP(TableHandbook[[#This Row],[UDC]],TableAvailabilities[],5,FALSE)&gt;0,"Y",""),"")</f>
        <v/>
      </c>
      <c r="K193" s="209" t="s">
        <v>436</v>
      </c>
      <c r="L193" s="213" t="str">
        <f>IFERROR(VLOOKUP(TableHandbook[[#This Row],[UDC]],TableMCARTS[],7,FALSE),"")</f>
        <v/>
      </c>
      <c r="M193" s="211" t="str">
        <f>IFERROR(VLOOKUP(TableHandbook[[#This Row],[UDC]],TableMJRPCWRIT[],7,FALSE),"")</f>
        <v/>
      </c>
      <c r="N193" s="211" t="str">
        <f>IFERROR(VLOOKUP(TableHandbook[[#This Row],[UDC]],TableMJRPDGCMS[],7,FALSE),"")</f>
        <v/>
      </c>
      <c r="O193" s="211" t="str">
        <f>IFERROR(VLOOKUP(TableHandbook[[#This Row],[UDC]],TableMJRPFINAR[],7,FALSE),"")</f>
        <v/>
      </c>
      <c r="P193" s="211" t="str">
        <f>IFERROR(VLOOKUP(TableHandbook[[#This Row],[UDC]],TableMJRPPWRIT[],7,FALSE),"")</f>
        <v/>
      </c>
      <c r="Q193" s="211" t="str">
        <f>IFERROR(VLOOKUP(TableHandbook[[#This Row],[UDC]],TableMJRPSCRAR[],7,FALSE),"")</f>
        <v/>
      </c>
      <c r="R193" s="213" t="str">
        <f>IFERROR(VLOOKUP(TableHandbook[[#This Row],[UDC]],TableMCMMJRG[],7,FALSE),"")</f>
        <v/>
      </c>
      <c r="S193" s="211" t="str">
        <f>IFERROR(VLOOKUP(TableHandbook[[#This Row],[UDC]],TableMCMMJRN[],7,FALSE),"")</f>
        <v/>
      </c>
      <c r="T193" s="211" t="str">
        <f>IFERROR(VLOOKUP(TableHandbook[[#This Row],[UDC]],TableGDMMJRN[],7,FALSE),"")</f>
        <v/>
      </c>
      <c r="U193" s="211" t="str">
        <f>IFERROR(VLOOKUP(TableHandbook[[#This Row],[UDC]],TableGCMMJRN[],7,FALSE),"")</f>
        <v/>
      </c>
      <c r="V193" s="213" t="str">
        <f>IFERROR(VLOOKUP(TableHandbook[[#This Row],[UDC]],TableMCHRIGLO[],7,FALSE),"")</f>
        <v/>
      </c>
      <c r="W193" s="211" t="str">
        <f>IFERROR(VLOOKUP(TableHandbook[[#This Row],[UDC]],TableMCHRIGHT[],7,FALSE),"")</f>
        <v/>
      </c>
      <c r="X193" s="211" t="str">
        <f>IFERROR(VLOOKUP(TableHandbook[[#This Row],[UDC]],TableGDHRIGHT[],7,FALSE),"")</f>
        <v/>
      </c>
      <c r="Y193" s="211" t="str">
        <f>IFERROR(VLOOKUP(TableHandbook[[#This Row],[UDC]],TableGCHRIGHT[],7,FALSE),"")</f>
        <v/>
      </c>
      <c r="Z193" s="213" t="str">
        <f>IFERROR(VLOOKUP(TableHandbook[[#This Row],[UDC]],TableMCGLOBL2[],7,FALSE),"")</f>
        <v/>
      </c>
      <c r="AA193" s="211" t="str">
        <f>IFERROR(VLOOKUP(TableHandbook[[#This Row],[UDC]],TableMCGLOBL[],7,FALSE),"")</f>
        <v/>
      </c>
      <c r="AB193" s="211" t="str">
        <f>IFERROR(VLOOKUP(TableHandbook[[#This Row],[UDC]],TableSTRPGLOBL[],7,FALSE),"")</f>
        <v/>
      </c>
      <c r="AC193" s="211" t="str">
        <f>IFERROR(VLOOKUP(TableHandbook[[#This Row],[UDC]],TableSTRPHRIGT[],7,FALSE),"")</f>
        <v/>
      </c>
      <c r="AD193" s="211" t="str">
        <f>IFERROR(VLOOKUP(TableHandbook[[#This Row],[UDC]],TableSTRPINTRN[],7,FALSE),"")</f>
        <v/>
      </c>
      <c r="AE193" s="211" t="str">
        <f>IFERROR(VLOOKUP(TableHandbook[[#This Row],[UDC]],TableGCGLOBL[],7,FALSE),"")</f>
        <v/>
      </c>
      <c r="AF193" s="213" t="str">
        <f>IFERROR(VLOOKUP(TableHandbook[[#This Row],[UDC]],TableMCINTREL[],7,FALSE),"")</f>
        <v/>
      </c>
      <c r="AG193" s="211" t="str">
        <f>IFERROR(VLOOKUP(TableHandbook[[#This Row],[UDC]],TableMCINTSEC[],7,FALSE),"")</f>
        <v/>
      </c>
      <c r="AH193" s="211" t="str">
        <f>IFERROR(VLOOKUP(TableHandbook[[#This Row],[UDC]],TableGDINTSEC[],7,FALSE),"")</f>
        <v/>
      </c>
      <c r="AI193" s="211" t="str">
        <f>IFERROR(VLOOKUP(TableHandbook[[#This Row],[UDC]],TableGCINTSEC[],7,FALSE),"")</f>
        <v/>
      </c>
      <c r="AJ193" s="211" t="str">
        <f>IFERROR(VLOOKUP(TableHandbook[[#This Row],[UDC]],TableGCINTELL[],7,FALSE),"")</f>
        <v/>
      </c>
      <c r="AK193" s="211" t="str">
        <f>IFERROR(VLOOKUP(TableHandbook[[#This Row],[UDC]],TableGCIPCSEC[],7,FALSE),"")</f>
        <v/>
      </c>
    </row>
    <row r="194" spans="1:37" x14ac:dyDescent="0.3">
      <c r="A194" s="231" t="s">
        <v>224</v>
      </c>
      <c r="B194" s="3">
        <v>6</v>
      </c>
      <c r="C194" s="3"/>
      <c r="D194" s="209" t="s">
        <v>644</v>
      </c>
      <c r="E194" s="3">
        <v>25</v>
      </c>
      <c r="F194" s="245" t="s">
        <v>75</v>
      </c>
      <c r="G194" s="96" t="str">
        <f>IFERROR(IF(VLOOKUP(TableHandbook[[#This Row],[UDC]],TableAvailabilities[],2,FALSE)&gt;0,"Y",""),"")</f>
        <v>Y</v>
      </c>
      <c r="H194" s="96" t="str">
        <f>IFERROR(IF(VLOOKUP(TableHandbook[[#This Row],[UDC]],TableAvailabilities[],3,FALSE)&gt;0,"Y",""),"")</f>
        <v/>
      </c>
      <c r="I194" s="96" t="str">
        <f>IFERROR(IF(VLOOKUP(TableHandbook[[#This Row],[UDC]],TableAvailabilities[],4,FALSE)&gt;0,"Y",""),"")</f>
        <v/>
      </c>
      <c r="J194" s="96" t="str">
        <f>IFERROR(IF(VLOOKUP(TableHandbook[[#This Row],[UDC]],TableAvailabilities[],5,FALSE)&gt;0,"Y",""),"")</f>
        <v/>
      </c>
      <c r="K194" s="209" t="s">
        <v>433</v>
      </c>
      <c r="L194" s="213" t="str">
        <f>IFERROR(VLOOKUP(TableHandbook[[#This Row],[UDC]],TableMCARTS[],7,FALSE),"")</f>
        <v/>
      </c>
      <c r="M194" s="211" t="str">
        <f>IFERROR(VLOOKUP(TableHandbook[[#This Row],[UDC]],TableMJRPCWRIT[],7,FALSE),"")</f>
        <v/>
      </c>
      <c r="N194" s="211" t="str">
        <f>IFERROR(VLOOKUP(TableHandbook[[#This Row],[UDC]],TableMJRPDGCMS[],7,FALSE),"")</f>
        <v>Option</v>
      </c>
      <c r="O194" s="211" t="str">
        <f>IFERROR(VLOOKUP(TableHandbook[[#This Row],[UDC]],TableMJRPFINAR[],7,FALSE),"")</f>
        <v/>
      </c>
      <c r="P194" s="211" t="str">
        <f>IFERROR(VLOOKUP(TableHandbook[[#This Row],[UDC]],TableMJRPPWRIT[],7,FALSE),"")</f>
        <v/>
      </c>
      <c r="Q194" s="211" t="str">
        <f>IFERROR(VLOOKUP(TableHandbook[[#This Row],[UDC]],TableMJRPSCRAR[],7,FALSE),"")</f>
        <v>Option</v>
      </c>
      <c r="R194" s="213" t="str">
        <f>IFERROR(VLOOKUP(TableHandbook[[#This Row],[UDC]],TableMCMMJRG[],7,FALSE),"")</f>
        <v/>
      </c>
      <c r="S194" s="211" t="str">
        <f>IFERROR(VLOOKUP(TableHandbook[[#This Row],[UDC]],TableMCMMJRN[],7,FALSE),"")</f>
        <v/>
      </c>
      <c r="T194" s="211" t="str">
        <f>IFERROR(VLOOKUP(TableHandbook[[#This Row],[UDC]],TableGDMMJRN[],7,FALSE),"")</f>
        <v/>
      </c>
      <c r="U194" s="211" t="str">
        <f>IFERROR(VLOOKUP(TableHandbook[[#This Row],[UDC]],TableGCMMJRN[],7,FALSE),"")</f>
        <v/>
      </c>
      <c r="V194" s="213" t="str">
        <f>IFERROR(VLOOKUP(TableHandbook[[#This Row],[UDC]],TableMCHRIGLO[],7,FALSE),"")</f>
        <v/>
      </c>
      <c r="W194" s="211" t="str">
        <f>IFERROR(VLOOKUP(TableHandbook[[#This Row],[UDC]],TableMCHRIGHT[],7,FALSE),"")</f>
        <v/>
      </c>
      <c r="X194" s="211" t="str">
        <f>IFERROR(VLOOKUP(TableHandbook[[#This Row],[UDC]],TableGDHRIGHT[],7,FALSE),"")</f>
        <v/>
      </c>
      <c r="Y194" s="211" t="str">
        <f>IFERROR(VLOOKUP(TableHandbook[[#This Row],[UDC]],TableGCHRIGHT[],7,FALSE),"")</f>
        <v/>
      </c>
      <c r="Z194" s="213" t="str">
        <f>IFERROR(VLOOKUP(TableHandbook[[#This Row],[UDC]],TableMCGLOBL2[],7,FALSE),"")</f>
        <v/>
      </c>
      <c r="AA194" s="211" t="str">
        <f>IFERROR(VLOOKUP(TableHandbook[[#This Row],[UDC]],TableMCGLOBL[],7,FALSE),"")</f>
        <v/>
      </c>
      <c r="AB194" s="211" t="str">
        <f>IFERROR(VLOOKUP(TableHandbook[[#This Row],[UDC]],TableSTRPGLOBL[],7,FALSE),"")</f>
        <v/>
      </c>
      <c r="AC194" s="211" t="str">
        <f>IFERROR(VLOOKUP(TableHandbook[[#This Row],[UDC]],TableSTRPHRIGT[],7,FALSE),"")</f>
        <v/>
      </c>
      <c r="AD194" s="211" t="str">
        <f>IFERROR(VLOOKUP(TableHandbook[[#This Row],[UDC]],TableSTRPINTRN[],7,FALSE),"")</f>
        <v/>
      </c>
      <c r="AE194" s="211" t="str">
        <f>IFERROR(VLOOKUP(TableHandbook[[#This Row],[UDC]],TableGCGLOBL[],7,FALSE),"")</f>
        <v/>
      </c>
      <c r="AF194" s="213" t="str">
        <f>IFERROR(VLOOKUP(TableHandbook[[#This Row],[UDC]],TableMCINTREL[],7,FALSE),"")</f>
        <v/>
      </c>
      <c r="AG194" s="211" t="str">
        <f>IFERROR(VLOOKUP(TableHandbook[[#This Row],[UDC]],TableMCINTSEC[],7,FALSE),"")</f>
        <v/>
      </c>
      <c r="AH194" s="211" t="str">
        <f>IFERROR(VLOOKUP(TableHandbook[[#This Row],[UDC]],TableGDINTSEC[],7,FALSE),"")</f>
        <v/>
      </c>
      <c r="AI194" s="211" t="str">
        <f>IFERROR(VLOOKUP(TableHandbook[[#This Row],[UDC]],TableGCINTSEC[],7,FALSE),"")</f>
        <v/>
      </c>
      <c r="AJ194" s="211" t="str">
        <f>IFERROR(VLOOKUP(TableHandbook[[#This Row],[UDC]],TableGCINTELL[],7,FALSE),"")</f>
        <v/>
      </c>
      <c r="AK194" s="211" t="str">
        <f>IFERROR(VLOOKUP(TableHandbook[[#This Row],[UDC]],TableGCIPCSEC[],7,FALSE),"")</f>
        <v/>
      </c>
    </row>
    <row r="195" spans="1:37" x14ac:dyDescent="0.3">
      <c r="A195" s="2" t="s">
        <v>645</v>
      </c>
      <c r="B195" s="3">
        <v>5</v>
      </c>
      <c r="C195" s="3"/>
      <c r="D195" s="209" t="s">
        <v>646</v>
      </c>
      <c r="E195" s="3">
        <v>25</v>
      </c>
      <c r="F195" s="149" t="s">
        <v>75</v>
      </c>
      <c r="G195" s="96" t="str">
        <f>IFERROR(IF(VLOOKUP(TableHandbook[[#This Row],[UDC]],TableAvailabilities[],2,FALSE)&gt;0,"Y",""),"")</f>
        <v/>
      </c>
      <c r="H195" s="96" t="str">
        <f>IFERROR(IF(VLOOKUP(TableHandbook[[#This Row],[UDC]],TableAvailabilities[],3,FALSE)&gt;0,"Y",""),"")</f>
        <v/>
      </c>
      <c r="I195" s="96" t="str">
        <f>IFERROR(IF(VLOOKUP(TableHandbook[[#This Row],[UDC]],TableAvailabilities[],4,FALSE)&gt;0,"Y",""),"")</f>
        <v/>
      </c>
      <c r="J195" s="96" t="str">
        <f>IFERROR(IF(VLOOKUP(TableHandbook[[#This Row],[UDC]],TableAvailabilities[],5,FALSE)&gt;0,"Y",""),"")</f>
        <v/>
      </c>
      <c r="K195" s="209" t="s">
        <v>436</v>
      </c>
      <c r="L195" s="213" t="str">
        <f>IFERROR(VLOOKUP(TableHandbook[[#This Row],[UDC]],TableMCARTS[],7,FALSE),"")</f>
        <v/>
      </c>
      <c r="M195" s="211" t="str">
        <f>IFERROR(VLOOKUP(TableHandbook[[#This Row],[UDC]],TableMJRPCWRIT[],7,FALSE),"")</f>
        <v/>
      </c>
      <c r="N195" s="211" t="str">
        <f>IFERROR(VLOOKUP(TableHandbook[[#This Row],[UDC]],TableMJRPDGCMS[],7,FALSE),"")</f>
        <v/>
      </c>
      <c r="O195" s="211" t="str">
        <f>IFERROR(VLOOKUP(TableHandbook[[#This Row],[UDC]],TableMJRPFINAR[],7,FALSE),"")</f>
        <v/>
      </c>
      <c r="P195" s="211" t="str">
        <f>IFERROR(VLOOKUP(TableHandbook[[#This Row],[UDC]],TableMJRPPWRIT[],7,FALSE),"")</f>
        <v/>
      </c>
      <c r="Q195" s="211" t="str">
        <f>IFERROR(VLOOKUP(TableHandbook[[#This Row],[UDC]],TableMJRPSCRAR[],7,FALSE),"")</f>
        <v/>
      </c>
      <c r="R195" s="213" t="str">
        <f>IFERROR(VLOOKUP(TableHandbook[[#This Row],[UDC]],TableMCMMJRG[],7,FALSE),"")</f>
        <v/>
      </c>
      <c r="S195" s="211" t="str">
        <f>IFERROR(VLOOKUP(TableHandbook[[#This Row],[UDC]],TableMCMMJRN[],7,FALSE),"")</f>
        <v/>
      </c>
      <c r="T195" s="211" t="str">
        <f>IFERROR(VLOOKUP(TableHandbook[[#This Row],[UDC]],TableGDMMJRN[],7,FALSE),"")</f>
        <v/>
      </c>
      <c r="U195" s="211" t="str">
        <f>IFERROR(VLOOKUP(TableHandbook[[#This Row],[UDC]],TableGCMMJRN[],7,FALSE),"")</f>
        <v/>
      </c>
      <c r="V195" s="213" t="str">
        <f>IFERROR(VLOOKUP(TableHandbook[[#This Row],[UDC]],TableMCHRIGLO[],7,FALSE),"")</f>
        <v/>
      </c>
      <c r="W195" s="211" t="str">
        <f>IFERROR(VLOOKUP(TableHandbook[[#This Row],[UDC]],TableMCHRIGHT[],7,FALSE),"")</f>
        <v/>
      </c>
      <c r="X195" s="211" t="str">
        <f>IFERROR(VLOOKUP(TableHandbook[[#This Row],[UDC]],TableGDHRIGHT[],7,FALSE),"")</f>
        <v/>
      </c>
      <c r="Y195" s="211" t="str">
        <f>IFERROR(VLOOKUP(TableHandbook[[#This Row],[UDC]],TableGCHRIGHT[],7,FALSE),"")</f>
        <v/>
      </c>
      <c r="Z195" s="213" t="str">
        <f>IFERROR(VLOOKUP(TableHandbook[[#This Row],[UDC]],TableMCGLOBL2[],7,FALSE),"")</f>
        <v/>
      </c>
      <c r="AA195" s="211" t="str">
        <f>IFERROR(VLOOKUP(TableHandbook[[#This Row],[UDC]],TableMCGLOBL[],7,FALSE),"")</f>
        <v/>
      </c>
      <c r="AB195" s="211" t="str">
        <f>IFERROR(VLOOKUP(TableHandbook[[#This Row],[UDC]],TableSTRPGLOBL[],7,FALSE),"")</f>
        <v/>
      </c>
      <c r="AC195" s="211" t="str">
        <f>IFERROR(VLOOKUP(TableHandbook[[#This Row],[UDC]],TableSTRPHRIGT[],7,FALSE),"")</f>
        <v/>
      </c>
      <c r="AD195" s="211" t="str">
        <f>IFERROR(VLOOKUP(TableHandbook[[#This Row],[UDC]],TableSTRPINTRN[],7,FALSE),"")</f>
        <v/>
      </c>
      <c r="AE195" s="211" t="str">
        <f>IFERROR(VLOOKUP(TableHandbook[[#This Row],[UDC]],TableGCGLOBL[],7,FALSE),"")</f>
        <v/>
      </c>
      <c r="AF195" s="213" t="str">
        <f>IFERROR(VLOOKUP(TableHandbook[[#This Row],[UDC]],TableMCINTREL[],7,FALSE),"")</f>
        <v/>
      </c>
      <c r="AG195" s="211" t="str">
        <f>IFERROR(VLOOKUP(TableHandbook[[#This Row],[UDC]],TableMCINTSEC[],7,FALSE),"")</f>
        <v/>
      </c>
      <c r="AH195" s="211" t="str">
        <f>IFERROR(VLOOKUP(TableHandbook[[#This Row],[UDC]],TableGDINTSEC[],7,FALSE),"")</f>
        <v/>
      </c>
      <c r="AI195" s="211" t="str">
        <f>IFERROR(VLOOKUP(TableHandbook[[#This Row],[UDC]],TableGCINTSEC[],7,FALSE),"")</f>
        <v/>
      </c>
      <c r="AJ195" s="211" t="str">
        <f>IFERROR(VLOOKUP(TableHandbook[[#This Row],[UDC]],TableGCINTELL[],7,FALSE),"")</f>
        <v/>
      </c>
      <c r="AK195" s="211" t="str">
        <f>IFERROR(VLOOKUP(TableHandbook[[#This Row],[UDC]],TableGCIPCSEC[],7,FALSE),"")</f>
        <v/>
      </c>
    </row>
    <row r="196" spans="1:37" x14ac:dyDescent="0.3">
      <c r="A196" s="231" t="s">
        <v>75</v>
      </c>
      <c r="B196" s="3">
        <v>3</v>
      </c>
      <c r="C196" s="3"/>
      <c r="D196" s="209" t="s">
        <v>647</v>
      </c>
      <c r="E196" s="3">
        <v>25</v>
      </c>
      <c r="F196" s="245" t="s">
        <v>108</v>
      </c>
      <c r="G196" s="96" t="str">
        <f>IFERROR(IF(VLOOKUP(TableHandbook[[#This Row],[UDC]],TableAvailabilities[],2,FALSE)&gt;0,"Y",""),"")</f>
        <v>Y</v>
      </c>
      <c r="H196" s="96" t="str">
        <f>IFERROR(IF(VLOOKUP(TableHandbook[[#This Row],[UDC]],TableAvailabilities[],3,FALSE)&gt;0,"Y",""),"")</f>
        <v/>
      </c>
      <c r="I196" s="96" t="str">
        <f>IFERROR(IF(VLOOKUP(TableHandbook[[#This Row],[UDC]],TableAvailabilities[],4,FALSE)&gt;0,"Y",""),"")</f>
        <v>Y</v>
      </c>
      <c r="J196" s="96" t="str">
        <f>IFERROR(IF(VLOOKUP(TableHandbook[[#This Row],[UDC]],TableAvailabilities[],5,FALSE)&gt;0,"Y",""),"")</f>
        <v/>
      </c>
      <c r="K196" s="209" t="s">
        <v>433</v>
      </c>
      <c r="L196" s="213" t="str">
        <f>IFERROR(VLOOKUP(TableHandbook[[#This Row],[UDC]],TableMCARTS[],7,FALSE),"")</f>
        <v/>
      </c>
      <c r="M196" s="211" t="str">
        <f>IFERROR(VLOOKUP(TableHandbook[[#This Row],[UDC]],TableMJRPCWRIT[],7,FALSE),"")</f>
        <v/>
      </c>
      <c r="N196" s="211" t="str">
        <f>IFERROR(VLOOKUP(TableHandbook[[#This Row],[UDC]],TableMJRPDGCMS[],7,FALSE),"")</f>
        <v/>
      </c>
      <c r="O196" s="211" t="str">
        <f>IFERROR(VLOOKUP(TableHandbook[[#This Row],[UDC]],TableMJRPFINAR[],7,FALSE),"")</f>
        <v/>
      </c>
      <c r="P196" s="211" t="str">
        <f>IFERROR(VLOOKUP(TableHandbook[[#This Row],[UDC]],TableMJRPPWRIT[],7,FALSE),"")</f>
        <v/>
      </c>
      <c r="Q196" s="211" t="str">
        <f>IFERROR(VLOOKUP(TableHandbook[[#This Row],[UDC]],TableMJRPSCRAR[],7,FALSE),"")</f>
        <v>Core</v>
      </c>
      <c r="R196" s="213" t="str">
        <f>IFERROR(VLOOKUP(TableHandbook[[#This Row],[UDC]],TableMCMMJRG[],7,FALSE),"")</f>
        <v/>
      </c>
      <c r="S196" s="211" t="str">
        <f>IFERROR(VLOOKUP(TableHandbook[[#This Row],[UDC]],TableMCMMJRN[],7,FALSE),"")</f>
        <v/>
      </c>
      <c r="T196" s="211" t="str">
        <f>IFERROR(VLOOKUP(TableHandbook[[#This Row],[UDC]],TableGDMMJRN[],7,FALSE),"")</f>
        <v/>
      </c>
      <c r="U196" s="211" t="str">
        <f>IFERROR(VLOOKUP(TableHandbook[[#This Row],[UDC]],TableGCMMJRN[],7,FALSE),"")</f>
        <v/>
      </c>
      <c r="V196" s="213" t="str">
        <f>IFERROR(VLOOKUP(TableHandbook[[#This Row],[UDC]],TableMCHRIGLO[],7,FALSE),"")</f>
        <v/>
      </c>
      <c r="W196" s="211" t="str">
        <f>IFERROR(VLOOKUP(TableHandbook[[#This Row],[UDC]],TableMCHRIGHT[],7,FALSE),"")</f>
        <v/>
      </c>
      <c r="X196" s="211" t="str">
        <f>IFERROR(VLOOKUP(TableHandbook[[#This Row],[UDC]],TableGDHRIGHT[],7,FALSE),"")</f>
        <v/>
      </c>
      <c r="Y196" s="211" t="str">
        <f>IFERROR(VLOOKUP(TableHandbook[[#This Row],[UDC]],TableGCHRIGHT[],7,FALSE),"")</f>
        <v/>
      </c>
      <c r="Z196" s="213" t="str">
        <f>IFERROR(VLOOKUP(TableHandbook[[#This Row],[UDC]],TableMCGLOBL2[],7,FALSE),"")</f>
        <v/>
      </c>
      <c r="AA196" s="211" t="str">
        <f>IFERROR(VLOOKUP(TableHandbook[[#This Row],[UDC]],TableMCGLOBL[],7,FALSE),"")</f>
        <v/>
      </c>
      <c r="AB196" s="211" t="str">
        <f>IFERROR(VLOOKUP(TableHandbook[[#This Row],[UDC]],TableSTRPGLOBL[],7,FALSE),"")</f>
        <v/>
      </c>
      <c r="AC196" s="211" t="str">
        <f>IFERROR(VLOOKUP(TableHandbook[[#This Row],[UDC]],TableSTRPHRIGT[],7,FALSE),"")</f>
        <v/>
      </c>
      <c r="AD196" s="211" t="str">
        <f>IFERROR(VLOOKUP(TableHandbook[[#This Row],[UDC]],TableSTRPINTRN[],7,FALSE),"")</f>
        <v/>
      </c>
      <c r="AE196" s="211" t="str">
        <f>IFERROR(VLOOKUP(TableHandbook[[#This Row],[UDC]],TableGCGLOBL[],7,FALSE),"")</f>
        <v/>
      </c>
      <c r="AF196" s="213" t="str">
        <f>IFERROR(VLOOKUP(TableHandbook[[#This Row],[UDC]],TableMCINTREL[],7,FALSE),"")</f>
        <v/>
      </c>
      <c r="AG196" s="211" t="str">
        <f>IFERROR(VLOOKUP(TableHandbook[[#This Row],[UDC]],TableMCINTSEC[],7,FALSE),"")</f>
        <v/>
      </c>
      <c r="AH196" s="211" t="str">
        <f>IFERROR(VLOOKUP(TableHandbook[[#This Row],[UDC]],TableGDINTSEC[],7,FALSE),"")</f>
        <v/>
      </c>
      <c r="AI196" s="211" t="str">
        <f>IFERROR(VLOOKUP(TableHandbook[[#This Row],[UDC]],TableGCINTSEC[],7,FALSE),"")</f>
        <v/>
      </c>
      <c r="AJ196" s="211" t="str">
        <f>IFERROR(VLOOKUP(TableHandbook[[#This Row],[UDC]],TableGCINTELL[],7,FALSE),"")</f>
        <v/>
      </c>
      <c r="AK196" s="211" t="str">
        <f>IFERROR(VLOOKUP(TableHandbook[[#This Row],[UDC]],TableGCIPCSEC[],7,FALSE),"")</f>
        <v/>
      </c>
    </row>
    <row r="197" spans="1:37" x14ac:dyDescent="0.3">
      <c r="A197" s="2" t="s">
        <v>648</v>
      </c>
      <c r="B197" s="3">
        <v>2</v>
      </c>
      <c r="C197" s="3"/>
      <c r="D197" s="209" t="s">
        <v>649</v>
      </c>
      <c r="E197" s="3">
        <v>25</v>
      </c>
      <c r="F197" s="149" t="s">
        <v>108</v>
      </c>
      <c r="G197" s="96" t="str">
        <f>IFERROR(IF(VLOOKUP(TableHandbook[[#This Row],[UDC]],TableAvailabilities[],2,FALSE)&gt;0,"Y",""),"")</f>
        <v/>
      </c>
      <c r="H197" s="96" t="str">
        <f>IFERROR(IF(VLOOKUP(TableHandbook[[#This Row],[UDC]],TableAvailabilities[],3,FALSE)&gt;0,"Y",""),"")</f>
        <v/>
      </c>
      <c r="I197" s="96" t="str">
        <f>IFERROR(IF(VLOOKUP(TableHandbook[[#This Row],[UDC]],TableAvailabilities[],4,FALSE)&gt;0,"Y",""),"")</f>
        <v/>
      </c>
      <c r="J197" s="96" t="str">
        <f>IFERROR(IF(VLOOKUP(TableHandbook[[#This Row],[UDC]],TableAvailabilities[],5,FALSE)&gt;0,"Y",""),"")</f>
        <v/>
      </c>
      <c r="K197" s="209" t="s">
        <v>436</v>
      </c>
      <c r="L197" s="213" t="str">
        <f>IFERROR(VLOOKUP(TableHandbook[[#This Row],[UDC]],TableMCARTS[],7,FALSE),"")</f>
        <v/>
      </c>
      <c r="M197" s="211" t="str">
        <f>IFERROR(VLOOKUP(TableHandbook[[#This Row],[UDC]],TableMJRPCWRIT[],7,FALSE),"")</f>
        <v/>
      </c>
      <c r="N197" s="211" t="str">
        <f>IFERROR(VLOOKUP(TableHandbook[[#This Row],[UDC]],TableMJRPDGCMS[],7,FALSE),"")</f>
        <v/>
      </c>
      <c r="O197" s="211" t="str">
        <f>IFERROR(VLOOKUP(TableHandbook[[#This Row],[UDC]],TableMJRPFINAR[],7,FALSE),"")</f>
        <v/>
      </c>
      <c r="P197" s="211" t="str">
        <f>IFERROR(VLOOKUP(TableHandbook[[#This Row],[UDC]],TableMJRPPWRIT[],7,FALSE),"")</f>
        <v/>
      </c>
      <c r="Q197" s="211" t="str">
        <f>IFERROR(VLOOKUP(TableHandbook[[#This Row],[UDC]],TableMJRPSCRAR[],7,FALSE),"")</f>
        <v/>
      </c>
      <c r="R197" s="213" t="str">
        <f>IFERROR(VLOOKUP(TableHandbook[[#This Row],[UDC]],TableMCMMJRG[],7,FALSE),"")</f>
        <v/>
      </c>
      <c r="S197" s="211" t="str">
        <f>IFERROR(VLOOKUP(TableHandbook[[#This Row],[UDC]],TableMCMMJRN[],7,FALSE),"")</f>
        <v/>
      </c>
      <c r="T197" s="211" t="str">
        <f>IFERROR(VLOOKUP(TableHandbook[[#This Row],[UDC]],TableGDMMJRN[],7,FALSE),"")</f>
        <v/>
      </c>
      <c r="U197" s="211" t="str">
        <f>IFERROR(VLOOKUP(TableHandbook[[#This Row],[UDC]],TableGCMMJRN[],7,FALSE),"")</f>
        <v/>
      </c>
      <c r="V197" s="213" t="str">
        <f>IFERROR(VLOOKUP(TableHandbook[[#This Row],[UDC]],TableMCHRIGLO[],7,FALSE),"")</f>
        <v/>
      </c>
      <c r="W197" s="211" t="str">
        <f>IFERROR(VLOOKUP(TableHandbook[[#This Row],[UDC]],TableMCHRIGHT[],7,FALSE),"")</f>
        <v/>
      </c>
      <c r="X197" s="211" t="str">
        <f>IFERROR(VLOOKUP(TableHandbook[[#This Row],[UDC]],TableGDHRIGHT[],7,FALSE),"")</f>
        <v/>
      </c>
      <c r="Y197" s="211" t="str">
        <f>IFERROR(VLOOKUP(TableHandbook[[#This Row],[UDC]],TableGCHRIGHT[],7,FALSE),"")</f>
        <v/>
      </c>
      <c r="Z197" s="213" t="str">
        <f>IFERROR(VLOOKUP(TableHandbook[[#This Row],[UDC]],TableMCGLOBL2[],7,FALSE),"")</f>
        <v/>
      </c>
      <c r="AA197" s="211" t="str">
        <f>IFERROR(VLOOKUP(TableHandbook[[#This Row],[UDC]],TableMCGLOBL[],7,FALSE),"")</f>
        <v/>
      </c>
      <c r="AB197" s="211" t="str">
        <f>IFERROR(VLOOKUP(TableHandbook[[#This Row],[UDC]],TableSTRPGLOBL[],7,FALSE),"")</f>
        <v/>
      </c>
      <c r="AC197" s="211" t="str">
        <f>IFERROR(VLOOKUP(TableHandbook[[#This Row],[UDC]],TableSTRPHRIGT[],7,FALSE),"")</f>
        <v/>
      </c>
      <c r="AD197" s="211" t="str">
        <f>IFERROR(VLOOKUP(TableHandbook[[#This Row],[UDC]],TableSTRPINTRN[],7,FALSE),"")</f>
        <v/>
      </c>
      <c r="AE197" s="211" t="str">
        <f>IFERROR(VLOOKUP(TableHandbook[[#This Row],[UDC]],TableGCGLOBL[],7,FALSE),"")</f>
        <v/>
      </c>
      <c r="AF197" s="213" t="str">
        <f>IFERROR(VLOOKUP(TableHandbook[[#This Row],[UDC]],TableMCINTREL[],7,FALSE),"")</f>
        <v/>
      </c>
      <c r="AG197" s="211" t="str">
        <f>IFERROR(VLOOKUP(TableHandbook[[#This Row],[UDC]],TableMCINTSEC[],7,FALSE),"")</f>
        <v/>
      </c>
      <c r="AH197" s="211" t="str">
        <f>IFERROR(VLOOKUP(TableHandbook[[#This Row],[UDC]],TableGDINTSEC[],7,FALSE),"")</f>
        <v/>
      </c>
      <c r="AI197" s="211" t="str">
        <f>IFERROR(VLOOKUP(TableHandbook[[#This Row],[UDC]],TableGCINTSEC[],7,FALSE),"")</f>
        <v/>
      </c>
      <c r="AJ197" s="211" t="str">
        <f>IFERROR(VLOOKUP(TableHandbook[[#This Row],[UDC]],TableGCINTELL[],7,FALSE),"")</f>
        <v/>
      </c>
      <c r="AK197" s="211" t="str">
        <f>IFERROR(VLOOKUP(TableHandbook[[#This Row],[UDC]],TableGCIPCSEC[],7,FALSE),"")</f>
        <v/>
      </c>
    </row>
    <row r="198" spans="1:37" x14ac:dyDescent="0.3">
      <c r="A198" s="231" t="s">
        <v>91</v>
      </c>
      <c r="B198" s="3">
        <v>4</v>
      </c>
      <c r="C198" s="3"/>
      <c r="D198" s="209" t="s">
        <v>650</v>
      </c>
      <c r="E198" s="3">
        <v>25</v>
      </c>
      <c r="F198" s="245" t="s">
        <v>75</v>
      </c>
      <c r="G198" s="96" t="str">
        <f>IFERROR(IF(VLOOKUP(TableHandbook[[#This Row],[UDC]],TableAvailabilities[],2,FALSE)&gt;0,"Y",""),"")</f>
        <v>Y</v>
      </c>
      <c r="H198" s="96" t="str">
        <f>IFERROR(IF(VLOOKUP(TableHandbook[[#This Row],[UDC]],TableAvailabilities[],3,FALSE)&gt;0,"Y",""),"")</f>
        <v/>
      </c>
      <c r="I198" s="96" t="str">
        <f>IFERROR(IF(VLOOKUP(TableHandbook[[#This Row],[UDC]],TableAvailabilities[],4,FALSE)&gt;0,"Y",""),"")</f>
        <v>Y</v>
      </c>
      <c r="J198" s="96" t="str">
        <f>IFERROR(IF(VLOOKUP(TableHandbook[[#This Row],[UDC]],TableAvailabilities[],5,FALSE)&gt;0,"Y",""),"")</f>
        <v/>
      </c>
      <c r="K198" s="209" t="s">
        <v>433</v>
      </c>
      <c r="L198" s="213" t="str">
        <f>IFERROR(VLOOKUP(TableHandbook[[#This Row],[UDC]],TableMCARTS[],7,FALSE),"")</f>
        <v/>
      </c>
      <c r="M198" s="211" t="str">
        <f>IFERROR(VLOOKUP(TableHandbook[[#This Row],[UDC]],TableMJRPCWRIT[],7,FALSE),"")</f>
        <v/>
      </c>
      <c r="N198" s="211" t="str">
        <f>IFERROR(VLOOKUP(TableHandbook[[#This Row],[UDC]],TableMJRPDGCMS[],7,FALSE),"")</f>
        <v/>
      </c>
      <c r="O198" s="211" t="str">
        <f>IFERROR(VLOOKUP(TableHandbook[[#This Row],[UDC]],TableMJRPFINAR[],7,FALSE),"")</f>
        <v/>
      </c>
      <c r="P198" s="211" t="str">
        <f>IFERROR(VLOOKUP(TableHandbook[[#This Row],[UDC]],TableMJRPPWRIT[],7,FALSE),"")</f>
        <v/>
      </c>
      <c r="Q198" s="211" t="str">
        <f>IFERROR(VLOOKUP(TableHandbook[[#This Row],[UDC]],TableMJRPSCRAR[],7,FALSE),"")</f>
        <v>Core</v>
      </c>
      <c r="R198" s="213" t="str">
        <f>IFERROR(VLOOKUP(TableHandbook[[#This Row],[UDC]],TableMCMMJRG[],7,FALSE),"")</f>
        <v/>
      </c>
      <c r="S198" s="211" t="str">
        <f>IFERROR(VLOOKUP(TableHandbook[[#This Row],[UDC]],TableMCMMJRN[],7,FALSE),"")</f>
        <v/>
      </c>
      <c r="T198" s="211" t="str">
        <f>IFERROR(VLOOKUP(TableHandbook[[#This Row],[UDC]],TableGDMMJRN[],7,FALSE),"")</f>
        <v/>
      </c>
      <c r="U198" s="211" t="str">
        <f>IFERROR(VLOOKUP(TableHandbook[[#This Row],[UDC]],TableGCMMJRN[],7,FALSE),"")</f>
        <v/>
      </c>
      <c r="V198" s="213" t="str">
        <f>IFERROR(VLOOKUP(TableHandbook[[#This Row],[UDC]],TableMCHRIGLO[],7,FALSE),"")</f>
        <v/>
      </c>
      <c r="W198" s="211" t="str">
        <f>IFERROR(VLOOKUP(TableHandbook[[#This Row],[UDC]],TableMCHRIGHT[],7,FALSE),"")</f>
        <v/>
      </c>
      <c r="X198" s="211" t="str">
        <f>IFERROR(VLOOKUP(TableHandbook[[#This Row],[UDC]],TableGDHRIGHT[],7,FALSE),"")</f>
        <v/>
      </c>
      <c r="Y198" s="211" t="str">
        <f>IFERROR(VLOOKUP(TableHandbook[[#This Row],[UDC]],TableGCHRIGHT[],7,FALSE),"")</f>
        <v/>
      </c>
      <c r="Z198" s="213" t="str">
        <f>IFERROR(VLOOKUP(TableHandbook[[#This Row],[UDC]],TableMCGLOBL2[],7,FALSE),"")</f>
        <v/>
      </c>
      <c r="AA198" s="211" t="str">
        <f>IFERROR(VLOOKUP(TableHandbook[[#This Row],[UDC]],TableMCGLOBL[],7,FALSE),"")</f>
        <v/>
      </c>
      <c r="AB198" s="211" t="str">
        <f>IFERROR(VLOOKUP(TableHandbook[[#This Row],[UDC]],TableSTRPGLOBL[],7,FALSE),"")</f>
        <v/>
      </c>
      <c r="AC198" s="211" t="str">
        <f>IFERROR(VLOOKUP(TableHandbook[[#This Row],[UDC]],TableSTRPHRIGT[],7,FALSE),"")</f>
        <v/>
      </c>
      <c r="AD198" s="211" t="str">
        <f>IFERROR(VLOOKUP(TableHandbook[[#This Row],[UDC]],TableSTRPINTRN[],7,FALSE),"")</f>
        <v/>
      </c>
      <c r="AE198" s="211" t="str">
        <f>IFERROR(VLOOKUP(TableHandbook[[#This Row],[UDC]],TableGCGLOBL[],7,FALSE),"")</f>
        <v/>
      </c>
      <c r="AF198" s="213" t="str">
        <f>IFERROR(VLOOKUP(TableHandbook[[#This Row],[UDC]],TableMCINTREL[],7,FALSE),"")</f>
        <v/>
      </c>
      <c r="AG198" s="211" t="str">
        <f>IFERROR(VLOOKUP(TableHandbook[[#This Row],[UDC]],TableMCINTSEC[],7,FALSE),"")</f>
        <v/>
      </c>
      <c r="AH198" s="211" t="str">
        <f>IFERROR(VLOOKUP(TableHandbook[[#This Row],[UDC]],TableGDINTSEC[],7,FALSE),"")</f>
        <v/>
      </c>
      <c r="AI198" s="211" t="str">
        <f>IFERROR(VLOOKUP(TableHandbook[[#This Row],[UDC]],TableGCINTSEC[],7,FALSE),"")</f>
        <v/>
      </c>
      <c r="AJ198" s="211" t="str">
        <f>IFERROR(VLOOKUP(TableHandbook[[#This Row],[UDC]],TableGCINTELL[],7,FALSE),"")</f>
        <v/>
      </c>
      <c r="AK198" s="211" t="str">
        <f>IFERROR(VLOOKUP(TableHandbook[[#This Row],[UDC]],TableGCIPCSEC[],7,FALSE),"")</f>
        <v/>
      </c>
    </row>
    <row r="199" spans="1:37" x14ac:dyDescent="0.3">
      <c r="A199" s="2" t="s">
        <v>651</v>
      </c>
      <c r="B199" s="3">
        <v>3</v>
      </c>
      <c r="C199" s="3"/>
      <c r="D199" s="209" t="s">
        <v>652</v>
      </c>
      <c r="E199" s="3">
        <v>25</v>
      </c>
      <c r="F199" s="149" t="s">
        <v>75</v>
      </c>
      <c r="G199" s="96" t="str">
        <f>IFERROR(IF(VLOOKUP(TableHandbook[[#This Row],[UDC]],TableAvailabilities[],2,FALSE)&gt;0,"Y",""),"")</f>
        <v/>
      </c>
      <c r="H199" s="96" t="str">
        <f>IFERROR(IF(VLOOKUP(TableHandbook[[#This Row],[UDC]],TableAvailabilities[],3,FALSE)&gt;0,"Y",""),"")</f>
        <v/>
      </c>
      <c r="I199" s="96" t="str">
        <f>IFERROR(IF(VLOOKUP(TableHandbook[[#This Row],[UDC]],TableAvailabilities[],4,FALSE)&gt;0,"Y",""),"")</f>
        <v/>
      </c>
      <c r="J199" s="96" t="str">
        <f>IFERROR(IF(VLOOKUP(TableHandbook[[#This Row],[UDC]],TableAvailabilities[],5,FALSE)&gt;0,"Y",""),"")</f>
        <v/>
      </c>
      <c r="K199" s="209" t="s">
        <v>436</v>
      </c>
      <c r="L199" s="213" t="str">
        <f>IFERROR(VLOOKUP(TableHandbook[[#This Row],[UDC]],TableMCARTS[],7,FALSE),"")</f>
        <v/>
      </c>
      <c r="M199" s="211" t="str">
        <f>IFERROR(VLOOKUP(TableHandbook[[#This Row],[UDC]],TableMJRPCWRIT[],7,FALSE),"")</f>
        <v/>
      </c>
      <c r="N199" s="211" t="str">
        <f>IFERROR(VLOOKUP(TableHandbook[[#This Row],[UDC]],TableMJRPDGCMS[],7,FALSE),"")</f>
        <v/>
      </c>
      <c r="O199" s="211" t="str">
        <f>IFERROR(VLOOKUP(TableHandbook[[#This Row],[UDC]],TableMJRPFINAR[],7,FALSE),"")</f>
        <v/>
      </c>
      <c r="P199" s="211" t="str">
        <f>IFERROR(VLOOKUP(TableHandbook[[#This Row],[UDC]],TableMJRPPWRIT[],7,FALSE),"")</f>
        <v/>
      </c>
      <c r="Q199" s="211" t="str">
        <f>IFERROR(VLOOKUP(TableHandbook[[#This Row],[UDC]],TableMJRPSCRAR[],7,FALSE),"")</f>
        <v/>
      </c>
      <c r="R199" s="213" t="str">
        <f>IFERROR(VLOOKUP(TableHandbook[[#This Row],[UDC]],TableMCMMJRG[],7,FALSE),"")</f>
        <v/>
      </c>
      <c r="S199" s="211" t="str">
        <f>IFERROR(VLOOKUP(TableHandbook[[#This Row],[UDC]],TableMCMMJRN[],7,FALSE),"")</f>
        <v/>
      </c>
      <c r="T199" s="211" t="str">
        <f>IFERROR(VLOOKUP(TableHandbook[[#This Row],[UDC]],TableGDMMJRN[],7,FALSE),"")</f>
        <v/>
      </c>
      <c r="U199" s="211" t="str">
        <f>IFERROR(VLOOKUP(TableHandbook[[#This Row],[UDC]],TableGCMMJRN[],7,FALSE),"")</f>
        <v/>
      </c>
      <c r="V199" s="213" t="str">
        <f>IFERROR(VLOOKUP(TableHandbook[[#This Row],[UDC]],TableMCHRIGLO[],7,FALSE),"")</f>
        <v/>
      </c>
      <c r="W199" s="211" t="str">
        <f>IFERROR(VLOOKUP(TableHandbook[[#This Row],[UDC]],TableMCHRIGHT[],7,FALSE),"")</f>
        <v/>
      </c>
      <c r="X199" s="211" t="str">
        <f>IFERROR(VLOOKUP(TableHandbook[[#This Row],[UDC]],TableGDHRIGHT[],7,FALSE),"")</f>
        <v/>
      </c>
      <c r="Y199" s="211" t="str">
        <f>IFERROR(VLOOKUP(TableHandbook[[#This Row],[UDC]],TableGCHRIGHT[],7,FALSE),"")</f>
        <v/>
      </c>
      <c r="Z199" s="213" t="str">
        <f>IFERROR(VLOOKUP(TableHandbook[[#This Row],[UDC]],TableMCGLOBL2[],7,FALSE),"")</f>
        <v/>
      </c>
      <c r="AA199" s="211" t="str">
        <f>IFERROR(VLOOKUP(TableHandbook[[#This Row],[UDC]],TableMCGLOBL[],7,FALSE),"")</f>
        <v/>
      </c>
      <c r="AB199" s="211" t="str">
        <f>IFERROR(VLOOKUP(TableHandbook[[#This Row],[UDC]],TableSTRPGLOBL[],7,FALSE),"")</f>
        <v/>
      </c>
      <c r="AC199" s="211" t="str">
        <f>IFERROR(VLOOKUP(TableHandbook[[#This Row],[UDC]],TableSTRPHRIGT[],7,FALSE),"")</f>
        <v/>
      </c>
      <c r="AD199" s="211" t="str">
        <f>IFERROR(VLOOKUP(TableHandbook[[#This Row],[UDC]],TableSTRPINTRN[],7,FALSE),"")</f>
        <v/>
      </c>
      <c r="AE199" s="211" t="str">
        <f>IFERROR(VLOOKUP(TableHandbook[[#This Row],[UDC]],TableGCGLOBL[],7,FALSE),"")</f>
        <v/>
      </c>
      <c r="AF199" s="213" t="str">
        <f>IFERROR(VLOOKUP(TableHandbook[[#This Row],[UDC]],TableMCINTREL[],7,FALSE),"")</f>
        <v/>
      </c>
      <c r="AG199" s="211" t="str">
        <f>IFERROR(VLOOKUP(TableHandbook[[#This Row],[UDC]],TableMCINTSEC[],7,FALSE),"")</f>
        <v/>
      </c>
      <c r="AH199" s="211" t="str">
        <f>IFERROR(VLOOKUP(TableHandbook[[#This Row],[UDC]],TableGDINTSEC[],7,FALSE),"")</f>
        <v/>
      </c>
      <c r="AI199" s="211" t="str">
        <f>IFERROR(VLOOKUP(TableHandbook[[#This Row],[UDC]],TableGCINTSEC[],7,FALSE),"")</f>
        <v/>
      </c>
      <c r="AJ199" s="211" t="str">
        <f>IFERROR(VLOOKUP(TableHandbook[[#This Row],[UDC]],TableGCINTELL[],7,FALSE),"")</f>
        <v/>
      </c>
      <c r="AK199" s="211" t="str">
        <f>IFERROR(VLOOKUP(TableHandbook[[#This Row],[UDC]],TableGCIPCSEC[],7,FALSE),"")</f>
        <v/>
      </c>
    </row>
    <row r="200" spans="1:37" x14ac:dyDescent="0.3">
      <c r="A200" s="231" t="s">
        <v>101</v>
      </c>
      <c r="B200" s="3">
        <v>2</v>
      </c>
      <c r="C200" s="3"/>
      <c r="D200" s="209" t="s">
        <v>653</v>
      </c>
      <c r="E200" s="3">
        <v>25</v>
      </c>
      <c r="F200" s="245" t="s">
        <v>654</v>
      </c>
      <c r="G200" s="96" t="str">
        <f>IFERROR(IF(VLOOKUP(TableHandbook[[#This Row],[UDC]],TableAvailabilities[],2,FALSE)&gt;0,"Y",""),"")</f>
        <v>Y</v>
      </c>
      <c r="H200" s="96" t="str">
        <f>IFERROR(IF(VLOOKUP(TableHandbook[[#This Row],[UDC]],TableAvailabilities[],3,FALSE)&gt;0,"Y",""),"")</f>
        <v/>
      </c>
      <c r="I200" s="96" t="str">
        <f>IFERROR(IF(VLOOKUP(TableHandbook[[#This Row],[UDC]],TableAvailabilities[],4,FALSE)&gt;0,"Y",""),"")</f>
        <v/>
      </c>
      <c r="J200" s="96" t="str">
        <f>IFERROR(IF(VLOOKUP(TableHandbook[[#This Row],[UDC]],TableAvailabilities[],5,FALSE)&gt;0,"Y",""),"")</f>
        <v/>
      </c>
      <c r="K200" s="209" t="s">
        <v>433</v>
      </c>
      <c r="L200" s="213" t="str">
        <f>IFERROR(VLOOKUP(TableHandbook[[#This Row],[UDC]],TableMCARTS[],7,FALSE),"")</f>
        <v/>
      </c>
      <c r="M200" s="211" t="str">
        <f>IFERROR(VLOOKUP(TableHandbook[[#This Row],[UDC]],TableMJRPCWRIT[],7,FALSE),"")</f>
        <v/>
      </c>
      <c r="N200" s="211" t="str">
        <f>IFERROR(VLOOKUP(TableHandbook[[#This Row],[UDC]],TableMJRPDGCMS[],7,FALSE),"")</f>
        <v/>
      </c>
      <c r="O200" s="211" t="str">
        <f>IFERROR(VLOOKUP(TableHandbook[[#This Row],[UDC]],TableMJRPFINAR[],7,FALSE),"")</f>
        <v/>
      </c>
      <c r="P200" s="211" t="str">
        <f>IFERROR(VLOOKUP(TableHandbook[[#This Row],[UDC]],TableMJRPPWRIT[],7,FALSE),"")</f>
        <v/>
      </c>
      <c r="Q200" s="211" t="str">
        <f>IFERROR(VLOOKUP(TableHandbook[[#This Row],[UDC]],TableMJRPSCRAR[],7,FALSE),"")</f>
        <v>Core</v>
      </c>
      <c r="R200" s="213" t="str">
        <f>IFERROR(VLOOKUP(TableHandbook[[#This Row],[UDC]],TableMCMMJRG[],7,FALSE),"")</f>
        <v/>
      </c>
      <c r="S200" s="211" t="str">
        <f>IFERROR(VLOOKUP(TableHandbook[[#This Row],[UDC]],TableMCMMJRN[],7,FALSE),"")</f>
        <v/>
      </c>
      <c r="T200" s="211" t="str">
        <f>IFERROR(VLOOKUP(TableHandbook[[#This Row],[UDC]],TableGDMMJRN[],7,FALSE),"")</f>
        <v/>
      </c>
      <c r="U200" s="211" t="str">
        <f>IFERROR(VLOOKUP(TableHandbook[[#This Row],[UDC]],TableGCMMJRN[],7,FALSE),"")</f>
        <v/>
      </c>
      <c r="V200" s="213" t="str">
        <f>IFERROR(VLOOKUP(TableHandbook[[#This Row],[UDC]],TableMCHRIGLO[],7,FALSE),"")</f>
        <v/>
      </c>
      <c r="W200" s="211" t="str">
        <f>IFERROR(VLOOKUP(TableHandbook[[#This Row],[UDC]],TableMCHRIGHT[],7,FALSE),"")</f>
        <v/>
      </c>
      <c r="X200" s="211" t="str">
        <f>IFERROR(VLOOKUP(TableHandbook[[#This Row],[UDC]],TableGDHRIGHT[],7,FALSE),"")</f>
        <v/>
      </c>
      <c r="Y200" s="211" t="str">
        <f>IFERROR(VLOOKUP(TableHandbook[[#This Row],[UDC]],TableGCHRIGHT[],7,FALSE),"")</f>
        <v/>
      </c>
      <c r="Z200" s="213" t="str">
        <f>IFERROR(VLOOKUP(TableHandbook[[#This Row],[UDC]],TableMCGLOBL2[],7,FALSE),"")</f>
        <v/>
      </c>
      <c r="AA200" s="211" t="str">
        <f>IFERROR(VLOOKUP(TableHandbook[[#This Row],[UDC]],TableMCGLOBL[],7,FALSE),"")</f>
        <v/>
      </c>
      <c r="AB200" s="211" t="str">
        <f>IFERROR(VLOOKUP(TableHandbook[[#This Row],[UDC]],TableSTRPGLOBL[],7,FALSE),"")</f>
        <v/>
      </c>
      <c r="AC200" s="211" t="str">
        <f>IFERROR(VLOOKUP(TableHandbook[[#This Row],[UDC]],TableSTRPHRIGT[],7,FALSE),"")</f>
        <v/>
      </c>
      <c r="AD200" s="211" t="str">
        <f>IFERROR(VLOOKUP(TableHandbook[[#This Row],[UDC]],TableSTRPINTRN[],7,FALSE),"")</f>
        <v/>
      </c>
      <c r="AE200" s="211" t="str">
        <f>IFERROR(VLOOKUP(TableHandbook[[#This Row],[UDC]],TableGCGLOBL[],7,FALSE),"")</f>
        <v/>
      </c>
      <c r="AF200" s="213" t="str">
        <f>IFERROR(VLOOKUP(TableHandbook[[#This Row],[UDC]],TableMCINTREL[],7,FALSE),"")</f>
        <v/>
      </c>
      <c r="AG200" s="211" t="str">
        <f>IFERROR(VLOOKUP(TableHandbook[[#This Row],[UDC]],TableMCINTSEC[],7,FALSE),"")</f>
        <v/>
      </c>
      <c r="AH200" s="211" t="str">
        <f>IFERROR(VLOOKUP(TableHandbook[[#This Row],[UDC]],TableGDINTSEC[],7,FALSE),"")</f>
        <v/>
      </c>
      <c r="AI200" s="211" t="str">
        <f>IFERROR(VLOOKUP(TableHandbook[[#This Row],[UDC]],TableGCINTSEC[],7,FALSE),"")</f>
        <v/>
      </c>
      <c r="AJ200" s="211" t="str">
        <f>IFERROR(VLOOKUP(TableHandbook[[#This Row],[UDC]],TableGCINTELL[],7,FALSE),"")</f>
        <v/>
      </c>
      <c r="AK200" s="211" t="str">
        <f>IFERROR(VLOOKUP(TableHandbook[[#This Row],[UDC]],TableGCIPCSEC[],7,FALSE),"")</f>
        <v/>
      </c>
    </row>
    <row r="201" spans="1:37" x14ac:dyDescent="0.3">
      <c r="A201" s="2" t="s">
        <v>655</v>
      </c>
      <c r="B201" s="3">
        <v>1</v>
      </c>
      <c r="C201" s="3"/>
      <c r="D201" s="209" t="s">
        <v>656</v>
      </c>
      <c r="E201" s="3">
        <v>25</v>
      </c>
      <c r="F201" s="149" t="s">
        <v>654</v>
      </c>
      <c r="G201" s="96" t="str">
        <f>IFERROR(IF(VLOOKUP(TableHandbook[[#This Row],[UDC]],TableAvailabilities[],2,FALSE)&gt;0,"Y",""),"")</f>
        <v/>
      </c>
      <c r="H201" s="96" t="str">
        <f>IFERROR(IF(VLOOKUP(TableHandbook[[#This Row],[UDC]],TableAvailabilities[],3,FALSE)&gt;0,"Y",""),"")</f>
        <v/>
      </c>
      <c r="I201" s="96" t="str">
        <f>IFERROR(IF(VLOOKUP(TableHandbook[[#This Row],[UDC]],TableAvailabilities[],4,FALSE)&gt;0,"Y",""),"")</f>
        <v/>
      </c>
      <c r="J201" s="96" t="str">
        <f>IFERROR(IF(VLOOKUP(TableHandbook[[#This Row],[UDC]],TableAvailabilities[],5,FALSE)&gt;0,"Y",""),"")</f>
        <v/>
      </c>
      <c r="K201" s="209" t="s">
        <v>436</v>
      </c>
      <c r="L201" s="213" t="str">
        <f>IFERROR(VLOOKUP(TableHandbook[[#This Row],[UDC]],TableMCARTS[],7,FALSE),"")</f>
        <v/>
      </c>
      <c r="M201" s="211" t="str">
        <f>IFERROR(VLOOKUP(TableHandbook[[#This Row],[UDC]],TableMJRPCWRIT[],7,FALSE),"")</f>
        <v/>
      </c>
      <c r="N201" s="211" t="str">
        <f>IFERROR(VLOOKUP(TableHandbook[[#This Row],[UDC]],TableMJRPDGCMS[],7,FALSE),"")</f>
        <v/>
      </c>
      <c r="O201" s="211" t="str">
        <f>IFERROR(VLOOKUP(TableHandbook[[#This Row],[UDC]],TableMJRPFINAR[],7,FALSE),"")</f>
        <v/>
      </c>
      <c r="P201" s="211" t="str">
        <f>IFERROR(VLOOKUP(TableHandbook[[#This Row],[UDC]],TableMJRPPWRIT[],7,FALSE),"")</f>
        <v/>
      </c>
      <c r="Q201" s="211" t="str">
        <f>IFERROR(VLOOKUP(TableHandbook[[#This Row],[UDC]],TableMJRPSCRAR[],7,FALSE),"")</f>
        <v/>
      </c>
      <c r="R201" s="213" t="str">
        <f>IFERROR(VLOOKUP(TableHandbook[[#This Row],[UDC]],TableMCMMJRG[],7,FALSE),"")</f>
        <v/>
      </c>
      <c r="S201" s="211" t="str">
        <f>IFERROR(VLOOKUP(TableHandbook[[#This Row],[UDC]],TableMCMMJRN[],7,FALSE),"")</f>
        <v/>
      </c>
      <c r="T201" s="211" t="str">
        <f>IFERROR(VLOOKUP(TableHandbook[[#This Row],[UDC]],TableGDMMJRN[],7,FALSE),"")</f>
        <v/>
      </c>
      <c r="U201" s="211" t="str">
        <f>IFERROR(VLOOKUP(TableHandbook[[#This Row],[UDC]],TableGCMMJRN[],7,FALSE),"")</f>
        <v/>
      </c>
      <c r="V201" s="213" t="str">
        <f>IFERROR(VLOOKUP(TableHandbook[[#This Row],[UDC]],TableMCHRIGLO[],7,FALSE),"")</f>
        <v/>
      </c>
      <c r="W201" s="211" t="str">
        <f>IFERROR(VLOOKUP(TableHandbook[[#This Row],[UDC]],TableMCHRIGHT[],7,FALSE),"")</f>
        <v/>
      </c>
      <c r="X201" s="211" t="str">
        <f>IFERROR(VLOOKUP(TableHandbook[[#This Row],[UDC]],TableGDHRIGHT[],7,FALSE),"")</f>
        <v/>
      </c>
      <c r="Y201" s="211" t="str">
        <f>IFERROR(VLOOKUP(TableHandbook[[#This Row],[UDC]],TableGCHRIGHT[],7,FALSE),"")</f>
        <v/>
      </c>
      <c r="Z201" s="213" t="str">
        <f>IFERROR(VLOOKUP(TableHandbook[[#This Row],[UDC]],TableMCGLOBL2[],7,FALSE),"")</f>
        <v/>
      </c>
      <c r="AA201" s="211" t="str">
        <f>IFERROR(VLOOKUP(TableHandbook[[#This Row],[UDC]],TableMCGLOBL[],7,FALSE),"")</f>
        <v/>
      </c>
      <c r="AB201" s="211" t="str">
        <f>IFERROR(VLOOKUP(TableHandbook[[#This Row],[UDC]],TableSTRPGLOBL[],7,FALSE),"")</f>
        <v/>
      </c>
      <c r="AC201" s="211" t="str">
        <f>IFERROR(VLOOKUP(TableHandbook[[#This Row],[UDC]],TableSTRPHRIGT[],7,FALSE),"")</f>
        <v/>
      </c>
      <c r="AD201" s="211" t="str">
        <f>IFERROR(VLOOKUP(TableHandbook[[#This Row],[UDC]],TableSTRPINTRN[],7,FALSE),"")</f>
        <v/>
      </c>
      <c r="AE201" s="211" t="str">
        <f>IFERROR(VLOOKUP(TableHandbook[[#This Row],[UDC]],TableGCGLOBL[],7,FALSE),"")</f>
        <v/>
      </c>
      <c r="AF201" s="213" t="str">
        <f>IFERROR(VLOOKUP(TableHandbook[[#This Row],[UDC]],TableMCINTREL[],7,FALSE),"")</f>
        <v/>
      </c>
      <c r="AG201" s="211" t="str">
        <f>IFERROR(VLOOKUP(TableHandbook[[#This Row],[UDC]],TableMCINTSEC[],7,FALSE),"")</f>
        <v/>
      </c>
      <c r="AH201" s="211" t="str">
        <f>IFERROR(VLOOKUP(TableHandbook[[#This Row],[UDC]],TableGDINTSEC[],7,FALSE),"")</f>
        <v/>
      </c>
      <c r="AI201" s="211" t="str">
        <f>IFERROR(VLOOKUP(TableHandbook[[#This Row],[UDC]],TableGCINTSEC[],7,FALSE),"")</f>
        <v/>
      </c>
      <c r="AJ201" s="211" t="str">
        <f>IFERROR(VLOOKUP(TableHandbook[[#This Row],[UDC]],TableGCINTELL[],7,FALSE),"")</f>
        <v/>
      </c>
      <c r="AK201" s="211" t="str">
        <f>IFERROR(VLOOKUP(TableHandbook[[#This Row],[UDC]],TableGCIPCSEC[],7,FALSE),"")</f>
        <v/>
      </c>
    </row>
    <row r="202" spans="1:37" x14ac:dyDescent="0.3">
      <c r="A202" s="2" t="s">
        <v>657</v>
      </c>
      <c r="B202" s="3">
        <v>0</v>
      </c>
      <c r="C202" s="3"/>
      <c r="D202" s="209" t="s">
        <v>658</v>
      </c>
      <c r="E202" s="3">
        <v>100</v>
      </c>
      <c r="F202" s="149"/>
      <c r="G202" s="96" t="str">
        <f>IFERROR(IF(VLOOKUP(TableHandbook[[#This Row],[UDC]],TableAvailabilities[],2,FALSE)&gt;0,"Y",""),"")</f>
        <v/>
      </c>
      <c r="H202" s="96" t="str">
        <f>IFERROR(IF(VLOOKUP(TableHandbook[[#This Row],[UDC]],TableAvailabilities[],3,FALSE)&gt;0,"Y",""),"")</f>
        <v/>
      </c>
      <c r="I202" s="96" t="str">
        <f>IFERROR(IF(VLOOKUP(TableHandbook[[#This Row],[UDC]],TableAvailabilities[],4,FALSE)&gt;0,"Y",""),"")</f>
        <v/>
      </c>
      <c r="J202" s="96" t="str">
        <f>IFERROR(IF(VLOOKUP(TableHandbook[[#This Row],[UDC]],TableAvailabilities[],5,FALSE)&gt;0,"Y",""),"")</f>
        <v/>
      </c>
      <c r="K202" s="209"/>
      <c r="L202" s="213" t="str">
        <f>IFERROR(VLOOKUP(TableHandbook[[#This Row],[UDC]],TableMCARTS[],7,FALSE),"")</f>
        <v/>
      </c>
      <c r="M202" s="211" t="str">
        <f>IFERROR(VLOOKUP(TableHandbook[[#This Row],[UDC]],TableMJRPCWRIT[],7,FALSE),"")</f>
        <v/>
      </c>
      <c r="N202" s="211" t="str">
        <f>IFERROR(VLOOKUP(TableHandbook[[#This Row],[UDC]],TableMJRPDGCMS[],7,FALSE),"")</f>
        <v/>
      </c>
      <c r="O202" s="211" t="str">
        <f>IFERROR(VLOOKUP(TableHandbook[[#This Row],[UDC]],TableMJRPFINAR[],7,FALSE),"")</f>
        <v/>
      </c>
      <c r="P202" s="211" t="str">
        <f>IFERROR(VLOOKUP(TableHandbook[[#This Row],[UDC]],TableMJRPPWRIT[],7,FALSE),"")</f>
        <v/>
      </c>
      <c r="Q202" s="211" t="str">
        <f>IFERROR(VLOOKUP(TableHandbook[[#This Row],[UDC]],TableMJRPSCRAR[],7,FALSE),"")</f>
        <v/>
      </c>
      <c r="R202" s="213" t="str">
        <f>IFERROR(VLOOKUP(TableHandbook[[#This Row],[UDC]],TableMCMMJRG[],7,FALSE),"")</f>
        <v/>
      </c>
      <c r="S202" s="211" t="str">
        <f>IFERROR(VLOOKUP(TableHandbook[[#This Row],[UDC]],TableMCMMJRN[],7,FALSE),"")</f>
        <v/>
      </c>
      <c r="T202" s="211" t="str">
        <f>IFERROR(VLOOKUP(TableHandbook[[#This Row],[UDC]],TableGDMMJRN[],7,FALSE),"")</f>
        <v/>
      </c>
      <c r="U202" s="211" t="str">
        <f>IFERROR(VLOOKUP(TableHandbook[[#This Row],[UDC]],TableGCMMJRN[],7,FALSE),"")</f>
        <v/>
      </c>
      <c r="V202" s="213" t="str">
        <f>IFERROR(VLOOKUP(TableHandbook[[#This Row],[UDC]],TableMCHRIGLO[],7,FALSE),"")</f>
        <v/>
      </c>
      <c r="W202" s="211" t="str">
        <f>IFERROR(VLOOKUP(TableHandbook[[#This Row],[UDC]],TableMCHRIGHT[],7,FALSE),"")</f>
        <v/>
      </c>
      <c r="X202" s="211" t="str">
        <f>IFERROR(VLOOKUP(TableHandbook[[#This Row],[UDC]],TableGDHRIGHT[],7,FALSE),"")</f>
        <v/>
      </c>
      <c r="Y202" s="211" t="str">
        <f>IFERROR(VLOOKUP(TableHandbook[[#This Row],[UDC]],TableGCHRIGHT[],7,FALSE),"")</f>
        <v/>
      </c>
      <c r="Z202" s="213" t="str">
        <f>IFERROR(VLOOKUP(TableHandbook[[#This Row],[UDC]],TableMCGLOBL2[],7,FALSE),"")</f>
        <v/>
      </c>
      <c r="AA202" s="211" t="str">
        <f>IFERROR(VLOOKUP(TableHandbook[[#This Row],[UDC]],TableMCGLOBL[],7,FALSE),"")</f>
        <v/>
      </c>
      <c r="AB202" s="211" t="str">
        <f>IFERROR(VLOOKUP(TableHandbook[[#This Row],[UDC]],TableSTRPGLOBL[],7,FALSE),"")</f>
        <v/>
      </c>
      <c r="AC202" s="211" t="str">
        <f>IFERROR(VLOOKUP(TableHandbook[[#This Row],[UDC]],TableSTRPHRIGT[],7,FALSE),"")</f>
        <v/>
      </c>
      <c r="AD202" s="211" t="str">
        <f>IFERROR(VLOOKUP(TableHandbook[[#This Row],[UDC]],TableSTRPINTRN[],7,FALSE),"")</f>
        <v/>
      </c>
      <c r="AE202" s="211" t="str">
        <f>IFERROR(VLOOKUP(TableHandbook[[#This Row],[UDC]],TableGCGLOBL[],7,FALSE),"")</f>
        <v/>
      </c>
      <c r="AF202" s="213" t="str">
        <f>IFERROR(VLOOKUP(TableHandbook[[#This Row],[UDC]],TableMCINTREL[],7,FALSE),"")</f>
        <v/>
      </c>
      <c r="AG202" s="211" t="str">
        <f>IFERROR(VLOOKUP(TableHandbook[[#This Row],[UDC]],TableMCINTSEC[],7,FALSE),"")</f>
        <v/>
      </c>
      <c r="AH202" s="211" t="str">
        <f>IFERROR(VLOOKUP(TableHandbook[[#This Row],[UDC]],TableGDINTSEC[],7,FALSE),"")</f>
        <v/>
      </c>
      <c r="AI202" s="211" t="str">
        <f>IFERROR(VLOOKUP(TableHandbook[[#This Row],[UDC]],TableGCINTSEC[],7,FALSE),"")</f>
        <v/>
      </c>
      <c r="AJ202" s="211" t="str">
        <f>IFERROR(VLOOKUP(TableHandbook[[#This Row],[UDC]],TableGCINTELL[],7,FALSE),"")</f>
        <v/>
      </c>
      <c r="AK202" s="211" t="str">
        <f>IFERROR(VLOOKUP(TableHandbook[[#This Row],[UDC]],TableGCIPCSEC[],7,FALSE),"")</f>
        <v/>
      </c>
    </row>
    <row r="203" spans="1:37" x14ac:dyDescent="0.3">
      <c r="A203" s="2" t="s">
        <v>659</v>
      </c>
      <c r="B203" s="3">
        <v>0</v>
      </c>
      <c r="C203" s="3"/>
      <c r="D203" s="209" t="s">
        <v>660</v>
      </c>
      <c r="E203" s="3">
        <v>100</v>
      </c>
      <c r="F203" s="149"/>
      <c r="G203" s="96" t="str">
        <f>IFERROR(IF(VLOOKUP(TableHandbook[[#This Row],[UDC]],TableAvailabilities[],2,FALSE)&gt;0,"Y",""),"")</f>
        <v/>
      </c>
      <c r="H203" s="96" t="str">
        <f>IFERROR(IF(VLOOKUP(TableHandbook[[#This Row],[UDC]],TableAvailabilities[],3,FALSE)&gt;0,"Y",""),"")</f>
        <v/>
      </c>
      <c r="I203" s="96" t="str">
        <f>IFERROR(IF(VLOOKUP(TableHandbook[[#This Row],[UDC]],TableAvailabilities[],4,FALSE)&gt;0,"Y",""),"")</f>
        <v/>
      </c>
      <c r="J203" s="96" t="str">
        <f>IFERROR(IF(VLOOKUP(TableHandbook[[#This Row],[UDC]],TableAvailabilities[],5,FALSE)&gt;0,"Y",""),"")</f>
        <v/>
      </c>
      <c r="K203" s="209"/>
      <c r="L203" s="213" t="str">
        <f>IFERROR(VLOOKUP(TableHandbook[[#This Row],[UDC]],TableMCARTS[],7,FALSE),"")</f>
        <v/>
      </c>
      <c r="M203" s="211" t="str">
        <f>IFERROR(VLOOKUP(TableHandbook[[#This Row],[UDC]],TableMJRPCWRIT[],7,FALSE),"")</f>
        <v/>
      </c>
      <c r="N203" s="211" t="str">
        <f>IFERROR(VLOOKUP(TableHandbook[[#This Row],[UDC]],TableMJRPDGCMS[],7,FALSE),"")</f>
        <v/>
      </c>
      <c r="O203" s="211" t="str">
        <f>IFERROR(VLOOKUP(TableHandbook[[#This Row],[UDC]],TableMJRPFINAR[],7,FALSE),"")</f>
        <v/>
      </c>
      <c r="P203" s="211" t="str">
        <f>IFERROR(VLOOKUP(TableHandbook[[#This Row],[UDC]],TableMJRPPWRIT[],7,FALSE),"")</f>
        <v/>
      </c>
      <c r="Q203" s="211" t="str">
        <f>IFERROR(VLOOKUP(TableHandbook[[#This Row],[UDC]],TableMJRPSCRAR[],7,FALSE),"")</f>
        <v/>
      </c>
      <c r="R203" s="213" t="str">
        <f>IFERROR(VLOOKUP(TableHandbook[[#This Row],[UDC]],TableMCMMJRG[],7,FALSE),"")</f>
        <v/>
      </c>
      <c r="S203" s="211" t="str">
        <f>IFERROR(VLOOKUP(TableHandbook[[#This Row],[UDC]],TableMCMMJRN[],7,FALSE),"")</f>
        <v/>
      </c>
      <c r="T203" s="211" t="str">
        <f>IFERROR(VLOOKUP(TableHandbook[[#This Row],[UDC]],TableGDMMJRN[],7,FALSE),"")</f>
        <v/>
      </c>
      <c r="U203" s="211" t="str">
        <f>IFERROR(VLOOKUP(TableHandbook[[#This Row],[UDC]],TableGCMMJRN[],7,FALSE),"")</f>
        <v/>
      </c>
      <c r="V203" s="213" t="str">
        <f>IFERROR(VLOOKUP(TableHandbook[[#This Row],[UDC]],TableMCHRIGLO[],7,FALSE),"")</f>
        <v/>
      </c>
      <c r="W203" s="211" t="str">
        <f>IFERROR(VLOOKUP(TableHandbook[[#This Row],[UDC]],TableMCHRIGHT[],7,FALSE),"")</f>
        <v/>
      </c>
      <c r="X203" s="211" t="str">
        <f>IFERROR(VLOOKUP(TableHandbook[[#This Row],[UDC]],TableGDHRIGHT[],7,FALSE),"")</f>
        <v/>
      </c>
      <c r="Y203" s="211" t="str">
        <f>IFERROR(VLOOKUP(TableHandbook[[#This Row],[UDC]],TableGCHRIGHT[],7,FALSE),"")</f>
        <v/>
      </c>
      <c r="Z203" s="213" t="str">
        <f>IFERROR(VLOOKUP(TableHandbook[[#This Row],[UDC]],TableMCGLOBL2[],7,FALSE),"")</f>
        <v/>
      </c>
      <c r="AA203" s="211" t="str">
        <f>IFERROR(VLOOKUP(TableHandbook[[#This Row],[UDC]],TableMCGLOBL[],7,FALSE),"")</f>
        <v>Option</v>
      </c>
      <c r="AB203" s="211" t="str">
        <f>IFERROR(VLOOKUP(TableHandbook[[#This Row],[UDC]],TableSTRPGLOBL[],7,FALSE),"")</f>
        <v/>
      </c>
      <c r="AC203" s="211" t="str">
        <f>IFERROR(VLOOKUP(TableHandbook[[#This Row],[UDC]],TableSTRPHRIGT[],7,FALSE),"")</f>
        <v/>
      </c>
      <c r="AD203" s="211" t="str">
        <f>IFERROR(VLOOKUP(TableHandbook[[#This Row],[UDC]],TableSTRPINTRN[],7,FALSE),"")</f>
        <v/>
      </c>
      <c r="AE203" s="211" t="str">
        <f>IFERROR(VLOOKUP(TableHandbook[[#This Row],[UDC]],TableGCGLOBL[],7,FALSE),"")</f>
        <v/>
      </c>
      <c r="AF203" s="213" t="str">
        <f>IFERROR(VLOOKUP(TableHandbook[[#This Row],[UDC]],TableMCINTREL[],7,FALSE),"")</f>
        <v/>
      </c>
      <c r="AG203" s="211" t="str">
        <f>IFERROR(VLOOKUP(TableHandbook[[#This Row],[UDC]],TableMCINTSEC[],7,FALSE),"")</f>
        <v/>
      </c>
      <c r="AH203" s="211" t="str">
        <f>IFERROR(VLOOKUP(TableHandbook[[#This Row],[UDC]],TableGDINTSEC[],7,FALSE),"")</f>
        <v/>
      </c>
      <c r="AI203" s="211" t="str">
        <f>IFERROR(VLOOKUP(TableHandbook[[#This Row],[UDC]],TableGCINTSEC[],7,FALSE),"")</f>
        <v/>
      </c>
      <c r="AJ203" s="211" t="str">
        <f>IFERROR(VLOOKUP(TableHandbook[[#This Row],[UDC]],TableGCINTELL[],7,FALSE),"")</f>
        <v/>
      </c>
      <c r="AK203" s="211" t="str">
        <f>IFERROR(VLOOKUP(TableHandbook[[#This Row],[UDC]],TableGCIPCSEC[],7,FALSE),"")</f>
        <v/>
      </c>
    </row>
    <row r="204" spans="1:37" x14ac:dyDescent="0.3">
      <c r="A204" s="2" t="s">
        <v>207</v>
      </c>
      <c r="B204" s="3">
        <v>1</v>
      </c>
      <c r="C204" s="3"/>
      <c r="D204" s="209" t="s">
        <v>206</v>
      </c>
      <c r="E204" s="3">
        <v>100</v>
      </c>
      <c r="F204" s="149"/>
      <c r="G204" s="96" t="str">
        <f>IFERROR(IF(VLOOKUP(TableHandbook[[#This Row],[UDC]],TableAvailabilities[],2,FALSE)&gt;0,"Y",""),"")</f>
        <v/>
      </c>
      <c r="H204" s="96" t="str">
        <f>IFERROR(IF(VLOOKUP(TableHandbook[[#This Row],[UDC]],TableAvailabilities[],3,FALSE)&gt;0,"Y",""),"")</f>
        <v/>
      </c>
      <c r="I204" s="96" t="str">
        <f>IFERROR(IF(VLOOKUP(TableHandbook[[#This Row],[UDC]],TableAvailabilities[],4,FALSE)&gt;0,"Y",""),"")</f>
        <v/>
      </c>
      <c r="J204" s="96" t="str">
        <f>IFERROR(IF(VLOOKUP(TableHandbook[[#This Row],[UDC]],TableAvailabilities[],5,FALSE)&gt;0,"Y",""),"")</f>
        <v/>
      </c>
      <c r="K204" s="209"/>
      <c r="L204" s="213" t="str">
        <f>IFERROR(VLOOKUP(TableHandbook[[#This Row],[UDC]],TableMCARTS[],7,FALSE),"")</f>
        <v/>
      </c>
      <c r="M204" s="211" t="str">
        <f>IFERROR(VLOOKUP(TableHandbook[[#This Row],[UDC]],TableMJRPCWRIT[],7,FALSE),"")</f>
        <v/>
      </c>
      <c r="N204" s="211" t="str">
        <f>IFERROR(VLOOKUP(TableHandbook[[#This Row],[UDC]],TableMJRPDGCMS[],7,FALSE),"")</f>
        <v/>
      </c>
      <c r="O204" s="211" t="str">
        <f>IFERROR(VLOOKUP(TableHandbook[[#This Row],[UDC]],TableMJRPFINAR[],7,FALSE),"")</f>
        <v/>
      </c>
      <c r="P204" s="211" t="str">
        <f>IFERROR(VLOOKUP(TableHandbook[[#This Row],[UDC]],TableMJRPPWRIT[],7,FALSE),"")</f>
        <v/>
      </c>
      <c r="Q204" s="211" t="str">
        <f>IFERROR(VLOOKUP(TableHandbook[[#This Row],[UDC]],TableMJRPSCRAR[],7,FALSE),"")</f>
        <v/>
      </c>
      <c r="R204" s="213" t="str">
        <f>IFERROR(VLOOKUP(TableHandbook[[#This Row],[UDC]],TableMCMMJRG[],7,FALSE),"")</f>
        <v/>
      </c>
      <c r="S204" s="211" t="str">
        <f>IFERROR(VLOOKUP(TableHandbook[[#This Row],[UDC]],TableMCMMJRN[],7,FALSE),"")</f>
        <v/>
      </c>
      <c r="T204" s="211" t="str">
        <f>IFERROR(VLOOKUP(TableHandbook[[#This Row],[UDC]],TableGDMMJRN[],7,FALSE),"")</f>
        <v/>
      </c>
      <c r="U204" s="211" t="str">
        <f>IFERROR(VLOOKUP(TableHandbook[[#This Row],[UDC]],TableGCMMJRN[],7,FALSE),"")</f>
        <v/>
      </c>
      <c r="V204" s="213" t="str">
        <f>IFERROR(VLOOKUP(TableHandbook[[#This Row],[UDC]],TableMCHRIGLO[],7,FALSE),"")</f>
        <v/>
      </c>
      <c r="W204" s="211" t="str">
        <f>IFERROR(VLOOKUP(TableHandbook[[#This Row],[UDC]],TableMCHRIGHT[],7,FALSE),"")</f>
        <v/>
      </c>
      <c r="X204" s="211" t="str">
        <f>IFERROR(VLOOKUP(TableHandbook[[#This Row],[UDC]],TableGDHRIGHT[],7,FALSE),"")</f>
        <v/>
      </c>
      <c r="Y204" s="211" t="str">
        <f>IFERROR(VLOOKUP(TableHandbook[[#This Row],[UDC]],TableGCHRIGHT[],7,FALSE),"")</f>
        <v/>
      </c>
      <c r="Z204" s="213" t="str">
        <f>IFERROR(VLOOKUP(TableHandbook[[#This Row],[UDC]],TableMCGLOBL2[],7,FALSE),"")</f>
        <v>Core</v>
      </c>
      <c r="AA204" s="211" t="str">
        <f>IFERROR(VLOOKUP(TableHandbook[[#This Row],[UDC]],TableMCGLOBL[],7,FALSE),"")</f>
        <v>AltCore</v>
      </c>
      <c r="AB204" s="211" t="str">
        <f>IFERROR(VLOOKUP(TableHandbook[[#This Row],[UDC]],TableSTRPGLOBL[],7,FALSE),"")</f>
        <v/>
      </c>
      <c r="AC204" s="211" t="str">
        <f>IFERROR(VLOOKUP(TableHandbook[[#This Row],[UDC]],TableSTRPHRIGT[],7,FALSE),"")</f>
        <v/>
      </c>
      <c r="AD204" s="211" t="str">
        <f>IFERROR(VLOOKUP(TableHandbook[[#This Row],[UDC]],TableSTRPINTRN[],7,FALSE),"")</f>
        <v/>
      </c>
      <c r="AE204" s="211" t="str">
        <f>IFERROR(VLOOKUP(TableHandbook[[#This Row],[UDC]],TableGCGLOBL[],7,FALSE),"")</f>
        <v/>
      </c>
      <c r="AF204" s="213" t="str">
        <f>IFERROR(VLOOKUP(TableHandbook[[#This Row],[UDC]],TableMCINTREL[],7,FALSE),"")</f>
        <v/>
      </c>
      <c r="AG204" s="211" t="str">
        <f>IFERROR(VLOOKUP(TableHandbook[[#This Row],[UDC]],TableMCINTSEC[],7,FALSE),"")</f>
        <v/>
      </c>
      <c r="AH204" s="211" t="str">
        <f>IFERROR(VLOOKUP(TableHandbook[[#This Row],[UDC]],TableGDINTSEC[],7,FALSE),"")</f>
        <v/>
      </c>
      <c r="AI204" s="211" t="str">
        <f>IFERROR(VLOOKUP(TableHandbook[[#This Row],[UDC]],TableGCINTSEC[],7,FALSE),"")</f>
        <v/>
      </c>
      <c r="AJ204" s="211" t="str">
        <f>IFERROR(VLOOKUP(TableHandbook[[#This Row],[UDC]],TableGCINTELL[],7,FALSE),"")</f>
        <v/>
      </c>
      <c r="AK204" s="211" t="str">
        <f>IFERROR(VLOOKUP(TableHandbook[[#This Row],[UDC]],TableGCIPCSEC[],7,FALSE),"")</f>
        <v/>
      </c>
    </row>
    <row r="205" spans="1:37" x14ac:dyDescent="0.3">
      <c r="A205" s="2" t="s">
        <v>194</v>
      </c>
      <c r="B205" s="3">
        <v>1</v>
      </c>
      <c r="C205" s="3"/>
      <c r="D205" s="209" t="s">
        <v>193</v>
      </c>
      <c r="E205" s="3">
        <v>100</v>
      </c>
      <c r="F205" s="149"/>
      <c r="G205" s="96" t="str">
        <f>IFERROR(IF(VLOOKUP(TableHandbook[[#This Row],[UDC]],TableAvailabilities[],2,FALSE)&gt;0,"Y",""),"")</f>
        <v/>
      </c>
      <c r="H205" s="96" t="str">
        <f>IFERROR(IF(VLOOKUP(TableHandbook[[#This Row],[UDC]],TableAvailabilities[],3,FALSE)&gt;0,"Y",""),"")</f>
        <v/>
      </c>
      <c r="I205" s="96" t="str">
        <f>IFERROR(IF(VLOOKUP(TableHandbook[[#This Row],[UDC]],TableAvailabilities[],4,FALSE)&gt;0,"Y",""),"")</f>
        <v/>
      </c>
      <c r="J205" s="96" t="str">
        <f>IFERROR(IF(VLOOKUP(TableHandbook[[#This Row],[UDC]],TableAvailabilities[],5,FALSE)&gt;0,"Y",""),"")</f>
        <v/>
      </c>
      <c r="K205" s="209"/>
      <c r="L205" s="213" t="str">
        <f>IFERROR(VLOOKUP(TableHandbook[[#This Row],[UDC]],TableMCARTS[],7,FALSE),"")</f>
        <v/>
      </c>
      <c r="M205" s="211" t="str">
        <f>IFERROR(VLOOKUP(TableHandbook[[#This Row],[UDC]],TableMJRPCWRIT[],7,FALSE),"")</f>
        <v/>
      </c>
      <c r="N205" s="211" t="str">
        <f>IFERROR(VLOOKUP(TableHandbook[[#This Row],[UDC]],TableMJRPDGCMS[],7,FALSE),"")</f>
        <v/>
      </c>
      <c r="O205" s="211" t="str">
        <f>IFERROR(VLOOKUP(TableHandbook[[#This Row],[UDC]],TableMJRPFINAR[],7,FALSE),"")</f>
        <v/>
      </c>
      <c r="P205" s="211" t="str">
        <f>IFERROR(VLOOKUP(TableHandbook[[#This Row],[UDC]],TableMJRPPWRIT[],7,FALSE),"")</f>
        <v/>
      </c>
      <c r="Q205" s="211" t="str">
        <f>IFERROR(VLOOKUP(TableHandbook[[#This Row],[UDC]],TableMJRPSCRAR[],7,FALSE),"")</f>
        <v/>
      </c>
      <c r="R205" s="213" t="str">
        <f>IFERROR(VLOOKUP(TableHandbook[[#This Row],[UDC]],TableMCMMJRG[],7,FALSE),"")</f>
        <v/>
      </c>
      <c r="S205" s="211" t="str">
        <f>IFERROR(VLOOKUP(TableHandbook[[#This Row],[UDC]],TableMCMMJRN[],7,FALSE),"")</f>
        <v/>
      </c>
      <c r="T205" s="211" t="str">
        <f>IFERROR(VLOOKUP(TableHandbook[[#This Row],[UDC]],TableGDMMJRN[],7,FALSE),"")</f>
        <v/>
      </c>
      <c r="U205" s="211" t="str">
        <f>IFERROR(VLOOKUP(TableHandbook[[#This Row],[UDC]],TableGCMMJRN[],7,FALSE),"")</f>
        <v/>
      </c>
      <c r="V205" s="213" t="str">
        <f>IFERROR(VLOOKUP(TableHandbook[[#This Row],[UDC]],TableMCHRIGLO[],7,FALSE),"")</f>
        <v/>
      </c>
      <c r="W205" s="211" t="str">
        <f>IFERROR(VLOOKUP(TableHandbook[[#This Row],[UDC]],TableMCHRIGHT[],7,FALSE),"")</f>
        <v/>
      </c>
      <c r="X205" s="211" t="str">
        <f>IFERROR(VLOOKUP(TableHandbook[[#This Row],[UDC]],TableGDHRIGHT[],7,FALSE),"")</f>
        <v/>
      </c>
      <c r="Y205" s="211" t="str">
        <f>IFERROR(VLOOKUP(TableHandbook[[#This Row],[UDC]],TableGCHRIGHT[],7,FALSE),"")</f>
        <v/>
      </c>
      <c r="Z205" s="213" t="str">
        <f>IFERROR(VLOOKUP(TableHandbook[[#This Row],[UDC]],TableMCGLOBL2[],7,FALSE),"")</f>
        <v>Core</v>
      </c>
      <c r="AA205" s="211" t="str">
        <f>IFERROR(VLOOKUP(TableHandbook[[#This Row],[UDC]],TableMCGLOBL[],7,FALSE),"")</f>
        <v>Option</v>
      </c>
      <c r="AB205" s="211" t="str">
        <f>IFERROR(VLOOKUP(TableHandbook[[#This Row],[UDC]],TableSTRPGLOBL[],7,FALSE),"")</f>
        <v/>
      </c>
      <c r="AC205" s="211" t="str">
        <f>IFERROR(VLOOKUP(TableHandbook[[#This Row],[UDC]],TableSTRPHRIGT[],7,FALSE),"")</f>
        <v/>
      </c>
      <c r="AD205" s="211" t="str">
        <f>IFERROR(VLOOKUP(TableHandbook[[#This Row],[UDC]],TableSTRPINTRN[],7,FALSE),"")</f>
        <v/>
      </c>
      <c r="AE205" s="211" t="str">
        <f>IFERROR(VLOOKUP(TableHandbook[[#This Row],[UDC]],TableGCGLOBL[],7,FALSE),"")</f>
        <v/>
      </c>
      <c r="AF205" s="213" t="str">
        <f>IFERROR(VLOOKUP(TableHandbook[[#This Row],[UDC]],TableMCINTREL[],7,FALSE),"")</f>
        <v/>
      </c>
      <c r="AG205" s="211" t="str">
        <f>IFERROR(VLOOKUP(TableHandbook[[#This Row],[UDC]],TableMCINTSEC[],7,FALSE),"")</f>
        <v/>
      </c>
      <c r="AH205" s="211" t="str">
        <f>IFERROR(VLOOKUP(TableHandbook[[#This Row],[UDC]],TableGDINTSEC[],7,FALSE),"")</f>
        <v/>
      </c>
      <c r="AI205" s="211" t="str">
        <f>IFERROR(VLOOKUP(TableHandbook[[#This Row],[UDC]],TableGCINTSEC[],7,FALSE),"")</f>
        <v/>
      </c>
      <c r="AJ205" s="211" t="str">
        <f>IFERROR(VLOOKUP(TableHandbook[[#This Row],[UDC]],TableGCINTELL[],7,FALSE),"")</f>
        <v/>
      </c>
      <c r="AK205" s="211" t="str">
        <f>IFERROR(VLOOKUP(TableHandbook[[#This Row],[UDC]],TableGCIPCSEC[],7,FALSE),"")</f>
        <v/>
      </c>
    </row>
    <row r="206" spans="1:37" ht="27" x14ac:dyDescent="0.3">
      <c r="A206" s="2" t="s">
        <v>201</v>
      </c>
      <c r="B206" s="3">
        <v>1</v>
      </c>
      <c r="C206" s="3"/>
      <c r="D206" s="209" t="s">
        <v>200</v>
      </c>
      <c r="E206" s="3">
        <v>100</v>
      </c>
      <c r="F206" s="149"/>
      <c r="G206" s="96" t="str">
        <f>IFERROR(IF(VLOOKUP(TableHandbook[[#This Row],[UDC]],TableAvailabilities[],2,FALSE)&gt;0,"Y",""),"")</f>
        <v/>
      </c>
      <c r="H206" s="96" t="str">
        <f>IFERROR(IF(VLOOKUP(TableHandbook[[#This Row],[UDC]],TableAvailabilities[],3,FALSE)&gt;0,"Y",""),"")</f>
        <v/>
      </c>
      <c r="I206" s="96" t="str">
        <f>IFERROR(IF(VLOOKUP(TableHandbook[[#This Row],[UDC]],TableAvailabilities[],4,FALSE)&gt;0,"Y",""),"")</f>
        <v/>
      </c>
      <c r="J206" s="96" t="str">
        <f>IFERROR(IF(VLOOKUP(TableHandbook[[#This Row],[UDC]],TableAvailabilities[],5,FALSE)&gt;0,"Y",""),"")</f>
        <v/>
      </c>
      <c r="K206" s="209"/>
      <c r="L206" s="213" t="str">
        <f>IFERROR(VLOOKUP(TableHandbook[[#This Row],[UDC]],TableMCARTS[],7,FALSE),"")</f>
        <v/>
      </c>
      <c r="M206" s="211" t="str">
        <f>IFERROR(VLOOKUP(TableHandbook[[#This Row],[UDC]],TableMJRPCWRIT[],7,FALSE),"")</f>
        <v/>
      </c>
      <c r="N206" s="211" t="str">
        <f>IFERROR(VLOOKUP(TableHandbook[[#This Row],[UDC]],TableMJRPDGCMS[],7,FALSE),"")</f>
        <v/>
      </c>
      <c r="O206" s="211" t="str">
        <f>IFERROR(VLOOKUP(TableHandbook[[#This Row],[UDC]],TableMJRPFINAR[],7,FALSE),"")</f>
        <v/>
      </c>
      <c r="P206" s="211" t="str">
        <f>IFERROR(VLOOKUP(TableHandbook[[#This Row],[UDC]],TableMJRPPWRIT[],7,FALSE),"")</f>
        <v/>
      </c>
      <c r="Q206" s="211" t="str">
        <f>IFERROR(VLOOKUP(TableHandbook[[#This Row],[UDC]],TableMJRPSCRAR[],7,FALSE),"")</f>
        <v/>
      </c>
      <c r="R206" s="213" t="str">
        <f>IFERROR(VLOOKUP(TableHandbook[[#This Row],[UDC]],TableMCMMJRG[],7,FALSE),"")</f>
        <v/>
      </c>
      <c r="S206" s="211" t="str">
        <f>IFERROR(VLOOKUP(TableHandbook[[#This Row],[UDC]],TableMCMMJRN[],7,FALSE),"")</f>
        <v/>
      </c>
      <c r="T206" s="211" t="str">
        <f>IFERROR(VLOOKUP(TableHandbook[[#This Row],[UDC]],TableGDMMJRN[],7,FALSE),"")</f>
        <v/>
      </c>
      <c r="U206" s="211" t="str">
        <f>IFERROR(VLOOKUP(TableHandbook[[#This Row],[UDC]],TableGCMMJRN[],7,FALSE),"")</f>
        <v/>
      </c>
      <c r="V206" s="213" t="str">
        <f>IFERROR(VLOOKUP(TableHandbook[[#This Row],[UDC]],TableMCHRIGLO[],7,FALSE),"")</f>
        <v/>
      </c>
      <c r="W206" s="211" t="str">
        <f>IFERROR(VLOOKUP(TableHandbook[[#This Row],[UDC]],TableMCHRIGHT[],7,FALSE),"")</f>
        <v/>
      </c>
      <c r="X206" s="211" t="str">
        <f>IFERROR(VLOOKUP(TableHandbook[[#This Row],[UDC]],TableGDHRIGHT[],7,FALSE),"")</f>
        <v/>
      </c>
      <c r="Y206" s="211" t="str">
        <f>IFERROR(VLOOKUP(TableHandbook[[#This Row],[UDC]],TableGCHRIGHT[],7,FALSE),"")</f>
        <v/>
      </c>
      <c r="Z206" s="213" t="str">
        <f>IFERROR(VLOOKUP(TableHandbook[[#This Row],[UDC]],TableMCGLOBL2[],7,FALSE),"")</f>
        <v>Core</v>
      </c>
      <c r="AA206" s="211" t="str">
        <f>IFERROR(VLOOKUP(TableHandbook[[#This Row],[UDC]],TableMCGLOBL[],7,FALSE),"")</f>
        <v>Option</v>
      </c>
      <c r="AB206" s="211" t="str">
        <f>IFERROR(VLOOKUP(TableHandbook[[#This Row],[UDC]],TableSTRPGLOBL[],7,FALSE),"")</f>
        <v/>
      </c>
      <c r="AC206" s="211" t="str">
        <f>IFERROR(VLOOKUP(TableHandbook[[#This Row],[UDC]],TableSTRPHRIGT[],7,FALSE),"")</f>
        <v/>
      </c>
      <c r="AD206" s="211" t="str">
        <f>IFERROR(VLOOKUP(TableHandbook[[#This Row],[UDC]],TableSTRPINTRN[],7,FALSE),"")</f>
        <v/>
      </c>
      <c r="AE206" s="211" t="str">
        <f>IFERROR(VLOOKUP(TableHandbook[[#This Row],[UDC]],TableGCGLOBL[],7,FALSE),"")</f>
        <v/>
      </c>
      <c r="AF206" s="213" t="str">
        <f>IFERROR(VLOOKUP(TableHandbook[[#This Row],[UDC]],TableMCINTREL[],7,FALSE),"")</f>
        <v/>
      </c>
      <c r="AG206" s="211" t="str">
        <f>IFERROR(VLOOKUP(TableHandbook[[#This Row],[UDC]],TableMCINTSEC[],7,FALSE),"")</f>
        <v/>
      </c>
      <c r="AH206" s="211" t="str">
        <f>IFERROR(VLOOKUP(TableHandbook[[#This Row],[UDC]],TableGDINTSEC[],7,FALSE),"")</f>
        <v/>
      </c>
      <c r="AI206" s="211" t="str">
        <f>IFERROR(VLOOKUP(TableHandbook[[#This Row],[UDC]],TableGCINTSEC[],7,FALSE),"")</f>
        <v/>
      </c>
      <c r="AJ206" s="211" t="str">
        <f>IFERROR(VLOOKUP(TableHandbook[[#This Row],[UDC]],TableGCINTELL[],7,FALSE),"")</f>
        <v/>
      </c>
      <c r="AK206" s="211" t="str">
        <f>IFERROR(VLOOKUP(TableHandbook[[#This Row],[UDC]],TableGCIPCSEC[],7,FALSE),"")</f>
        <v/>
      </c>
    </row>
    <row r="207" spans="1:37" x14ac:dyDescent="0.3">
      <c r="A207" s="231" t="s">
        <v>157</v>
      </c>
      <c r="B207" s="3">
        <v>3</v>
      </c>
      <c r="C207" s="3"/>
      <c r="D207" s="209" t="s">
        <v>661</v>
      </c>
      <c r="E207" s="3">
        <v>25</v>
      </c>
      <c r="F207" s="245" t="s">
        <v>108</v>
      </c>
      <c r="G207" s="96" t="str">
        <f>IFERROR(IF(VLOOKUP(TableHandbook[[#This Row],[UDC]],TableAvailabilities[],2,FALSE)&gt;0,"Y",""),"")</f>
        <v>Y</v>
      </c>
      <c r="H207" s="96" t="str">
        <f>IFERROR(IF(VLOOKUP(TableHandbook[[#This Row],[UDC]],TableAvailabilities[],3,FALSE)&gt;0,"Y",""),"")</f>
        <v/>
      </c>
      <c r="I207" s="96" t="str">
        <f>IFERROR(IF(VLOOKUP(TableHandbook[[#This Row],[UDC]],TableAvailabilities[],4,FALSE)&gt;0,"Y",""),"")</f>
        <v/>
      </c>
      <c r="J207" s="96" t="str">
        <f>IFERROR(IF(VLOOKUP(TableHandbook[[#This Row],[UDC]],TableAvailabilities[],5,FALSE)&gt;0,"Y",""),"")</f>
        <v/>
      </c>
      <c r="K207" s="209" t="s">
        <v>433</v>
      </c>
      <c r="L207" s="213" t="str">
        <f>IFERROR(VLOOKUP(TableHandbook[[#This Row],[UDC]],TableMCARTS[],7,FALSE),"")</f>
        <v/>
      </c>
      <c r="M207" s="211" t="str">
        <f>IFERROR(VLOOKUP(TableHandbook[[#This Row],[UDC]],TableMJRPCWRIT[],7,FALSE),"")</f>
        <v/>
      </c>
      <c r="N207" s="211" t="str">
        <f>IFERROR(VLOOKUP(TableHandbook[[#This Row],[UDC]],TableMJRPDGCMS[],7,FALSE),"")</f>
        <v/>
      </c>
      <c r="O207" s="211" t="str">
        <f>IFERROR(VLOOKUP(TableHandbook[[#This Row],[UDC]],TableMJRPFINAR[],7,FALSE),"")</f>
        <v>AltCore</v>
      </c>
      <c r="P207" s="211" t="str">
        <f>IFERROR(VLOOKUP(TableHandbook[[#This Row],[UDC]],TableMJRPPWRIT[],7,FALSE),"")</f>
        <v/>
      </c>
      <c r="Q207" s="211" t="str">
        <f>IFERROR(VLOOKUP(TableHandbook[[#This Row],[UDC]],TableMJRPSCRAR[],7,FALSE),"")</f>
        <v/>
      </c>
      <c r="R207" s="213" t="str">
        <f>IFERROR(VLOOKUP(TableHandbook[[#This Row],[UDC]],TableMCMMJRG[],7,FALSE),"")</f>
        <v/>
      </c>
      <c r="S207" s="211" t="str">
        <f>IFERROR(VLOOKUP(TableHandbook[[#This Row],[UDC]],TableMCMMJRN[],7,FALSE),"")</f>
        <v/>
      </c>
      <c r="T207" s="211" t="str">
        <f>IFERROR(VLOOKUP(TableHandbook[[#This Row],[UDC]],TableGDMMJRN[],7,FALSE),"")</f>
        <v/>
      </c>
      <c r="U207" s="211" t="str">
        <f>IFERROR(VLOOKUP(TableHandbook[[#This Row],[UDC]],TableGCMMJRN[],7,FALSE),"")</f>
        <v/>
      </c>
      <c r="V207" s="213" t="str">
        <f>IFERROR(VLOOKUP(TableHandbook[[#This Row],[UDC]],TableMCHRIGLO[],7,FALSE),"")</f>
        <v/>
      </c>
      <c r="W207" s="211" t="str">
        <f>IFERROR(VLOOKUP(TableHandbook[[#This Row],[UDC]],TableMCHRIGHT[],7,FALSE),"")</f>
        <v/>
      </c>
      <c r="X207" s="211" t="str">
        <f>IFERROR(VLOOKUP(TableHandbook[[#This Row],[UDC]],TableGDHRIGHT[],7,FALSE),"")</f>
        <v/>
      </c>
      <c r="Y207" s="211" t="str">
        <f>IFERROR(VLOOKUP(TableHandbook[[#This Row],[UDC]],TableGCHRIGHT[],7,FALSE),"")</f>
        <v/>
      </c>
      <c r="Z207" s="213" t="str">
        <f>IFERROR(VLOOKUP(TableHandbook[[#This Row],[UDC]],TableMCGLOBL2[],7,FALSE),"")</f>
        <v/>
      </c>
      <c r="AA207" s="211" t="str">
        <f>IFERROR(VLOOKUP(TableHandbook[[#This Row],[UDC]],TableMCGLOBL[],7,FALSE),"")</f>
        <v/>
      </c>
      <c r="AB207" s="211" t="str">
        <f>IFERROR(VLOOKUP(TableHandbook[[#This Row],[UDC]],TableSTRPGLOBL[],7,FALSE),"")</f>
        <v/>
      </c>
      <c r="AC207" s="211" t="str">
        <f>IFERROR(VLOOKUP(TableHandbook[[#This Row],[UDC]],TableSTRPHRIGT[],7,FALSE),"")</f>
        <v/>
      </c>
      <c r="AD207" s="211" t="str">
        <f>IFERROR(VLOOKUP(TableHandbook[[#This Row],[UDC]],TableSTRPINTRN[],7,FALSE),"")</f>
        <v/>
      </c>
      <c r="AE207" s="211" t="str">
        <f>IFERROR(VLOOKUP(TableHandbook[[#This Row],[UDC]],TableGCGLOBL[],7,FALSE),"")</f>
        <v/>
      </c>
      <c r="AF207" s="213" t="str">
        <f>IFERROR(VLOOKUP(TableHandbook[[#This Row],[UDC]],TableMCINTREL[],7,FALSE),"")</f>
        <v/>
      </c>
      <c r="AG207" s="211" t="str">
        <f>IFERROR(VLOOKUP(TableHandbook[[#This Row],[UDC]],TableMCINTSEC[],7,FALSE),"")</f>
        <v/>
      </c>
      <c r="AH207" s="211" t="str">
        <f>IFERROR(VLOOKUP(TableHandbook[[#This Row],[UDC]],TableGDINTSEC[],7,FALSE),"")</f>
        <v/>
      </c>
      <c r="AI207" s="211" t="str">
        <f>IFERROR(VLOOKUP(TableHandbook[[#This Row],[UDC]],TableGCINTSEC[],7,FALSE),"")</f>
        <v/>
      </c>
      <c r="AJ207" s="211" t="str">
        <f>IFERROR(VLOOKUP(TableHandbook[[#This Row],[UDC]],TableGCINTELL[],7,FALSE),"")</f>
        <v/>
      </c>
      <c r="AK207" s="211" t="str">
        <f>IFERROR(VLOOKUP(TableHandbook[[#This Row],[UDC]],TableGCIPCSEC[],7,FALSE),"")</f>
        <v/>
      </c>
    </row>
    <row r="208" spans="1:37" x14ac:dyDescent="0.3">
      <c r="A208" s="2" t="s">
        <v>662</v>
      </c>
      <c r="B208" s="3">
        <v>2</v>
      </c>
      <c r="C208" s="3"/>
      <c r="D208" s="209" t="s">
        <v>663</v>
      </c>
      <c r="E208" s="3">
        <v>25</v>
      </c>
      <c r="F208" s="149" t="s">
        <v>108</v>
      </c>
      <c r="G208" s="96" t="str">
        <f>IFERROR(IF(VLOOKUP(TableHandbook[[#This Row],[UDC]],TableAvailabilities[],2,FALSE)&gt;0,"Y",""),"")</f>
        <v/>
      </c>
      <c r="H208" s="96" t="str">
        <f>IFERROR(IF(VLOOKUP(TableHandbook[[#This Row],[UDC]],TableAvailabilities[],3,FALSE)&gt;0,"Y",""),"")</f>
        <v/>
      </c>
      <c r="I208" s="96" t="str">
        <f>IFERROR(IF(VLOOKUP(TableHandbook[[#This Row],[UDC]],TableAvailabilities[],4,FALSE)&gt;0,"Y",""),"")</f>
        <v/>
      </c>
      <c r="J208" s="96" t="str">
        <f>IFERROR(IF(VLOOKUP(TableHandbook[[#This Row],[UDC]],TableAvailabilities[],5,FALSE)&gt;0,"Y",""),"")</f>
        <v/>
      </c>
      <c r="K208" s="209" t="s">
        <v>436</v>
      </c>
      <c r="L208" s="213" t="str">
        <f>IFERROR(VLOOKUP(TableHandbook[[#This Row],[UDC]],TableMCARTS[],7,FALSE),"")</f>
        <v/>
      </c>
      <c r="M208" s="211" t="str">
        <f>IFERROR(VLOOKUP(TableHandbook[[#This Row],[UDC]],TableMJRPCWRIT[],7,FALSE),"")</f>
        <v/>
      </c>
      <c r="N208" s="211" t="str">
        <f>IFERROR(VLOOKUP(TableHandbook[[#This Row],[UDC]],TableMJRPDGCMS[],7,FALSE),"")</f>
        <v/>
      </c>
      <c r="O208" s="211" t="str">
        <f>IFERROR(VLOOKUP(TableHandbook[[#This Row],[UDC]],TableMJRPFINAR[],7,FALSE),"")</f>
        <v/>
      </c>
      <c r="P208" s="211" t="str">
        <f>IFERROR(VLOOKUP(TableHandbook[[#This Row],[UDC]],TableMJRPPWRIT[],7,FALSE),"")</f>
        <v/>
      </c>
      <c r="Q208" s="211" t="str">
        <f>IFERROR(VLOOKUP(TableHandbook[[#This Row],[UDC]],TableMJRPSCRAR[],7,FALSE),"")</f>
        <v/>
      </c>
      <c r="R208" s="213" t="str">
        <f>IFERROR(VLOOKUP(TableHandbook[[#This Row],[UDC]],TableMCMMJRG[],7,FALSE),"")</f>
        <v/>
      </c>
      <c r="S208" s="211" t="str">
        <f>IFERROR(VLOOKUP(TableHandbook[[#This Row],[UDC]],TableMCMMJRN[],7,FALSE),"")</f>
        <v/>
      </c>
      <c r="T208" s="211" t="str">
        <f>IFERROR(VLOOKUP(TableHandbook[[#This Row],[UDC]],TableGDMMJRN[],7,FALSE),"")</f>
        <v/>
      </c>
      <c r="U208" s="211" t="str">
        <f>IFERROR(VLOOKUP(TableHandbook[[#This Row],[UDC]],TableGCMMJRN[],7,FALSE),"")</f>
        <v/>
      </c>
      <c r="V208" s="213" t="str">
        <f>IFERROR(VLOOKUP(TableHandbook[[#This Row],[UDC]],TableMCHRIGLO[],7,FALSE),"")</f>
        <v/>
      </c>
      <c r="W208" s="211" t="str">
        <f>IFERROR(VLOOKUP(TableHandbook[[#This Row],[UDC]],TableMCHRIGHT[],7,FALSE),"")</f>
        <v/>
      </c>
      <c r="X208" s="211" t="str">
        <f>IFERROR(VLOOKUP(TableHandbook[[#This Row],[UDC]],TableGDHRIGHT[],7,FALSE),"")</f>
        <v/>
      </c>
      <c r="Y208" s="211" t="str">
        <f>IFERROR(VLOOKUP(TableHandbook[[#This Row],[UDC]],TableGCHRIGHT[],7,FALSE),"")</f>
        <v/>
      </c>
      <c r="Z208" s="213" t="str">
        <f>IFERROR(VLOOKUP(TableHandbook[[#This Row],[UDC]],TableMCGLOBL2[],7,FALSE),"")</f>
        <v/>
      </c>
      <c r="AA208" s="211" t="str">
        <f>IFERROR(VLOOKUP(TableHandbook[[#This Row],[UDC]],TableMCGLOBL[],7,FALSE),"")</f>
        <v/>
      </c>
      <c r="AB208" s="211" t="str">
        <f>IFERROR(VLOOKUP(TableHandbook[[#This Row],[UDC]],TableSTRPGLOBL[],7,FALSE),"")</f>
        <v/>
      </c>
      <c r="AC208" s="211" t="str">
        <f>IFERROR(VLOOKUP(TableHandbook[[#This Row],[UDC]],TableSTRPHRIGT[],7,FALSE),"")</f>
        <v/>
      </c>
      <c r="AD208" s="211" t="str">
        <f>IFERROR(VLOOKUP(TableHandbook[[#This Row],[UDC]],TableSTRPINTRN[],7,FALSE),"")</f>
        <v/>
      </c>
      <c r="AE208" s="211" t="str">
        <f>IFERROR(VLOOKUP(TableHandbook[[#This Row],[UDC]],TableGCGLOBL[],7,FALSE),"")</f>
        <v/>
      </c>
      <c r="AF208" s="213" t="str">
        <f>IFERROR(VLOOKUP(TableHandbook[[#This Row],[UDC]],TableMCINTREL[],7,FALSE),"")</f>
        <v/>
      </c>
      <c r="AG208" s="211" t="str">
        <f>IFERROR(VLOOKUP(TableHandbook[[#This Row],[UDC]],TableMCINTSEC[],7,FALSE),"")</f>
        <v/>
      </c>
      <c r="AH208" s="211" t="str">
        <f>IFERROR(VLOOKUP(TableHandbook[[#This Row],[UDC]],TableGDINTSEC[],7,FALSE),"")</f>
        <v/>
      </c>
      <c r="AI208" s="211" t="str">
        <f>IFERROR(VLOOKUP(TableHandbook[[#This Row],[UDC]],TableGCINTSEC[],7,FALSE),"")</f>
        <v/>
      </c>
      <c r="AJ208" s="211" t="str">
        <f>IFERROR(VLOOKUP(TableHandbook[[#This Row],[UDC]],TableGCINTELL[],7,FALSE),"")</f>
        <v/>
      </c>
      <c r="AK208" s="211" t="str">
        <f>IFERROR(VLOOKUP(TableHandbook[[#This Row],[UDC]],TableGCIPCSEC[],7,FALSE),"")</f>
        <v/>
      </c>
    </row>
    <row r="209" spans="1:37" x14ac:dyDescent="0.3">
      <c r="A209" s="231" t="s">
        <v>183</v>
      </c>
      <c r="B209" s="3">
        <v>2</v>
      </c>
      <c r="C209" s="3"/>
      <c r="D209" s="209" t="s">
        <v>664</v>
      </c>
      <c r="E209" s="3">
        <v>25</v>
      </c>
      <c r="F209" s="245" t="s">
        <v>108</v>
      </c>
      <c r="G209" s="96" t="str">
        <f>IFERROR(IF(VLOOKUP(TableHandbook[[#This Row],[UDC]],TableAvailabilities[],2,FALSE)&gt;0,"Y",""),"")</f>
        <v>Y</v>
      </c>
      <c r="H209" s="96" t="str">
        <f>IFERROR(IF(VLOOKUP(TableHandbook[[#This Row],[UDC]],TableAvailabilities[],3,FALSE)&gt;0,"Y",""),"")</f>
        <v/>
      </c>
      <c r="I209" s="96" t="str">
        <f>IFERROR(IF(VLOOKUP(TableHandbook[[#This Row],[UDC]],TableAvailabilities[],4,FALSE)&gt;0,"Y",""),"")</f>
        <v>Y</v>
      </c>
      <c r="J209" s="96" t="str">
        <f>IFERROR(IF(VLOOKUP(TableHandbook[[#This Row],[UDC]],TableAvailabilities[],5,FALSE)&gt;0,"Y",""),"")</f>
        <v/>
      </c>
      <c r="K209" s="209" t="s">
        <v>433</v>
      </c>
      <c r="L209" s="213" t="str">
        <f>IFERROR(VLOOKUP(TableHandbook[[#This Row],[UDC]],TableMCARTS[],7,FALSE),"")</f>
        <v/>
      </c>
      <c r="M209" s="211" t="str">
        <f>IFERROR(VLOOKUP(TableHandbook[[#This Row],[UDC]],TableMJRPCWRIT[],7,FALSE),"")</f>
        <v/>
      </c>
      <c r="N209" s="211" t="str">
        <f>IFERROR(VLOOKUP(TableHandbook[[#This Row],[UDC]],TableMJRPDGCMS[],7,FALSE),"")</f>
        <v/>
      </c>
      <c r="O209" s="211" t="str">
        <f>IFERROR(VLOOKUP(TableHandbook[[#This Row],[UDC]],TableMJRPFINAR[],7,FALSE),"")</f>
        <v>Option</v>
      </c>
      <c r="P209" s="211" t="str">
        <f>IFERROR(VLOOKUP(TableHandbook[[#This Row],[UDC]],TableMJRPPWRIT[],7,FALSE),"")</f>
        <v/>
      </c>
      <c r="Q209" s="211" t="str">
        <f>IFERROR(VLOOKUP(TableHandbook[[#This Row],[UDC]],TableMJRPSCRAR[],7,FALSE),"")</f>
        <v/>
      </c>
      <c r="R209" s="213" t="str">
        <f>IFERROR(VLOOKUP(TableHandbook[[#This Row],[UDC]],TableMCMMJRG[],7,FALSE),"")</f>
        <v/>
      </c>
      <c r="S209" s="211" t="str">
        <f>IFERROR(VLOOKUP(TableHandbook[[#This Row],[UDC]],TableMCMMJRN[],7,FALSE),"")</f>
        <v/>
      </c>
      <c r="T209" s="211" t="str">
        <f>IFERROR(VLOOKUP(TableHandbook[[#This Row],[UDC]],TableGDMMJRN[],7,FALSE),"")</f>
        <v/>
      </c>
      <c r="U209" s="211" t="str">
        <f>IFERROR(VLOOKUP(TableHandbook[[#This Row],[UDC]],TableGCMMJRN[],7,FALSE),"")</f>
        <v/>
      </c>
      <c r="V209" s="213" t="str">
        <f>IFERROR(VLOOKUP(TableHandbook[[#This Row],[UDC]],TableMCHRIGLO[],7,FALSE),"")</f>
        <v/>
      </c>
      <c r="W209" s="211" t="str">
        <f>IFERROR(VLOOKUP(TableHandbook[[#This Row],[UDC]],TableMCHRIGHT[],7,FALSE),"")</f>
        <v/>
      </c>
      <c r="X209" s="211" t="str">
        <f>IFERROR(VLOOKUP(TableHandbook[[#This Row],[UDC]],TableGDHRIGHT[],7,FALSE),"")</f>
        <v/>
      </c>
      <c r="Y209" s="211" t="str">
        <f>IFERROR(VLOOKUP(TableHandbook[[#This Row],[UDC]],TableGCHRIGHT[],7,FALSE),"")</f>
        <v/>
      </c>
      <c r="Z209" s="213" t="str">
        <f>IFERROR(VLOOKUP(TableHandbook[[#This Row],[UDC]],TableMCGLOBL2[],7,FALSE),"")</f>
        <v/>
      </c>
      <c r="AA209" s="211" t="str">
        <f>IFERROR(VLOOKUP(TableHandbook[[#This Row],[UDC]],TableMCGLOBL[],7,FALSE),"")</f>
        <v/>
      </c>
      <c r="AB209" s="211" t="str">
        <f>IFERROR(VLOOKUP(TableHandbook[[#This Row],[UDC]],TableSTRPGLOBL[],7,FALSE),"")</f>
        <v/>
      </c>
      <c r="AC209" s="211" t="str">
        <f>IFERROR(VLOOKUP(TableHandbook[[#This Row],[UDC]],TableSTRPHRIGT[],7,FALSE),"")</f>
        <v/>
      </c>
      <c r="AD209" s="211" t="str">
        <f>IFERROR(VLOOKUP(TableHandbook[[#This Row],[UDC]],TableSTRPINTRN[],7,FALSE),"")</f>
        <v/>
      </c>
      <c r="AE209" s="211" t="str">
        <f>IFERROR(VLOOKUP(TableHandbook[[#This Row],[UDC]],TableGCGLOBL[],7,FALSE),"")</f>
        <v/>
      </c>
      <c r="AF209" s="213" t="str">
        <f>IFERROR(VLOOKUP(TableHandbook[[#This Row],[UDC]],TableMCINTREL[],7,FALSE),"")</f>
        <v/>
      </c>
      <c r="AG209" s="211" t="str">
        <f>IFERROR(VLOOKUP(TableHandbook[[#This Row],[UDC]],TableMCINTSEC[],7,FALSE),"")</f>
        <v/>
      </c>
      <c r="AH209" s="211" t="str">
        <f>IFERROR(VLOOKUP(TableHandbook[[#This Row],[UDC]],TableGDINTSEC[],7,FALSE),"")</f>
        <v/>
      </c>
      <c r="AI209" s="211" t="str">
        <f>IFERROR(VLOOKUP(TableHandbook[[#This Row],[UDC]],TableGCINTSEC[],7,FALSE),"")</f>
        <v/>
      </c>
      <c r="AJ209" s="211" t="str">
        <f>IFERROR(VLOOKUP(TableHandbook[[#This Row],[UDC]],TableGCINTELL[],7,FALSE),"")</f>
        <v/>
      </c>
      <c r="AK209" s="211" t="str">
        <f>IFERROR(VLOOKUP(TableHandbook[[#This Row],[UDC]],TableGCIPCSEC[],7,FALSE),"")</f>
        <v/>
      </c>
    </row>
    <row r="210" spans="1:37" x14ac:dyDescent="0.3">
      <c r="A210" s="2" t="s">
        <v>665</v>
      </c>
      <c r="B210" s="3">
        <v>1</v>
      </c>
      <c r="C210" s="3"/>
      <c r="D210" s="209" t="s">
        <v>666</v>
      </c>
      <c r="E210" s="3">
        <v>25</v>
      </c>
      <c r="F210" s="149" t="s">
        <v>108</v>
      </c>
      <c r="G210" s="96" t="str">
        <f>IFERROR(IF(VLOOKUP(TableHandbook[[#This Row],[UDC]],TableAvailabilities[],2,FALSE)&gt;0,"Y",""),"")</f>
        <v/>
      </c>
      <c r="H210" s="96" t="str">
        <f>IFERROR(IF(VLOOKUP(TableHandbook[[#This Row],[UDC]],TableAvailabilities[],3,FALSE)&gt;0,"Y",""),"")</f>
        <v/>
      </c>
      <c r="I210" s="96" t="str">
        <f>IFERROR(IF(VLOOKUP(TableHandbook[[#This Row],[UDC]],TableAvailabilities[],4,FALSE)&gt;0,"Y",""),"")</f>
        <v/>
      </c>
      <c r="J210" s="96" t="str">
        <f>IFERROR(IF(VLOOKUP(TableHandbook[[#This Row],[UDC]],TableAvailabilities[],5,FALSE)&gt;0,"Y",""),"")</f>
        <v/>
      </c>
      <c r="K210" s="209" t="s">
        <v>436</v>
      </c>
      <c r="L210" s="213" t="str">
        <f>IFERROR(VLOOKUP(TableHandbook[[#This Row],[UDC]],TableMCARTS[],7,FALSE),"")</f>
        <v/>
      </c>
      <c r="M210" s="211" t="str">
        <f>IFERROR(VLOOKUP(TableHandbook[[#This Row],[UDC]],TableMJRPCWRIT[],7,FALSE),"")</f>
        <v/>
      </c>
      <c r="N210" s="211" t="str">
        <f>IFERROR(VLOOKUP(TableHandbook[[#This Row],[UDC]],TableMJRPDGCMS[],7,FALSE),"")</f>
        <v/>
      </c>
      <c r="O210" s="211" t="str">
        <f>IFERROR(VLOOKUP(TableHandbook[[#This Row],[UDC]],TableMJRPFINAR[],7,FALSE),"")</f>
        <v/>
      </c>
      <c r="P210" s="211" t="str">
        <f>IFERROR(VLOOKUP(TableHandbook[[#This Row],[UDC]],TableMJRPPWRIT[],7,FALSE),"")</f>
        <v/>
      </c>
      <c r="Q210" s="211" t="str">
        <f>IFERROR(VLOOKUP(TableHandbook[[#This Row],[UDC]],TableMJRPSCRAR[],7,FALSE),"")</f>
        <v/>
      </c>
      <c r="R210" s="213" t="str">
        <f>IFERROR(VLOOKUP(TableHandbook[[#This Row],[UDC]],TableMCMMJRG[],7,FALSE),"")</f>
        <v/>
      </c>
      <c r="S210" s="211" t="str">
        <f>IFERROR(VLOOKUP(TableHandbook[[#This Row],[UDC]],TableMCMMJRN[],7,FALSE),"")</f>
        <v/>
      </c>
      <c r="T210" s="211" t="str">
        <f>IFERROR(VLOOKUP(TableHandbook[[#This Row],[UDC]],TableGDMMJRN[],7,FALSE),"")</f>
        <v/>
      </c>
      <c r="U210" s="211" t="str">
        <f>IFERROR(VLOOKUP(TableHandbook[[#This Row],[UDC]],TableGCMMJRN[],7,FALSE),"")</f>
        <v/>
      </c>
      <c r="V210" s="213" t="str">
        <f>IFERROR(VLOOKUP(TableHandbook[[#This Row],[UDC]],TableMCHRIGLO[],7,FALSE),"")</f>
        <v/>
      </c>
      <c r="W210" s="211" t="str">
        <f>IFERROR(VLOOKUP(TableHandbook[[#This Row],[UDC]],TableMCHRIGHT[],7,FALSE),"")</f>
        <v/>
      </c>
      <c r="X210" s="211" t="str">
        <f>IFERROR(VLOOKUP(TableHandbook[[#This Row],[UDC]],TableGDHRIGHT[],7,FALSE),"")</f>
        <v/>
      </c>
      <c r="Y210" s="211" t="str">
        <f>IFERROR(VLOOKUP(TableHandbook[[#This Row],[UDC]],TableGCHRIGHT[],7,FALSE),"")</f>
        <v/>
      </c>
      <c r="Z210" s="213" t="str">
        <f>IFERROR(VLOOKUP(TableHandbook[[#This Row],[UDC]],TableMCGLOBL2[],7,FALSE),"")</f>
        <v/>
      </c>
      <c r="AA210" s="211" t="str">
        <f>IFERROR(VLOOKUP(TableHandbook[[#This Row],[UDC]],TableMCGLOBL[],7,FALSE),"")</f>
        <v/>
      </c>
      <c r="AB210" s="211" t="str">
        <f>IFERROR(VLOOKUP(TableHandbook[[#This Row],[UDC]],TableSTRPGLOBL[],7,FALSE),"")</f>
        <v/>
      </c>
      <c r="AC210" s="211" t="str">
        <f>IFERROR(VLOOKUP(TableHandbook[[#This Row],[UDC]],TableSTRPHRIGT[],7,FALSE),"")</f>
        <v/>
      </c>
      <c r="AD210" s="211" t="str">
        <f>IFERROR(VLOOKUP(TableHandbook[[#This Row],[UDC]],TableSTRPINTRN[],7,FALSE),"")</f>
        <v/>
      </c>
      <c r="AE210" s="211" t="str">
        <f>IFERROR(VLOOKUP(TableHandbook[[#This Row],[UDC]],TableGCGLOBL[],7,FALSE),"")</f>
        <v/>
      </c>
      <c r="AF210" s="213" t="str">
        <f>IFERROR(VLOOKUP(TableHandbook[[#This Row],[UDC]],TableMCINTREL[],7,FALSE),"")</f>
        <v/>
      </c>
      <c r="AG210" s="211" t="str">
        <f>IFERROR(VLOOKUP(TableHandbook[[#This Row],[UDC]],TableMCINTSEC[],7,FALSE),"")</f>
        <v/>
      </c>
      <c r="AH210" s="211" t="str">
        <f>IFERROR(VLOOKUP(TableHandbook[[#This Row],[UDC]],TableGDINTSEC[],7,FALSE),"")</f>
        <v/>
      </c>
      <c r="AI210" s="211" t="str">
        <f>IFERROR(VLOOKUP(TableHandbook[[#This Row],[UDC]],TableGCINTSEC[],7,FALSE),"")</f>
        <v/>
      </c>
      <c r="AJ210" s="211" t="str">
        <f>IFERROR(VLOOKUP(TableHandbook[[#This Row],[UDC]],TableGCINTELL[],7,FALSE),"")</f>
        <v/>
      </c>
      <c r="AK210" s="211" t="str">
        <f>IFERROR(VLOOKUP(TableHandbook[[#This Row],[UDC]],TableGCIPCSEC[],7,FALSE),"")</f>
        <v/>
      </c>
    </row>
    <row r="211" spans="1:37" x14ac:dyDescent="0.3">
      <c r="A211" s="231" t="s">
        <v>163</v>
      </c>
      <c r="B211" s="3">
        <v>2</v>
      </c>
      <c r="C211" s="3"/>
      <c r="D211" s="209" t="s">
        <v>667</v>
      </c>
      <c r="E211" s="3">
        <v>25</v>
      </c>
      <c r="F211" s="245" t="s">
        <v>108</v>
      </c>
      <c r="G211" s="96" t="str">
        <f>IFERROR(IF(VLOOKUP(TableHandbook[[#This Row],[UDC]],TableAvailabilities[],2,FALSE)&gt;0,"Y",""),"")</f>
        <v/>
      </c>
      <c r="H211" s="96" t="str">
        <f>IFERROR(IF(VLOOKUP(TableHandbook[[#This Row],[UDC]],TableAvailabilities[],3,FALSE)&gt;0,"Y",""),"")</f>
        <v/>
      </c>
      <c r="I211" s="96" t="str">
        <f>IFERROR(IF(VLOOKUP(TableHandbook[[#This Row],[UDC]],TableAvailabilities[],4,FALSE)&gt;0,"Y",""),"")</f>
        <v>Y</v>
      </c>
      <c r="J211" s="96" t="str">
        <f>IFERROR(IF(VLOOKUP(TableHandbook[[#This Row],[UDC]],TableAvailabilities[],5,FALSE)&gt;0,"Y",""),"")</f>
        <v/>
      </c>
      <c r="K211" s="209" t="s">
        <v>433</v>
      </c>
      <c r="L211" s="213" t="str">
        <f>IFERROR(VLOOKUP(TableHandbook[[#This Row],[UDC]],TableMCARTS[],7,FALSE),"")</f>
        <v/>
      </c>
      <c r="M211" s="211" t="str">
        <f>IFERROR(VLOOKUP(TableHandbook[[#This Row],[UDC]],TableMJRPCWRIT[],7,FALSE),"")</f>
        <v/>
      </c>
      <c r="N211" s="211" t="str">
        <f>IFERROR(VLOOKUP(TableHandbook[[#This Row],[UDC]],TableMJRPDGCMS[],7,FALSE),"")</f>
        <v/>
      </c>
      <c r="O211" s="211" t="str">
        <f>IFERROR(VLOOKUP(TableHandbook[[#This Row],[UDC]],TableMJRPFINAR[],7,FALSE),"")</f>
        <v>AltCore</v>
      </c>
      <c r="P211" s="211" t="str">
        <f>IFERROR(VLOOKUP(TableHandbook[[#This Row],[UDC]],TableMJRPPWRIT[],7,FALSE),"")</f>
        <v/>
      </c>
      <c r="Q211" s="211" t="str">
        <f>IFERROR(VLOOKUP(TableHandbook[[#This Row],[UDC]],TableMJRPSCRAR[],7,FALSE),"")</f>
        <v/>
      </c>
      <c r="R211" s="213" t="str">
        <f>IFERROR(VLOOKUP(TableHandbook[[#This Row],[UDC]],TableMCMMJRG[],7,FALSE),"")</f>
        <v/>
      </c>
      <c r="S211" s="211" t="str">
        <f>IFERROR(VLOOKUP(TableHandbook[[#This Row],[UDC]],TableMCMMJRN[],7,FALSE),"")</f>
        <v/>
      </c>
      <c r="T211" s="211" t="str">
        <f>IFERROR(VLOOKUP(TableHandbook[[#This Row],[UDC]],TableGDMMJRN[],7,FALSE),"")</f>
        <v/>
      </c>
      <c r="U211" s="211" t="str">
        <f>IFERROR(VLOOKUP(TableHandbook[[#This Row],[UDC]],TableGCMMJRN[],7,FALSE),"")</f>
        <v/>
      </c>
      <c r="V211" s="213" t="str">
        <f>IFERROR(VLOOKUP(TableHandbook[[#This Row],[UDC]],TableMCHRIGLO[],7,FALSE),"")</f>
        <v/>
      </c>
      <c r="W211" s="211" t="str">
        <f>IFERROR(VLOOKUP(TableHandbook[[#This Row],[UDC]],TableMCHRIGHT[],7,FALSE),"")</f>
        <v/>
      </c>
      <c r="X211" s="211" t="str">
        <f>IFERROR(VLOOKUP(TableHandbook[[#This Row],[UDC]],TableGDHRIGHT[],7,FALSE),"")</f>
        <v/>
      </c>
      <c r="Y211" s="211" t="str">
        <f>IFERROR(VLOOKUP(TableHandbook[[#This Row],[UDC]],TableGCHRIGHT[],7,FALSE),"")</f>
        <v/>
      </c>
      <c r="Z211" s="213" t="str">
        <f>IFERROR(VLOOKUP(TableHandbook[[#This Row],[UDC]],TableMCGLOBL2[],7,FALSE),"")</f>
        <v/>
      </c>
      <c r="AA211" s="211" t="str">
        <f>IFERROR(VLOOKUP(TableHandbook[[#This Row],[UDC]],TableMCGLOBL[],7,FALSE),"")</f>
        <v/>
      </c>
      <c r="AB211" s="211" t="str">
        <f>IFERROR(VLOOKUP(TableHandbook[[#This Row],[UDC]],TableSTRPGLOBL[],7,FALSE),"")</f>
        <v/>
      </c>
      <c r="AC211" s="211" t="str">
        <f>IFERROR(VLOOKUP(TableHandbook[[#This Row],[UDC]],TableSTRPHRIGT[],7,FALSE),"")</f>
        <v/>
      </c>
      <c r="AD211" s="211" t="str">
        <f>IFERROR(VLOOKUP(TableHandbook[[#This Row],[UDC]],TableSTRPINTRN[],7,FALSE),"")</f>
        <v/>
      </c>
      <c r="AE211" s="211" t="str">
        <f>IFERROR(VLOOKUP(TableHandbook[[#This Row],[UDC]],TableGCGLOBL[],7,FALSE),"")</f>
        <v/>
      </c>
      <c r="AF211" s="213" t="str">
        <f>IFERROR(VLOOKUP(TableHandbook[[#This Row],[UDC]],TableMCINTREL[],7,FALSE),"")</f>
        <v/>
      </c>
      <c r="AG211" s="211" t="str">
        <f>IFERROR(VLOOKUP(TableHandbook[[#This Row],[UDC]],TableMCINTSEC[],7,FALSE),"")</f>
        <v/>
      </c>
      <c r="AH211" s="211" t="str">
        <f>IFERROR(VLOOKUP(TableHandbook[[#This Row],[UDC]],TableGDINTSEC[],7,FALSE),"")</f>
        <v/>
      </c>
      <c r="AI211" s="211" t="str">
        <f>IFERROR(VLOOKUP(TableHandbook[[#This Row],[UDC]],TableGCINTSEC[],7,FALSE),"")</f>
        <v/>
      </c>
      <c r="AJ211" s="211" t="str">
        <f>IFERROR(VLOOKUP(TableHandbook[[#This Row],[UDC]],TableGCINTELL[],7,FALSE),"")</f>
        <v/>
      </c>
      <c r="AK211" s="211" t="str">
        <f>IFERROR(VLOOKUP(TableHandbook[[#This Row],[UDC]],TableGCIPCSEC[],7,FALSE),"")</f>
        <v/>
      </c>
    </row>
    <row r="212" spans="1:37" x14ac:dyDescent="0.3">
      <c r="A212" s="2" t="s">
        <v>668</v>
      </c>
      <c r="B212" s="3">
        <v>1</v>
      </c>
      <c r="C212" s="3"/>
      <c r="D212" s="209" t="s">
        <v>669</v>
      </c>
      <c r="E212" s="3">
        <v>25</v>
      </c>
      <c r="F212" s="149" t="s">
        <v>108</v>
      </c>
      <c r="G212" s="96" t="str">
        <f>IFERROR(IF(VLOOKUP(TableHandbook[[#This Row],[UDC]],TableAvailabilities[],2,FALSE)&gt;0,"Y",""),"")</f>
        <v/>
      </c>
      <c r="H212" s="96" t="str">
        <f>IFERROR(IF(VLOOKUP(TableHandbook[[#This Row],[UDC]],TableAvailabilities[],3,FALSE)&gt;0,"Y",""),"")</f>
        <v/>
      </c>
      <c r="I212" s="96" t="str">
        <f>IFERROR(IF(VLOOKUP(TableHandbook[[#This Row],[UDC]],TableAvailabilities[],4,FALSE)&gt;0,"Y",""),"")</f>
        <v/>
      </c>
      <c r="J212" s="96" t="str">
        <f>IFERROR(IF(VLOOKUP(TableHandbook[[#This Row],[UDC]],TableAvailabilities[],5,FALSE)&gt;0,"Y",""),"")</f>
        <v/>
      </c>
      <c r="K212" s="209" t="s">
        <v>436</v>
      </c>
      <c r="L212" s="213" t="str">
        <f>IFERROR(VLOOKUP(TableHandbook[[#This Row],[UDC]],TableMCARTS[],7,FALSE),"")</f>
        <v/>
      </c>
      <c r="M212" s="211" t="str">
        <f>IFERROR(VLOOKUP(TableHandbook[[#This Row],[UDC]],TableMJRPCWRIT[],7,FALSE),"")</f>
        <v/>
      </c>
      <c r="N212" s="211" t="str">
        <f>IFERROR(VLOOKUP(TableHandbook[[#This Row],[UDC]],TableMJRPDGCMS[],7,FALSE),"")</f>
        <v/>
      </c>
      <c r="O212" s="211" t="str">
        <f>IFERROR(VLOOKUP(TableHandbook[[#This Row],[UDC]],TableMJRPFINAR[],7,FALSE),"")</f>
        <v/>
      </c>
      <c r="P212" s="211" t="str">
        <f>IFERROR(VLOOKUP(TableHandbook[[#This Row],[UDC]],TableMJRPPWRIT[],7,FALSE),"")</f>
        <v/>
      </c>
      <c r="Q212" s="211" t="str">
        <f>IFERROR(VLOOKUP(TableHandbook[[#This Row],[UDC]],TableMJRPSCRAR[],7,FALSE),"")</f>
        <v/>
      </c>
      <c r="R212" s="213" t="str">
        <f>IFERROR(VLOOKUP(TableHandbook[[#This Row],[UDC]],TableMCMMJRG[],7,FALSE),"")</f>
        <v/>
      </c>
      <c r="S212" s="211" t="str">
        <f>IFERROR(VLOOKUP(TableHandbook[[#This Row],[UDC]],TableMCMMJRN[],7,FALSE),"")</f>
        <v/>
      </c>
      <c r="T212" s="211" t="str">
        <f>IFERROR(VLOOKUP(TableHandbook[[#This Row],[UDC]],TableGDMMJRN[],7,FALSE),"")</f>
        <v/>
      </c>
      <c r="U212" s="211" t="str">
        <f>IFERROR(VLOOKUP(TableHandbook[[#This Row],[UDC]],TableGCMMJRN[],7,FALSE),"")</f>
        <v/>
      </c>
      <c r="V212" s="213" t="str">
        <f>IFERROR(VLOOKUP(TableHandbook[[#This Row],[UDC]],TableMCHRIGLO[],7,FALSE),"")</f>
        <v/>
      </c>
      <c r="W212" s="211" t="str">
        <f>IFERROR(VLOOKUP(TableHandbook[[#This Row],[UDC]],TableMCHRIGHT[],7,FALSE),"")</f>
        <v/>
      </c>
      <c r="X212" s="211" t="str">
        <f>IFERROR(VLOOKUP(TableHandbook[[#This Row],[UDC]],TableGDHRIGHT[],7,FALSE),"")</f>
        <v/>
      </c>
      <c r="Y212" s="211" t="str">
        <f>IFERROR(VLOOKUP(TableHandbook[[#This Row],[UDC]],TableGCHRIGHT[],7,FALSE),"")</f>
        <v/>
      </c>
      <c r="Z212" s="213" t="str">
        <f>IFERROR(VLOOKUP(TableHandbook[[#This Row],[UDC]],TableMCGLOBL2[],7,FALSE),"")</f>
        <v/>
      </c>
      <c r="AA212" s="211" t="str">
        <f>IFERROR(VLOOKUP(TableHandbook[[#This Row],[UDC]],TableMCGLOBL[],7,FALSE),"")</f>
        <v/>
      </c>
      <c r="AB212" s="211" t="str">
        <f>IFERROR(VLOOKUP(TableHandbook[[#This Row],[UDC]],TableSTRPGLOBL[],7,FALSE),"")</f>
        <v/>
      </c>
      <c r="AC212" s="211" t="str">
        <f>IFERROR(VLOOKUP(TableHandbook[[#This Row],[UDC]],TableSTRPHRIGT[],7,FALSE),"")</f>
        <v/>
      </c>
      <c r="AD212" s="211" t="str">
        <f>IFERROR(VLOOKUP(TableHandbook[[#This Row],[UDC]],TableSTRPINTRN[],7,FALSE),"")</f>
        <v/>
      </c>
      <c r="AE212" s="211" t="str">
        <f>IFERROR(VLOOKUP(TableHandbook[[#This Row],[UDC]],TableGCGLOBL[],7,FALSE),"")</f>
        <v/>
      </c>
      <c r="AF212" s="213" t="str">
        <f>IFERROR(VLOOKUP(TableHandbook[[#This Row],[UDC]],TableMCINTREL[],7,FALSE),"")</f>
        <v/>
      </c>
      <c r="AG212" s="211" t="str">
        <f>IFERROR(VLOOKUP(TableHandbook[[#This Row],[UDC]],TableMCINTSEC[],7,FALSE),"")</f>
        <v/>
      </c>
      <c r="AH212" s="211" t="str">
        <f>IFERROR(VLOOKUP(TableHandbook[[#This Row],[UDC]],TableGDINTSEC[],7,FALSE),"")</f>
        <v/>
      </c>
      <c r="AI212" s="211" t="str">
        <f>IFERROR(VLOOKUP(TableHandbook[[#This Row],[UDC]],TableGCINTSEC[],7,FALSE),"")</f>
        <v/>
      </c>
      <c r="AJ212" s="211" t="str">
        <f>IFERROR(VLOOKUP(TableHandbook[[#This Row],[UDC]],TableGCINTELL[],7,FALSE),"")</f>
        <v/>
      </c>
      <c r="AK212" s="211" t="str">
        <f>IFERROR(VLOOKUP(TableHandbook[[#This Row],[UDC]],TableGCIPCSEC[],7,FALSE),"")</f>
        <v/>
      </c>
    </row>
    <row r="213" spans="1:37" x14ac:dyDescent="0.3">
      <c r="A213" s="231" t="s">
        <v>191</v>
      </c>
      <c r="B213" s="3">
        <v>2</v>
      </c>
      <c r="C213" s="3"/>
      <c r="D213" s="209" t="s">
        <v>670</v>
      </c>
      <c r="E213" s="3">
        <v>25</v>
      </c>
      <c r="F213" s="245" t="s">
        <v>108</v>
      </c>
      <c r="G213" s="96" t="str">
        <f>IFERROR(IF(VLOOKUP(TableHandbook[[#This Row],[UDC]],TableAvailabilities[],2,FALSE)&gt;0,"Y",""),"")</f>
        <v/>
      </c>
      <c r="H213" s="96" t="str">
        <f>IFERROR(IF(VLOOKUP(TableHandbook[[#This Row],[UDC]],TableAvailabilities[],3,FALSE)&gt;0,"Y",""),"")</f>
        <v/>
      </c>
      <c r="I213" s="96" t="str">
        <f>IFERROR(IF(VLOOKUP(TableHandbook[[#This Row],[UDC]],TableAvailabilities[],4,FALSE)&gt;0,"Y",""),"")</f>
        <v>Y</v>
      </c>
      <c r="J213" s="96" t="str">
        <f>IFERROR(IF(VLOOKUP(TableHandbook[[#This Row],[UDC]],TableAvailabilities[],5,FALSE)&gt;0,"Y",""),"")</f>
        <v/>
      </c>
      <c r="K213" s="209" t="s">
        <v>433</v>
      </c>
      <c r="L213" s="213" t="str">
        <f>IFERROR(VLOOKUP(TableHandbook[[#This Row],[UDC]],TableMCARTS[],7,FALSE),"")</f>
        <v/>
      </c>
      <c r="M213" s="211" t="str">
        <f>IFERROR(VLOOKUP(TableHandbook[[#This Row],[UDC]],TableMJRPCWRIT[],7,FALSE),"")</f>
        <v/>
      </c>
      <c r="N213" s="211" t="str">
        <f>IFERROR(VLOOKUP(TableHandbook[[#This Row],[UDC]],TableMJRPDGCMS[],7,FALSE),"")</f>
        <v/>
      </c>
      <c r="O213" s="211" t="str">
        <f>IFERROR(VLOOKUP(TableHandbook[[#This Row],[UDC]],TableMJRPFINAR[],7,FALSE),"")</f>
        <v>Option</v>
      </c>
      <c r="P213" s="211" t="str">
        <f>IFERROR(VLOOKUP(TableHandbook[[#This Row],[UDC]],TableMJRPPWRIT[],7,FALSE),"")</f>
        <v/>
      </c>
      <c r="Q213" s="211" t="str">
        <f>IFERROR(VLOOKUP(TableHandbook[[#This Row],[UDC]],TableMJRPSCRAR[],7,FALSE),"")</f>
        <v/>
      </c>
      <c r="R213" s="213" t="str">
        <f>IFERROR(VLOOKUP(TableHandbook[[#This Row],[UDC]],TableMCMMJRG[],7,FALSE),"")</f>
        <v/>
      </c>
      <c r="S213" s="211" t="str">
        <f>IFERROR(VLOOKUP(TableHandbook[[#This Row],[UDC]],TableMCMMJRN[],7,FALSE),"")</f>
        <v/>
      </c>
      <c r="T213" s="211" t="str">
        <f>IFERROR(VLOOKUP(TableHandbook[[#This Row],[UDC]],TableGDMMJRN[],7,FALSE),"")</f>
        <v/>
      </c>
      <c r="U213" s="211" t="str">
        <f>IFERROR(VLOOKUP(TableHandbook[[#This Row],[UDC]],TableGCMMJRN[],7,FALSE),"")</f>
        <v/>
      </c>
      <c r="V213" s="213" t="str">
        <f>IFERROR(VLOOKUP(TableHandbook[[#This Row],[UDC]],TableMCHRIGLO[],7,FALSE),"")</f>
        <v/>
      </c>
      <c r="W213" s="211" t="str">
        <f>IFERROR(VLOOKUP(TableHandbook[[#This Row],[UDC]],TableMCHRIGHT[],7,FALSE),"")</f>
        <v/>
      </c>
      <c r="X213" s="211" t="str">
        <f>IFERROR(VLOOKUP(TableHandbook[[#This Row],[UDC]],TableGDHRIGHT[],7,FALSE),"")</f>
        <v/>
      </c>
      <c r="Y213" s="211" t="str">
        <f>IFERROR(VLOOKUP(TableHandbook[[#This Row],[UDC]],TableGCHRIGHT[],7,FALSE),"")</f>
        <v/>
      </c>
      <c r="Z213" s="213" t="str">
        <f>IFERROR(VLOOKUP(TableHandbook[[#This Row],[UDC]],TableMCGLOBL2[],7,FALSE),"")</f>
        <v/>
      </c>
      <c r="AA213" s="211" t="str">
        <f>IFERROR(VLOOKUP(TableHandbook[[#This Row],[UDC]],TableMCGLOBL[],7,FALSE),"")</f>
        <v/>
      </c>
      <c r="AB213" s="211" t="str">
        <f>IFERROR(VLOOKUP(TableHandbook[[#This Row],[UDC]],TableSTRPGLOBL[],7,FALSE),"")</f>
        <v/>
      </c>
      <c r="AC213" s="211" t="str">
        <f>IFERROR(VLOOKUP(TableHandbook[[#This Row],[UDC]],TableSTRPHRIGT[],7,FALSE),"")</f>
        <v/>
      </c>
      <c r="AD213" s="211" t="str">
        <f>IFERROR(VLOOKUP(TableHandbook[[#This Row],[UDC]],TableSTRPINTRN[],7,FALSE),"")</f>
        <v/>
      </c>
      <c r="AE213" s="211" t="str">
        <f>IFERROR(VLOOKUP(TableHandbook[[#This Row],[UDC]],TableGCGLOBL[],7,FALSE),"")</f>
        <v/>
      </c>
      <c r="AF213" s="213" t="str">
        <f>IFERROR(VLOOKUP(TableHandbook[[#This Row],[UDC]],TableMCINTREL[],7,FALSE),"")</f>
        <v/>
      </c>
      <c r="AG213" s="211" t="str">
        <f>IFERROR(VLOOKUP(TableHandbook[[#This Row],[UDC]],TableMCINTSEC[],7,FALSE),"")</f>
        <v/>
      </c>
      <c r="AH213" s="211" t="str">
        <f>IFERROR(VLOOKUP(TableHandbook[[#This Row],[UDC]],TableGDINTSEC[],7,FALSE),"")</f>
        <v/>
      </c>
      <c r="AI213" s="211" t="str">
        <f>IFERROR(VLOOKUP(TableHandbook[[#This Row],[UDC]],TableGCINTSEC[],7,FALSE),"")</f>
        <v/>
      </c>
      <c r="AJ213" s="211" t="str">
        <f>IFERROR(VLOOKUP(TableHandbook[[#This Row],[UDC]],TableGCINTELL[],7,FALSE),"")</f>
        <v/>
      </c>
      <c r="AK213" s="211" t="str">
        <f>IFERROR(VLOOKUP(TableHandbook[[#This Row],[UDC]],TableGCIPCSEC[],7,FALSE),"")</f>
        <v/>
      </c>
    </row>
    <row r="214" spans="1:37" x14ac:dyDescent="0.3">
      <c r="A214" s="2" t="s">
        <v>671</v>
      </c>
      <c r="B214" s="3">
        <v>1</v>
      </c>
      <c r="C214" s="3"/>
      <c r="D214" s="209" t="s">
        <v>672</v>
      </c>
      <c r="E214" s="3">
        <v>25</v>
      </c>
      <c r="F214" s="149" t="s">
        <v>108</v>
      </c>
      <c r="G214" s="96" t="str">
        <f>IFERROR(IF(VLOOKUP(TableHandbook[[#This Row],[UDC]],TableAvailabilities[],2,FALSE)&gt;0,"Y",""),"")</f>
        <v/>
      </c>
      <c r="H214" s="96" t="str">
        <f>IFERROR(IF(VLOOKUP(TableHandbook[[#This Row],[UDC]],TableAvailabilities[],3,FALSE)&gt;0,"Y",""),"")</f>
        <v/>
      </c>
      <c r="I214" s="96" t="str">
        <f>IFERROR(IF(VLOOKUP(TableHandbook[[#This Row],[UDC]],TableAvailabilities[],4,FALSE)&gt;0,"Y",""),"")</f>
        <v/>
      </c>
      <c r="J214" s="96" t="str">
        <f>IFERROR(IF(VLOOKUP(TableHandbook[[#This Row],[UDC]],TableAvailabilities[],5,FALSE)&gt;0,"Y",""),"")</f>
        <v/>
      </c>
      <c r="K214" s="209" t="s">
        <v>436</v>
      </c>
      <c r="L214" s="213" t="str">
        <f>IFERROR(VLOOKUP(TableHandbook[[#This Row],[UDC]],TableMCARTS[],7,FALSE),"")</f>
        <v/>
      </c>
      <c r="M214" s="211" t="str">
        <f>IFERROR(VLOOKUP(TableHandbook[[#This Row],[UDC]],TableMJRPCWRIT[],7,FALSE),"")</f>
        <v/>
      </c>
      <c r="N214" s="211" t="str">
        <f>IFERROR(VLOOKUP(TableHandbook[[#This Row],[UDC]],TableMJRPDGCMS[],7,FALSE),"")</f>
        <v/>
      </c>
      <c r="O214" s="211" t="str">
        <f>IFERROR(VLOOKUP(TableHandbook[[#This Row],[UDC]],TableMJRPFINAR[],7,FALSE),"")</f>
        <v/>
      </c>
      <c r="P214" s="211" t="str">
        <f>IFERROR(VLOOKUP(TableHandbook[[#This Row],[UDC]],TableMJRPPWRIT[],7,FALSE),"")</f>
        <v/>
      </c>
      <c r="Q214" s="211" t="str">
        <f>IFERROR(VLOOKUP(TableHandbook[[#This Row],[UDC]],TableMJRPSCRAR[],7,FALSE),"")</f>
        <v/>
      </c>
      <c r="R214" s="213" t="str">
        <f>IFERROR(VLOOKUP(TableHandbook[[#This Row],[UDC]],TableMCMMJRG[],7,FALSE),"")</f>
        <v/>
      </c>
      <c r="S214" s="211" t="str">
        <f>IFERROR(VLOOKUP(TableHandbook[[#This Row],[UDC]],TableMCMMJRN[],7,FALSE),"")</f>
        <v/>
      </c>
      <c r="T214" s="211" t="str">
        <f>IFERROR(VLOOKUP(TableHandbook[[#This Row],[UDC]],TableGDMMJRN[],7,FALSE),"")</f>
        <v/>
      </c>
      <c r="U214" s="211" t="str">
        <f>IFERROR(VLOOKUP(TableHandbook[[#This Row],[UDC]],TableGCMMJRN[],7,FALSE),"")</f>
        <v/>
      </c>
      <c r="V214" s="213" t="str">
        <f>IFERROR(VLOOKUP(TableHandbook[[#This Row],[UDC]],TableMCHRIGLO[],7,FALSE),"")</f>
        <v/>
      </c>
      <c r="W214" s="211" t="str">
        <f>IFERROR(VLOOKUP(TableHandbook[[#This Row],[UDC]],TableMCHRIGHT[],7,FALSE),"")</f>
        <v/>
      </c>
      <c r="X214" s="211" t="str">
        <f>IFERROR(VLOOKUP(TableHandbook[[#This Row],[UDC]],TableGDHRIGHT[],7,FALSE),"")</f>
        <v/>
      </c>
      <c r="Y214" s="211" t="str">
        <f>IFERROR(VLOOKUP(TableHandbook[[#This Row],[UDC]],TableGCHRIGHT[],7,FALSE),"")</f>
        <v/>
      </c>
      <c r="Z214" s="213" t="str">
        <f>IFERROR(VLOOKUP(TableHandbook[[#This Row],[UDC]],TableMCGLOBL2[],7,FALSE),"")</f>
        <v/>
      </c>
      <c r="AA214" s="211" t="str">
        <f>IFERROR(VLOOKUP(TableHandbook[[#This Row],[UDC]],TableMCGLOBL[],7,FALSE),"")</f>
        <v/>
      </c>
      <c r="AB214" s="211" t="str">
        <f>IFERROR(VLOOKUP(TableHandbook[[#This Row],[UDC]],TableSTRPGLOBL[],7,FALSE),"")</f>
        <v/>
      </c>
      <c r="AC214" s="211" t="str">
        <f>IFERROR(VLOOKUP(TableHandbook[[#This Row],[UDC]],TableSTRPHRIGT[],7,FALSE),"")</f>
        <v/>
      </c>
      <c r="AD214" s="211" t="str">
        <f>IFERROR(VLOOKUP(TableHandbook[[#This Row],[UDC]],TableSTRPINTRN[],7,FALSE),"")</f>
        <v/>
      </c>
      <c r="AE214" s="211" t="str">
        <f>IFERROR(VLOOKUP(TableHandbook[[#This Row],[UDC]],TableGCGLOBL[],7,FALSE),"")</f>
        <v/>
      </c>
      <c r="AF214" s="213" t="str">
        <f>IFERROR(VLOOKUP(TableHandbook[[#This Row],[UDC]],TableMCINTREL[],7,FALSE),"")</f>
        <v/>
      </c>
      <c r="AG214" s="211" t="str">
        <f>IFERROR(VLOOKUP(TableHandbook[[#This Row],[UDC]],TableMCINTSEC[],7,FALSE),"")</f>
        <v/>
      </c>
      <c r="AH214" s="211" t="str">
        <f>IFERROR(VLOOKUP(TableHandbook[[#This Row],[UDC]],TableGDINTSEC[],7,FALSE),"")</f>
        <v/>
      </c>
      <c r="AI214" s="211" t="str">
        <f>IFERROR(VLOOKUP(TableHandbook[[#This Row],[UDC]],TableGCINTSEC[],7,FALSE),"")</f>
        <v/>
      </c>
      <c r="AJ214" s="211" t="str">
        <f>IFERROR(VLOOKUP(TableHandbook[[#This Row],[UDC]],TableGCINTELL[],7,FALSE),"")</f>
        <v/>
      </c>
      <c r="AK214" s="211" t="str">
        <f>IFERROR(VLOOKUP(TableHandbook[[#This Row],[UDC]],TableGCIPCSEC[],7,FALSE),"")</f>
        <v/>
      </c>
    </row>
    <row r="215" spans="1:37" x14ac:dyDescent="0.3">
      <c r="A215" s="231" t="s">
        <v>197</v>
      </c>
      <c r="B215" s="3">
        <v>2</v>
      </c>
      <c r="C215" s="3"/>
      <c r="D215" s="209" t="s">
        <v>673</v>
      </c>
      <c r="E215" s="3">
        <v>25</v>
      </c>
      <c r="F215" s="245" t="s">
        <v>108</v>
      </c>
      <c r="G215" s="96" t="str">
        <f>IFERROR(IF(VLOOKUP(TableHandbook[[#This Row],[UDC]],TableAvailabilities[],2,FALSE)&gt;0,"Y",""),"")</f>
        <v/>
      </c>
      <c r="H215" s="96" t="str">
        <f>IFERROR(IF(VLOOKUP(TableHandbook[[#This Row],[UDC]],TableAvailabilities[],3,FALSE)&gt;0,"Y",""),"")</f>
        <v/>
      </c>
      <c r="I215" s="96" t="str">
        <f>IFERROR(IF(VLOOKUP(TableHandbook[[#This Row],[UDC]],TableAvailabilities[],4,FALSE)&gt;0,"Y",""),"")</f>
        <v>Y</v>
      </c>
      <c r="J215" s="96" t="str">
        <f>IFERROR(IF(VLOOKUP(TableHandbook[[#This Row],[UDC]],TableAvailabilities[],5,FALSE)&gt;0,"Y",""),"")</f>
        <v/>
      </c>
      <c r="K215" s="209" t="s">
        <v>433</v>
      </c>
      <c r="L215" s="213" t="str">
        <f>IFERROR(VLOOKUP(TableHandbook[[#This Row],[UDC]],TableMCARTS[],7,FALSE),"")</f>
        <v/>
      </c>
      <c r="M215" s="211" t="str">
        <f>IFERROR(VLOOKUP(TableHandbook[[#This Row],[UDC]],TableMJRPCWRIT[],7,FALSE),"")</f>
        <v/>
      </c>
      <c r="N215" s="211" t="str">
        <f>IFERROR(VLOOKUP(TableHandbook[[#This Row],[UDC]],TableMJRPDGCMS[],7,FALSE),"")</f>
        <v/>
      </c>
      <c r="O215" s="211" t="str">
        <f>IFERROR(VLOOKUP(TableHandbook[[#This Row],[UDC]],TableMJRPFINAR[],7,FALSE),"")</f>
        <v>Option</v>
      </c>
      <c r="P215" s="211" t="str">
        <f>IFERROR(VLOOKUP(TableHandbook[[#This Row],[UDC]],TableMJRPPWRIT[],7,FALSE),"")</f>
        <v/>
      </c>
      <c r="Q215" s="211" t="str">
        <f>IFERROR(VLOOKUP(TableHandbook[[#This Row],[UDC]],TableMJRPSCRAR[],7,FALSE),"")</f>
        <v/>
      </c>
      <c r="R215" s="213" t="str">
        <f>IFERROR(VLOOKUP(TableHandbook[[#This Row],[UDC]],TableMCMMJRG[],7,FALSE),"")</f>
        <v/>
      </c>
      <c r="S215" s="211" t="str">
        <f>IFERROR(VLOOKUP(TableHandbook[[#This Row],[UDC]],TableMCMMJRN[],7,FALSE),"")</f>
        <v/>
      </c>
      <c r="T215" s="211" t="str">
        <f>IFERROR(VLOOKUP(TableHandbook[[#This Row],[UDC]],TableGDMMJRN[],7,FALSE),"")</f>
        <v/>
      </c>
      <c r="U215" s="211" t="str">
        <f>IFERROR(VLOOKUP(TableHandbook[[#This Row],[UDC]],TableGCMMJRN[],7,FALSE),"")</f>
        <v/>
      </c>
      <c r="V215" s="213" t="str">
        <f>IFERROR(VLOOKUP(TableHandbook[[#This Row],[UDC]],TableMCHRIGLO[],7,FALSE),"")</f>
        <v/>
      </c>
      <c r="W215" s="211" t="str">
        <f>IFERROR(VLOOKUP(TableHandbook[[#This Row],[UDC]],TableMCHRIGHT[],7,FALSE),"")</f>
        <v/>
      </c>
      <c r="X215" s="211" t="str">
        <f>IFERROR(VLOOKUP(TableHandbook[[#This Row],[UDC]],TableGDHRIGHT[],7,FALSE),"")</f>
        <v/>
      </c>
      <c r="Y215" s="211" t="str">
        <f>IFERROR(VLOOKUP(TableHandbook[[#This Row],[UDC]],TableGCHRIGHT[],7,FALSE),"")</f>
        <v/>
      </c>
      <c r="Z215" s="213" t="str">
        <f>IFERROR(VLOOKUP(TableHandbook[[#This Row],[UDC]],TableMCGLOBL2[],7,FALSE),"")</f>
        <v/>
      </c>
      <c r="AA215" s="211" t="str">
        <f>IFERROR(VLOOKUP(TableHandbook[[#This Row],[UDC]],TableMCGLOBL[],7,FALSE),"")</f>
        <v/>
      </c>
      <c r="AB215" s="211" t="str">
        <f>IFERROR(VLOOKUP(TableHandbook[[#This Row],[UDC]],TableSTRPGLOBL[],7,FALSE),"")</f>
        <v/>
      </c>
      <c r="AC215" s="211" t="str">
        <f>IFERROR(VLOOKUP(TableHandbook[[#This Row],[UDC]],TableSTRPHRIGT[],7,FALSE),"")</f>
        <v/>
      </c>
      <c r="AD215" s="211" t="str">
        <f>IFERROR(VLOOKUP(TableHandbook[[#This Row],[UDC]],TableSTRPINTRN[],7,FALSE),"")</f>
        <v/>
      </c>
      <c r="AE215" s="211" t="str">
        <f>IFERROR(VLOOKUP(TableHandbook[[#This Row],[UDC]],TableGCGLOBL[],7,FALSE),"")</f>
        <v/>
      </c>
      <c r="AF215" s="213" t="str">
        <f>IFERROR(VLOOKUP(TableHandbook[[#This Row],[UDC]],TableMCINTREL[],7,FALSE),"")</f>
        <v/>
      </c>
      <c r="AG215" s="211" t="str">
        <f>IFERROR(VLOOKUP(TableHandbook[[#This Row],[UDC]],TableMCINTSEC[],7,FALSE),"")</f>
        <v/>
      </c>
      <c r="AH215" s="211" t="str">
        <f>IFERROR(VLOOKUP(TableHandbook[[#This Row],[UDC]],TableGDINTSEC[],7,FALSE),"")</f>
        <v/>
      </c>
      <c r="AI215" s="211" t="str">
        <f>IFERROR(VLOOKUP(TableHandbook[[#This Row],[UDC]],TableGCINTSEC[],7,FALSE),"")</f>
        <v/>
      </c>
      <c r="AJ215" s="211" t="str">
        <f>IFERROR(VLOOKUP(TableHandbook[[#This Row],[UDC]],TableGCINTELL[],7,FALSE),"")</f>
        <v/>
      </c>
      <c r="AK215" s="211" t="str">
        <f>IFERROR(VLOOKUP(TableHandbook[[#This Row],[UDC]],TableGCIPCSEC[],7,FALSE),"")</f>
        <v/>
      </c>
    </row>
    <row r="216" spans="1:37" x14ac:dyDescent="0.3">
      <c r="A216" s="2" t="s">
        <v>674</v>
      </c>
      <c r="B216" s="3">
        <v>1</v>
      </c>
      <c r="C216" s="3"/>
      <c r="D216" s="209" t="s">
        <v>675</v>
      </c>
      <c r="E216" s="3">
        <v>25</v>
      </c>
      <c r="F216" s="149" t="s">
        <v>108</v>
      </c>
      <c r="G216" s="96" t="str">
        <f>IFERROR(IF(VLOOKUP(TableHandbook[[#This Row],[UDC]],TableAvailabilities[],2,FALSE)&gt;0,"Y",""),"")</f>
        <v/>
      </c>
      <c r="H216" s="96" t="str">
        <f>IFERROR(IF(VLOOKUP(TableHandbook[[#This Row],[UDC]],TableAvailabilities[],3,FALSE)&gt;0,"Y",""),"")</f>
        <v/>
      </c>
      <c r="I216" s="96" t="str">
        <f>IFERROR(IF(VLOOKUP(TableHandbook[[#This Row],[UDC]],TableAvailabilities[],4,FALSE)&gt;0,"Y",""),"")</f>
        <v/>
      </c>
      <c r="J216" s="96" t="str">
        <f>IFERROR(IF(VLOOKUP(TableHandbook[[#This Row],[UDC]],TableAvailabilities[],5,FALSE)&gt;0,"Y",""),"")</f>
        <v/>
      </c>
      <c r="K216" s="209" t="s">
        <v>436</v>
      </c>
      <c r="L216" s="213" t="str">
        <f>IFERROR(VLOOKUP(TableHandbook[[#This Row],[UDC]],TableMCARTS[],7,FALSE),"")</f>
        <v/>
      </c>
      <c r="M216" s="211" t="str">
        <f>IFERROR(VLOOKUP(TableHandbook[[#This Row],[UDC]],TableMJRPCWRIT[],7,FALSE),"")</f>
        <v/>
      </c>
      <c r="N216" s="211" t="str">
        <f>IFERROR(VLOOKUP(TableHandbook[[#This Row],[UDC]],TableMJRPDGCMS[],7,FALSE),"")</f>
        <v/>
      </c>
      <c r="O216" s="211" t="str">
        <f>IFERROR(VLOOKUP(TableHandbook[[#This Row],[UDC]],TableMJRPFINAR[],7,FALSE),"")</f>
        <v/>
      </c>
      <c r="P216" s="211" t="str">
        <f>IFERROR(VLOOKUP(TableHandbook[[#This Row],[UDC]],TableMJRPPWRIT[],7,FALSE),"")</f>
        <v/>
      </c>
      <c r="Q216" s="211" t="str">
        <f>IFERROR(VLOOKUP(TableHandbook[[#This Row],[UDC]],TableMJRPSCRAR[],7,FALSE),"")</f>
        <v/>
      </c>
      <c r="R216" s="213" t="str">
        <f>IFERROR(VLOOKUP(TableHandbook[[#This Row],[UDC]],TableMCMMJRG[],7,FALSE),"")</f>
        <v/>
      </c>
      <c r="S216" s="211" t="str">
        <f>IFERROR(VLOOKUP(TableHandbook[[#This Row],[UDC]],TableMCMMJRN[],7,FALSE),"")</f>
        <v/>
      </c>
      <c r="T216" s="211" t="str">
        <f>IFERROR(VLOOKUP(TableHandbook[[#This Row],[UDC]],TableGDMMJRN[],7,FALSE),"")</f>
        <v/>
      </c>
      <c r="U216" s="211" t="str">
        <f>IFERROR(VLOOKUP(TableHandbook[[#This Row],[UDC]],TableGCMMJRN[],7,FALSE),"")</f>
        <v/>
      </c>
      <c r="V216" s="213" t="str">
        <f>IFERROR(VLOOKUP(TableHandbook[[#This Row],[UDC]],TableMCHRIGLO[],7,FALSE),"")</f>
        <v/>
      </c>
      <c r="W216" s="211" t="str">
        <f>IFERROR(VLOOKUP(TableHandbook[[#This Row],[UDC]],TableMCHRIGHT[],7,FALSE),"")</f>
        <v/>
      </c>
      <c r="X216" s="211" t="str">
        <f>IFERROR(VLOOKUP(TableHandbook[[#This Row],[UDC]],TableGDHRIGHT[],7,FALSE),"")</f>
        <v/>
      </c>
      <c r="Y216" s="211" t="str">
        <f>IFERROR(VLOOKUP(TableHandbook[[#This Row],[UDC]],TableGCHRIGHT[],7,FALSE),"")</f>
        <v/>
      </c>
      <c r="Z216" s="213" t="str">
        <f>IFERROR(VLOOKUP(TableHandbook[[#This Row],[UDC]],TableMCGLOBL2[],7,FALSE),"")</f>
        <v/>
      </c>
      <c r="AA216" s="211" t="str">
        <f>IFERROR(VLOOKUP(TableHandbook[[#This Row],[UDC]],TableMCGLOBL[],7,FALSE),"")</f>
        <v/>
      </c>
      <c r="AB216" s="211" t="str">
        <f>IFERROR(VLOOKUP(TableHandbook[[#This Row],[UDC]],TableSTRPGLOBL[],7,FALSE),"")</f>
        <v/>
      </c>
      <c r="AC216" s="211" t="str">
        <f>IFERROR(VLOOKUP(TableHandbook[[#This Row],[UDC]],TableSTRPHRIGT[],7,FALSE),"")</f>
        <v/>
      </c>
      <c r="AD216" s="211" t="str">
        <f>IFERROR(VLOOKUP(TableHandbook[[#This Row],[UDC]],TableSTRPINTRN[],7,FALSE),"")</f>
        <v/>
      </c>
      <c r="AE216" s="211" t="str">
        <f>IFERROR(VLOOKUP(TableHandbook[[#This Row],[UDC]],TableGCGLOBL[],7,FALSE),"")</f>
        <v/>
      </c>
      <c r="AF216" s="213" t="str">
        <f>IFERROR(VLOOKUP(TableHandbook[[#This Row],[UDC]],TableMCINTREL[],7,FALSE),"")</f>
        <v/>
      </c>
      <c r="AG216" s="211" t="str">
        <f>IFERROR(VLOOKUP(TableHandbook[[#This Row],[UDC]],TableMCINTSEC[],7,FALSE),"")</f>
        <v/>
      </c>
      <c r="AH216" s="211" t="str">
        <f>IFERROR(VLOOKUP(TableHandbook[[#This Row],[UDC]],TableGDINTSEC[],7,FALSE),"")</f>
        <v/>
      </c>
      <c r="AI216" s="211" t="str">
        <f>IFERROR(VLOOKUP(TableHandbook[[#This Row],[UDC]],TableGCINTSEC[],7,FALSE),"")</f>
        <v/>
      </c>
      <c r="AJ216" s="211" t="str">
        <f>IFERROR(VLOOKUP(TableHandbook[[#This Row],[UDC]],TableGCINTELL[],7,FALSE),"")</f>
        <v/>
      </c>
      <c r="AK216" s="211" t="str">
        <f>IFERROR(VLOOKUP(TableHandbook[[#This Row],[UDC]],TableGCIPCSEC[],7,FALSE),"")</f>
        <v/>
      </c>
    </row>
    <row r="217" spans="1:37" x14ac:dyDescent="0.3">
      <c r="A217" s="231" t="s">
        <v>203</v>
      </c>
      <c r="B217" s="3">
        <v>2</v>
      </c>
      <c r="C217" s="3"/>
      <c r="D217" s="209" t="s">
        <v>676</v>
      </c>
      <c r="E217" s="3">
        <v>25</v>
      </c>
      <c r="F217" s="245" t="s">
        <v>108</v>
      </c>
      <c r="G217" s="96" t="str">
        <f>IFERROR(IF(VLOOKUP(TableHandbook[[#This Row],[UDC]],TableAvailabilities[],2,FALSE)&gt;0,"Y",""),"")</f>
        <v>Y</v>
      </c>
      <c r="H217" s="96" t="str">
        <f>IFERROR(IF(VLOOKUP(TableHandbook[[#This Row],[UDC]],TableAvailabilities[],3,FALSE)&gt;0,"Y",""),"")</f>
        <v/>
      </c>
      <c r="I217" s="96" t="str">
        <f>IFERROR(IF(VLOOKUP(TableHandbook[[#This Row],[UDC]],TableAvailabilities[],4,FALSE)&gt;0,"Y",""),"")</f>
        <v/>
      </c>
      <c r="J217" s="96" t="str">
        <f>IFERROR(IF(VLOOKUP(TableHandbook[[#This Row],[UDC]],TableAvailabilities[],5,FALSE)&gt;0,"Y",""),"")</f>
        <v/>
      </c>
      <c r="K217" s="209" t="s">
        <v>433</v>
      </c>
      <c r="L217" s="213" t="str">
        <f>IFERROR(VLOOKUP(TableHandbook[[#This Row],[UDC]],TableMCARTS[],7,FALSE),"")</f>
        <v/>
      </c>
      <c r="M217" s="211" t="str">
        <f>IFERROR(VLOOKUP(TableHandbook[[#This Row],[UDC]],TableMJRPCWRIT[],7,FALSE),"")</f>
        <v/>
      </c>
      <c r="N217" s="211" t="str">
        <f>IFERROR(VLOOKUP(TableHandbook[[#This Row],[UDC]],TableMJRPDGCMS[],7,FALSE),"")</f>
        <v/>
      </c>
      <c r="O217" s="211" t="str">
        <f>IFERROR(VLOOKUP(TableHandbook[[#This Row],[UDC]],TableMJRPFINAR[],7,FALSE),"")</f>
        <v>Option</v>
      </c>
      <c r="P217" s="211" t="str">
        <f>IFERROR(VLOOKUP(TableHandbook[[#This Row],[UDC]],TableMJRPPWRIT[],7,FALSE),"")</f>
        <v/>
      </c>
      <c r="Q217" s="211" t="str">
        <f>IFERROR(VLOOKUP(TableHandbook[[#This Row],[UDC]],TableMJRPSCRAR[],7,FALSE),"")</f>
        <v/>
      </c>
      <c r="R217" s="213" t="str">
        <f>IFERROR(VLOOKUP(TableHandbook[[#This Row],[UDC]],TableMCMMJRG[],7,FALSE),"")</f>
        <v/>
      </c>
      <c r="S217" s="211" t="str">
        <f>IFERROR(VLOOKUP(TableHandbook[[#This Row],[UDC]],TableMCMMJRN[],7,FALSE),"")</f>
        <v/>
      </c>
      <c r="T217" s="211" t="str">
        <f>IFERROR(VLOOKUP(TableHandbook[[#This Row],[UDC]],TableGDMMJRN[],7,FALSE),"")</f>
        <v/>
      </c>
      <c r="U217" s="211" t="str">
        <f>IFERROR(VLOOKUP(TableHandbook[[#This Row],[UDC]],TableGCMMJRN[],7,FALSE),"")</f>
        <v/>
      </c>
      <c r="V217" s="213" t="str">
        <f>IFERROR(VLOOKUP(TableHandbook[[#This Row],[UDC]],TableMCHRIGLO[],7,FALSE),"")</f>
        <v/>
      </c>
      <c r="W217" s="211" t="str">
        <f>IFERROR(VLOOKUP(TableHandbook[[#This Row],[UDC]],TableMCHRIGHT[],7,FALSE),"")</f>
        <v/>
      </c>
      <c r="X217" s="211" t="str">
        <f>IFERROR(VLOOKUP(TableHandbook[[#This Row],[UDC]],TableGDHRIGHT[],7,FALSE),"")</f>
        <v/>
      </c>
      <c r="Y217" s="211" t="str">
        <f>IFERROR(VLOOKUP(TableHandbook[[#This Row],[UDC]],TableGCHRIGHT[],7,FALSE),"")</f>
        <v/>
      </c>
      <c r="Z217" s="213" t="str">
        <f>IFERROR(VLOOKUP(TableHandbook[[#This Row],[UDC]],TableMCGLOBL2[],7,FALSE),"")</f>
        <v/>
      </c>
      <c r="AA217" s="211" t="str">
        <f>IFERROR(VLOOKUP(TableHandbook[[#This Row],[UDC]],TableMCGLOBL[],7,FALSE),"")</f>
        <v/>
      </c>
      <c r="AB217" s="211" t="str">
        <f>IFERROR(VLOOKUP(TableHandbook[[#This Row],[UDC]],TableSTRPGLOBL[],7,FALSE),"")</f>
        <v/>
      </c>
      <c r="AC217" s="211" t="str">
        <f>IFERROR(VLOOKUP(TableHandbook[[#This Row],[UDC]],TableSTRPHRIGT[],7,FALSE),"")</f>
        <v/>
      </c>
      <c r="AD217" s="211" t="str">
        <f>IFERROR(VLOOKUP(TableHandbook[[#This Row],[UDC]],TableSTRPINTRN[],7,FALSE),"")</f>
        <v/>
      </c>
      <c r="AE217" s="211" t="str">
        <f>IFERROR(VLOOKUP(TableHandbook[[#This Row],[UDC]],TableGCGLOBL[],7,FALSE),"")</f>
        <v/>
      </c>
      <c r="AF217" s="213" t="str">
        <f>IFERROR(VLOOKUP(TableHandbook[[#This Row],[UDC]],TableMCINTREL[],7,FALSE),"")</f>
        <v/>
      </c>
      <c r="AG217" s="211" t="str">
        <f>IFERROR(VLOOKUP(TableHandbook[[#This Row],[UDC]],TableMCINTSEC[],7,FALSE),"")</f>
        <v/>
      </c>
      <c r="AH217" s="211" t="str">
        <f>IFERROR(VLOOKUP(TableHandbook[[#This Row],[UDC]],TableGDINTSEC[],7,FALSE),"")</f>
        <v/>
      </c>
      <c r="AI217" s="211" t="str">
        <f>IFERROR(VLOOKUP(TableHandbook[[#This Row],[UDC]],TableGCINTSEC[],7,FALSE),"")</f>
        <v/>
      </c>
      <c r="AJ217" s="211" t="str">
        <f>IFERROR(VLOOKUP(TableHandbook[[#This Row],[UDC]],TableGCINTELL[],7,FALSE),"")</f>
        <v/>
      </c>
      <c r="AK217" s="211" t="str">
        <f>IFERROR(VLOOKUP(TableHandbook[[#This Row],[UDC]],TableGCIPCSEC[],7,FALSE),"")</f>
        <v/>
      </c>
    </row>
    <row r="218" spans="1:37" x14ac:dyDescent="0.3">
      <c r="A218" s="2" t="s">
        <v>677</v>
      </c>
      <c r="B218" s="3">
        <v>1</v>
      </c>
      <c r="C218" s="3"/>
      <c r="D218" s="209" t="s">
        <v>678</v>
      </c>
      <c r="E218" s="3">
        <v>25</v>
      </c>
      <c r="F218" s="149" t="s">
        <v>108</v>
      </c>
      <c r="G218" s="96" t="str">
        <f>IFERROR(IF(VLOOKUP(TableHandbook[[#This Row],[UDC]],TableAvailabilities[],2,FALSE)&gt;0,"Y",""),"")</f>
        <v/>
      </c>
      <c r="H218" s="96" t="str">
        <f>IFERROR(IF(VLOOKUP(TableHandbook[[#This Row],[UDC]],TableAvailabilities[],3,FALSE)&gt;0,"Y",""),"")</f>
        <v/>
      </c>
      <c r="I218" s="96" t="str">
        <f>IFERROR(IF(VLOOKUP(TableHandbook[[#This Row],[UDC]],TableAvailabilities[],4,FALSE)&gt;0,"Y",""),"")</f>
        <v/>
      </c>
      <c r="J218" s="96" t="str">
        <f>IFERROR(IF(VLOOKUP(TableHandbook[[#This Row],[UDC]],TableAvailabilities[],5,FALSE)&gt;0,"Y",""),"")</f>
        <v/>
      </c>
      <c r="K218" s="209" t="s">
        <v>436</v>
      </c>
      <c r="L218" s="213" t="str">
        <f>IFERROR(VLOOKUP(TableHandbook[[#This Row],[UDC]],TableMCARTS[],7,FALSE),"")</f>
        <v/>
      </c>
      <c r="M218" s="211" t="str">
        <f>IFERROR(VLOOKUP(TableHandbook[[#This Row],[UDC]],TableMJRPCWRIT[],7,FALSE),"")</f>
        <v/>
      </c>
      <c r="N218" s="211" t="str">
        <f>IFERROR(VLOOKUP(TableHandbook[[#This Row],[UDC]],TableMJRPDGCMS[],7,FALSE),"")</f>
        <v/>
      </c>
      <c r="O218" s="211" t="str">
        <f>IFERROR(VLOOKUP(TableHandbook[[#This Row],[UDC]],TableMJRPFINAR[],7,FALSE),"")</f>
        <v/>
      </c>
      <c r="P218" s="211" t="str">
        <f>IFERROR(VLOOKUP(TableHandbook[[#This Row],[UDC]],TableMJRPPWRIT[],7,FALSE),"")</f>
        <v/>
      </c>
      <c r="Q218" s="211" t="str">
        <f>IFERROR(VLOOKUP(TableHandbook[[#This Row],[UDC]],TableMJRPSCRAR[],7,FALSE),"")</f>
        <v/>
      </c>
      <c r="R218" s="213" t="str">
        <f>IFERROR(VLOOKUP(TableHandbook[[#This Row],[UDC]],TableMCMMJRG[],7,FALSE),"")</f>
        <v/>
      </c>
      <c r="S218" s="211" t="str">
        <f>IFERROR(VLOOKUP(TableHandbook[[#This Row],[UDC]],TableMCMMJRN[],7,FALSE),"")</f>
        <v/>
      </c>
      <c r="T218" s="211" t="str">
        <f>IFERROR(VLOOKUP(TableHandbook[[#This Row],[UDC]],TableGDMMJRN[],7,FALSE),"")</f>
        <v/>
      </c>
      <c r="U218" s="211" t="str">
        <f>IFERROR(VLOOKUP(TableHandbook[[#This Row],[UDC]],TableGCMMJRN[],7,FALSE),"")</f>
        <v/>
      </c>
      <c r="V218" s="213" t="str">
        <f>IFERROR(VLOOKUP(TableHandbook[[#This Row],[UDC]],TableMCHRIGLO[],7,FALSE),"")</f>
        <v/>
      </c>
      <c r="W218" s="211" t="str">
        <f>IFERROR(VLOOKUP(TableHandbook[[#This Row],[UDC]],TableMCHRIGHT[],7,FALSE),"")</f>
        <v/>
      </c>
      <c r="X218" s="211" t="str">
        <f>IFERROR(VLOOKUP(TableHandbook[[#This Row],[UDC]],TableGDHRIGHT[],7,FALSE),"")</f>
        <v/>
      </c>
      <c r="Y218" s="211" t="str">
        <f>IFERROR(VLOOKUP(TableHandbook[[#This Row],[UDC]],TableGCHRIGHT[],7,FALSE),"")</f>
        <v/>
      </c>
      <c r="Z218" s="213" t="str">
        <f>IFERROR(VLOOKUP(TableHandbook[[#This Row],[UDC]],TableMCGLOBL2[],7,FALSE),"")</f>
        <v/>
      </c>
      <c r="AA218" s="211" t="str">
        <f>IFERROR(VLOOKUP(TableHandbook[[#This Row],[UDC]],TableMCGLOBL[],7,FALSE),"")</f>
        <v/>
      </c>
      <c r="AB218" s="211" t="str">
        <f>IFERROR(VLOOKUP(TableHandbook[[#This Row],[UDC]],TableSTRPGLOBL[],7,FALSE),"")</f>
        <v/>
      </c>
      <c r="AC218" s="211" t="str">
        <f>IFERROR(VLOOKUP(TableHandbook[[#This Row],[UDC]],TableSTRPHRIGT[],7,FALSE),"")</f>
        <v/>
      </c>
      <c r="AD218" s="211" t="str">
        <f>IFERROR(VLOOKUP(TableHandbook[[#This Row],[UDC]],TableSTRPINTRN[],7,FALSE),"")</f>
        <v/>
      </c>
      <c r="AE218" s="211" t="str">
        <f>IFERROR(VLOOKUP(TableHandbook[[#This Row],[UDC]],TableGCGLOBL[],7,FALSE),"")</f>
        <v/>
      </c>
      <c r="AF218" s="213" t="str">
        <f>IFERROR(VLOOKUP(TableHandbook[[#This Row],[UDC]],TableMCINTREL[],7,FALSE),"")</f>
        <v/>
      </c>
      <c r="AG218" s="211" t="str">
        <f>IFERROR(VLOOKUP(TableHandbook[[#This Row],[UDC]],TableMCINTSEC[],7,FALSE),"")</f>
        <v/>
      </c>
      <c r="AH218" s="211" t="str">
        <f>IFERROR(VLOOKUP(TableHandbook[[#This Row],[UDC]],TableGDINTSEC[],7,FALSE),"")</f>
        <v/>
      </c>
      <c r="AI218" s="211" t="str">
        <f>IFERROR(VLOOKUP(TableHandbook[[#This Row],[UDC]],TableGCINTSEC[],7,FALSE),"")</f>
        <v/>
      </c>
      <c r="AJ218" s="211" t="str">
        <f>IFERROR(VLOOKUP(TableHandbook[[#This Row],[UDC]],TableGCINTELL[],7,FALSE),"")</f>
        <v/>
      </c>
      <c r="AK218" s="211" t="str">
        <f>IFERROR(VLOOKUP(TableHandbook[[#This Row],[UDC]],TableGCIPCSEC[],7,FALSE),"")</f>
        <v/>
      </c>
    </row>
    <row r="219" spans="1:37" x14ac:dyDescent="0.3">
      <c r="A219" s="231" t="s">
        <v>233</v>
      </c>
      <c r="B219" s="3">
        <v>3</v>
      </c>
      <c r="C219" s="3"/>
      <c r="D219" s="209" t="s">
        <v>679</v>
      </c>
      <c r="E219" s="3">
        <v>25</v>
      </c>
      <c r="F219" s="245" t="s">
        <v>108</v>
      </c>
      <c r="G219" s="96" t="str">
        <f>IFERROR(IF(VLOOKUP(TableHandbook[[#This Row],[UDC]],TableAvailabilities[],2,FALSE)&gt;0,"Y",""),"")</f>
        <v>Y</v>
      </c>
      <c r="H219" s="96" t="str">
        <f>IFERROR(IF(VLOOKUP(TableHandbook[[#This Row],[UDC]],TableAvailabilities[],3,FALSE)&gt;0,"Y",""),"")</f>
        <v/>
      </c>
      <c r="I219" s="96" t="str">
        <f>IFERROR(IF(VLOOKUP(TableHandbook[[#This Row],[UDC]],TableAvailabilities[],4,FALSE)&gt;0,"Y",""),"")</f>
        <v/>
      </c>
      <c r="J219" s="96" t="str">
        <f>IFERROR(IF(VLOOKUP(TableHandbook[[#This Row],[UDC]],TableAvailabilities[],5,FALSE)&gt;0,"Y",""),"")</f>
        <v/>
      </c>
      <c r="K219" s="209" t="s">
        <v>433</v>
      </c>
      <c r="L219" s="213" t="str">
        <f>IFERROR(VLOOKUP(TableHandbook[[#This Row],[UDC]],TableMCARTS[],7,FALSE),"")</f>
        <v/>
      </c>
      <c r="M219" s="211" t="str">
        <f>IFERROR(VLOOKUP(TableHandbook[[#This Row],[UDC]],TableMJRPCWRIT[],7,FALSE),"")</f>
        <v/>
      </c>
      <c r="N219" s="211" t="str">
        <f>IFERROR(VLOOKUP(TableHandbook[[#This Row],[UDC]],TableMJRPDGCMS[],7,FALSE),"")</f>
        <v/>
      </c>
      <c r="O219" s="211" t="str">
        <f>IFERROR(VLOOKUP(TableHandbook[[#This Row],[UDC]],TableMJRPFINAR[],7,FALSE),"")</f>
        <v>Option</v>
      </c>
      <c r="P219" s="211" t="str">
        <f>IFERROR(VLOOKUP(TableHandbook[[#This Row],[UDC]],TableMJRPPWRIT[],7,FALSE),"")</f>
        <v/>
      </c>
      <c r="Q219" s="211" t="str">
        <f>IFERROR(VLOOKUP(TableHandbook[[#This Row],[UDC]],TableMJRPSCRAR[],7,FALSE),"")</f>
        <v/>
      </c>
      <c r="R219" s="213" t="str">
        <f>IFERROR(VLOOKUP(TableHandbook[[#This Row],[UDC]],TableMCMMJRG[],7,FALSE),"")</f>
        <v/>
      </c>
      <c r="S219" s="211" t="str">
        <f>IFERROR(VLOOKUP(TableHandbook[[#This Row],[UDC]],TableMCMMJRN[],7,FALSE),"")</f>
        <v/>
      </c>
      <c r="T219" s="211" t="str">
        <f>IFERROR(VLOOKUP(TableHandbook[[#This Row],[UDC]],TableGDMMJRN[],7,FALSE),"")</f>
        <v/>
      </c>
      <c r="U219" s="211" t="str">
        <f>IFERROR(VLOOKUP(TableHandbook[[#This Row],[UDC]],TableGCMMJRN[],7,FALSE),"")</f>
        <v/>
      </c>
      <c r="V219" s="213" t="str">
        <f>IFERROR(VLOOKUP(TableHandbook[[#This Row],[UDC]],TableMCHRIGLO[],7,FALSE),"")</f>
        <v/>
      </c>
      <c r="W219" s="211" t="str">
        <f>IFERROR(VLOOKUP(TableHandbook[[#This Row],[UDC]],TableMCHRIGHT[],7,FALSE),"")</f>
        <v/>
      </c>
      <c r="X219" s="211" t="str">
        <f>IFERROR(VLOOKUP(TableHandbook[[#This Row],[UDC]],TableGDHRIGHT[],7,FALSE),"")</f>
        <v/>
      </c>
      <c r="Y219" s="211" t="str">
        <f>IFERROR(VLOOKUP(TableHandbook[[#This Row],[UDC]],TableGCHRIGHT[],7,FALSE),"")</f>
        <v/>
      </c>
      <c r="Z219" s="213" t="str">
        <f>IFERROR(VLOOKUP(TableHandbook[[#This Row],[UDC]],TableMCGLOBL2[],7,FALSE),"")</f>
        <v/>
      </c>
      <c r="AA219" s="211" t="str">
        <f>IFERROR(VLOOKUP(TableHandbook[[#This Row],[UDC]],TableMCGLOBL[],7,FALSE),"")</f>
        <v/>
      </c>
      <c r="AB219" s="211" t="str">
        <f>IFERROR(VLOOKUP(TableHandbook[[#This Row],[UDC]],TableSTRPGLOBL[],7,FALSE),"")</f>
        <v/>
      </c>
      <c r="AC219" s="211" t="str">
        <f>IFERROR(VLOOKUP(TableHandbook[[#This Row],[UDC]],TableSTRPHRIGT[],7,FALSE),"")</f>
        <v/>
      </c>
      <c r="AD219" s="211" t="str">
        <f>IFERROR(VLOOKUP(TableHandbook[[#This Row],[UDC]],TableSTRPINTRN[],7,FALSE),"")</f>
        <v/>
      </c>
      <c r="AE219" s="211" t="str">
        <f>IFERROR(VLOOKUP(TableHandbook[[#This Row],[UDC]],TableGCGLOBL[],7,FALSE),"")</f>
        <v/>
      </c>
      <c r="AF219" s="213" t="str">
        <f>IFERROR(VLOOKUP(TableHandbook[[#This Row],[UDC]],TableMCINTREL[],7,FALSE),"")</f>
        <v/>
      </c>
      <c r="AG219" s="211" t="str">
        <f>IFERROR(VLOOKUP(TableHandbook[[#This Row],[UDC]],TableMCINTSEC[],7,FALSE),"")</f>
        <v/>
      </c>
      <c r="AH219" s="211" t="str">
        <f>IFERROR(VLOOKUP(TableHandbook[[#This Row],[UDC]],TableGDINTSEC[],7,FALSE),"")</f>
        <v/>
      </c>
      <c r="AI219" s="211" t="str">
        <f>IFERROR(VLOOKUP(TableHandbook[[#This Row],[UDC]],TableGCINTSEC[],7,FALSE),"")</f>
        <v/>
      </c>
      <c r="AJ219" s="211" t="str">
        <f>IFERROR(VLOOKUP(TableHandbook[[#This Row],[UDC]],TableGCINTELL[],7,FALSE),"")</f>
        <v/>
      </c>
      <c r="AK219" s="211" t="str">
        <f>IFERROR(VLOOKUP(TableHandbook[[#This Row],[UDC]],TableGCIPCSEC[],7,FALSE),"")</f>
        <v/>
      </c>
    </row>
    <row r="220" spans="1:37" x14ac:dyDescent="0.3">
      <c r="A220" s="2" t="s">
        <v>680</v>
      </c>
      <c r="B220" s="3">
        <v>2</v>
      </c>
      <c r="C220" s="3"/>
      <c r="D220" s="209" t="s">
        <v>681</v>
      </c>
      <c r="E220" s="3">
        <v>25</v>
      </c>
      <c r="F220" s="149" t="s">
        <v>108</v>
      </c>
      <c r="G220" s="96" t="str">
        <f>IFERROR(IF(VLOOKUP(TableHandbook[[#This Row],[UDC]],TableAvailabilities[],2,FALSE)&gt;0,"Y",""),"")</f>
        <v/>
      </c>
      <c r="H220" s="96" t="str">
        <f>IFERROR(IF(VLOOKUP(TableHandbook[[#This Row],[UDC]],TableAvailabilities[],3,FALSE)&gt;0,"Y",""),"")</f>
        <v/>
      </c>
      <c r="I220" s="96" t="str">
        <f>IFERROR(IF(VLOOKUP(TableHandbook[[#This Row],[UDC]],TableAvailabilities[],4,FALSE)&gt;0,"Y",""),"")</f>
        <v/>
      </c>
      <c r="J220" s="96" t="str">
        <f>IFERROR(IF(VLOOKUP(TableHandbook[[#This Row],[UDC]],TableAvailabilities[],5,FALSE)&gt;0,"Y",""),"")</f>
        <v/>
      </c>
      <c r="K220" s="209" t="s">
        <v>436</v>
      </c>
      <c r="L220" s="213" t="str">
        <f>IFERROR(VLOOKUP(TableHandbook[[#This Row],[UDC]],TableMCARTS[],7,FALSE),"")</f>
        <v/>
      </c>
      <c r="M220" s="211" t="str">
        <f>IFERROR(VLOOKUP(TableHandbook[[#This Row],[UDC]],TableMJRPCWRIT[],7,FALSE),"")</f>
        <v/>
      </c>
      <c r="N220" s="211" t="str">
        <f>IFERROR(VLOOKUP(TableHandbook[[#This Row],[UDC]],TableMJRPDGCMS[],7,FALSE),"")</f>
        <v/>
      </c>
      <c r="O220" s="211" t="str">
        <f>IFERROR(VLOOKUP(TableHandbook[[#This Row],[UDC]],TableMJRPFINAR[],7,FALSE),"")</f>
        <v/>
      </c>
      <c r="P220" s="211" t="str">
        <f>IFERROR(VLOOKUP(TableHandbook[[#This Row],[UDC]],TableMJRPPWRIT[],7,FALSE),"")</f>
        <v/>
      </c>
      <c r="Q220" s="211" t="str">
        <f>IFERROR(VLOOKUP(TableHandbook[[#This Row],[UDC]],TableMJRPSCRAR[],7,FALSE),"")</f>
        <v/>
      </c>
      <c r="R220" s="213" t="str">
        <f>IFERROR(VLOOKUP(TableHandbook[[#This Row],[UDC]],TableMCMMJRG[],7,FALSE),"")</f>
        <v/>
      </c>
      <c r="S220" s="211" t="str">
        <f>IFERROR(VLOOKUP(TableHandbook[[#This Row],[UDC]],TableMCMMJRN[],7,FALSE),"")</f>
        <v/>
      </c>
      <c r="T220" s="211" t="str">
        <f>IFERROR(VLOOKUP(TableHandbook[[#This Row],[UDC]],TableGDMMJRN[],7,FALSE),"")</f>
        <v/>
      </c>
      <c r="U220" s="211" t="str">
        <f>IFERROR(VLOOKUP(TableHandbook[[#This Row],[UDC]],TableGCMMJRN[],7,FALSE),"")</f>
        <v/>
      </c>
      <c r="V220" s="213" t="str">
        <f>IFERROR(VLOOKUP(TableHandbook[[#This Row],[UDC]],TableMCHRIGLO[],7,FALSE),"")</f>
        <v/>
      </c>
      <c r="W220" s="211" t="str">
        <f>IFERROR(VLOOKUP(TableHandbook[[#This Row],[UDC]],TableMCHRIGHT[],7,FALSE),"")</f>
        <v/>
      </c>
      <c r="X220" s="211" t="str">
        <f>IFERROR(VLOOKUP(TableHandbook[[#This Row],[UDC]],TableGDHRIGHT[],7,FALSE),"")</f>
        <v/>
      </c>
      <c r="Y220" s="211" t="str">
        <f>IFERROR(VLOOKUP(TableHandbook[[#This Row],[UDC]],TableGCHRIGHT[],7,FALSE),"")</f>
        <v/>
      </c>
      <c r="Z220" s="213" t="str">
        <f>IFERROR(VLOOKUP(TableHandbook[[#This Row],[UDC]],TableMCGLOBL2[],7,FALSE),"")</f>
        <v/>
      </c>
      <c r="AA220" s="211" t="str">
        <f>IFERROR(VLOOKUP(TableHandbook[[#This Row],[UDC]],TableMCGLOBL[],7,FALSE),"")</f>
        <v/>
      </c>
      <c r="AB220" s="211" t="str">
        <f>IFERROR(VLOOKUP(TableHandbook[[#This Row],[UDC]],TableSTRPGLOBL[],7,FALSE),"")</f>
        <v/>
      </c>
      <c r="AC220" s="211" t="str">
        <f>IFERROR(VLOOKUP(TableHandbook[[#This Row],[UDC]],TableSTRPHRIGT[],7,FALSE),"")</f>
        <v/>
      </c>
      <c r="AD220" s="211" t="str">
        <f>IFERROR(VLOOKUP(TableHandbook[[#This Row],[UDC]],TableSTRPINTRN[],7,FALSE),"")</f>
        <v/>
      </c>
      <c r="AE220" s="211" t="str">
        <f>IFERROR(VLOOKUP(TableHandbook[[#This Row],[UDC]],TableGCGLOBL[],7,FALSE),"")</f>
        <v/>
      </c>
      <c r="AF220" s="213" t="str">
        <f>IFERROR(VLOOKUP(TableHandbook[[#This Row],[UDC]],TableMCINTREL[],7,FALSE),"")</f>
        <v/>
      </c>
      <c r="AG220" s="211" t="str">
        <f>IFERROR(VLOOKUP(TableHandbook[[#This Row],[UDC]],TableMCINTSEC[],7,FALSE),"")</f>
        <v/>
      </c>
      <c r="AH220" s="211" t="str">
        <f>IFERROR(VLOOKUP(TableHandbook[[#This Row],[UDC]],TableGDINTSEC[],7,FALSE),"")</f>
        <v/>
      </c>
      <c r="AI220" s="211" t="str">
        <f>IFERROR(VLOOKUP(TableHandbook[[#This Row],[UDC]],TableGCINTSEC[],7,FALSE),"")</f>
        <v/>
      </c>
      <c r="AJ220" s="211" t="str">
        <f>IFERROR(VLOOKUP(TableHandbook[[#This Row],[UDC]],TableGCINTELL[],7,FALSE),"")</f>
        <v/>
      </c>
      <c r="AK220" s="211" t="str">
        <f>IFERROR(VLOOKUP(TableHandbook[[#This Row],[UDC]],TableGCIPCSEC[],7,FALSE),"")</f>
        <v/>
      </c>
    </row>
    <row r="221" spans="1:37" x14ac:dyDescent="0.3">
      <c r="A221" s="231" t="s">
        <v>235</v>
      </c>
      <c r="B221" s="3">
        <v>2</v>
      </c>
      <c r="C221" s="3"/>
      <c r="D221" s="209" t="s">
        <v>682</v>
      </c>
      <c r="E221" s="3">
        <v>25</v>
      </c>
      <c r="F221" s="245" t="s">
        <v>197</v>
      </c>
      <c r="G221" s="96" t="str">
        <f>IFERROR(IF(VLOOKUP(TableHandbook[[#This Row],[UDC]],TableAvailabilities[],2,FALSE)&gt;0,"Y",""),"")</f>
        <v>Y</v>
      </c>
      <c r="H221" s="96" t="str">
        <f>IFERROR(IF(VLOOKUP(TableHandbook[[#This Row],[UDC]],TableAvailabilities[],3,FALSE)&gt;0,"Y",""),"")</f>
        <v/>
      </c>
      <c r="I221" s="96" t="str">
        <f>IFERROR(IF(VLOOKUP(TableHandbook[[#This Row],[UDC]],TableAvailabilities[],4,FALSE)&gt;0,"Y",""),"")</f>
        <v/>
      </c>
      <c r="J221" s="96" t="str">
        <f>IFERROR(IF(VLOOKUP(TableHandbook[[#This Row],[UDC]],TableAvailabilities[],5,FALSE)&gt;0,"Y",""),"")</f>
        <v/>
      </c>
      <c r="K221" s="209" t="s">
        <v>433</v>
      </c>
      <c r="L221" s="213" t="str">
        <f>IFERROR(VLOOKUP(TableHandbook[[#This Row],[UDC]],TableMCARTS[],7,FALSE),"")</f>
        <v/>
      </c>
      <c r="M221" s="211" t="str">
        <f>IFERROR(VLOOKUP(TableHandbook[[#This Row],[UDC]],TableMJRPCWRIT[],7,FALSE),"")</f>
        <v/>
      </c>
      <c r="N221" s="211" t="str">
        <f>IFERROR(VLOOKUP(TableHandbook[[#This Row],[UDC]],TableMJRPDGCMS[],7,FALSE),"")</f>
        <v/>
      </c>
      <c r="O221" s="211" t="str">
        <f>IFERROR(VLOOKUP(TableHandbook[[#This Row],[UDC]],TableMJRPFINAR[],7,FALSE),"")</f>
        <v>Option</v>
      </c>
      <c r="P221" s="211" t="str">
        <f>IFERROR(VLOOKUP(TableHandbook[[#This Row],[UDC]],TableMJRPPWRIT[],7,FALSE),"")</f>
        <v/>
      </c>
      <c r="Q221" s="211" t="str">
        <f>IFERROR(VLOOKUP(TableHandbook[[#This Row],[UDC]],TableMJRPSCRAR[],7,FALSE),"")</f>
        <v/>
      </c>
      <c r="R221" s="213" t="str">
        <f>IFERROR(VLOOKUP(TableHandbook[[#This Row],[UDC]],TableMCMMJRG[],7,FALSE),"")</f>
        <v/>
      </c>
      <c r="S221" s="211" t="str">
        <f>IFERROR(VLOOKUP(TableHandbook[[#This Row],[UDC]],TableMCMMJRN[],7,FALSE),"")</f>
        <v/>
      </c>
      <c r="T221" s="211" t="str">
        <f>IFERROR(VLOOKUP(TableHandbook[[#This Row],[UDC]],TableGDMMJRN[],7,FALSE),"")</f>
        <v/>
      </c>
      <c r="U221" s="211" t="str">
        <f>IFERROR(VLOOKUP(TableHandbook[[#This Row],[UDC]],TableGCMMJRN[],7,FALSE),"")</f>
        <v/>
      </c>
      <c r="V221" s="213" t="str">
        <f>IFERROR(VLOOKUP(TableHandbook[[#This Row],[UDC]],TableMCHRIGLO[],7,FALSE),"")</f>
        <v/>
      </c>
      <c r="W221" s="211" t="str">
        <f>IFERROR(VLOOKUP(TableHandbook[[#This Row],[UDC]],TableMCHRIGHT[],7,FALSE),"")</f>
        <v/>
      </c>
      <c r="X221" s="211" t="str">
        <f>IFERROR(VLOOKUP(TableHandbook[[#This Row],[UDC]],TableGDHRIGHT[],7,FALSE),"")</f>
        <v/>
      </c>
      <c r="Y221" s="211" t="str">
        <f>IFERROR(VLOOKUP(TableHandbook[[#This Row],[UDC]],TableGCHRIGHT[],7,FALSE),"")</f>
        <v/>
      </c>
      <c r="Z221" s="213" t="str">
        <f>IFERROR(VLOOKUP(TableHandbook[[#This Row],[UDC]],TableMCGLOBL2[],7,FALSE),"")</f>
        <v/>
      </c>
      <c r="AA221" s="211" t="str">
        <f>IFERROR(VLOOKUP(TableHandbook[[#This Row],[UDC]],TableMCGLOBL[],7,FALSE),"")</f>
        <v/>
      </c>
      <c r="AB221" s="211" t="str">
        <f>IFERROR(VLOOKUP(TableHandbook[[#This Row],[UDC]],TableSTRPGLOBL[],7,FALSE),"")</f>
        <v/>
      </c>
      <c r="AC221" s="211" t="str">
        <f>IFERROR(VLOOKUP(TableHandbook[[#This Row],[UDC]],TableSTRPHRIGT[],7,FALSE),"")</f>
        <v/>
      </c>
      <c r="AD221" s="211" t="str">
        <f>IFERROR(VLOOKUP(TableHandbook[[#This Row],[UDC]],TableSTRPINTRN[],7,FALSE),"")</f>
        <v/>
      </c>
      <c r="AE221" s="211" t="str">
        <f>IFERROR(VLOOKUP(TableHandbook[[#This Row],[UDC]],TableGCGLOBL[],7,FALSE),"")</f>
        <v/>
      </c>
      <c r="AF221" s="213" t="str">
        <f>IFERROR(VLOOKUP(TableHandbook[[#This Row],[UDC]],TableMCINTREL[],7,FALSE),"")</f>
        <v/>
      </c>
      <c r="AG221" s="211" t="str">
        <f>IFERROR(VLOOKUP(TableHandbook[[#This Row],[UDC]],TableMCINTSEC[],7,FALSE),"")</f>
        <v/>
      </c>
      <c r="AH221" s="211" t="str">
        <f>IFERROR(VLOOKUP(TableHandbook[[#This Row],[UDC]],TableGDINTSEC[],7,FALSE),"")</f>
        <v/>
      </c>
      <c r="AI221" s="211" t="str">
        <f>IFERROR(VLOOKUP(TableHandbook[[#This Row],[UDC]],TableGCINTSEC[],7,FALSE),"")</f>
        <v/>
      </c>
      <c r="AJ221" s="211" t="str">
        <f>IFERROR(VLOOKUP(TableHandbook[[#This Row],[UDC]],TableGCINTELL[],7,FALSE),"")</f>
        <v/>
      </c>
      <c r="AK221" s="211" t="str">
        <f>IFERROR(VLOOKUP(TableHandbook[[#This Row],[UDC]],TableGCIPCSEC[],7,FALSE),"")</f>
        <v/>
      </c>
    </row>
    <row r="222" spans="1:37" x14ac:dyDescent="0.3">
      <c r="A222" s="2" t="s">
        <v>683</v>
      </c>
      <c r="B222" s="3">
        <v>1</v>
      </c>
      <c r="C222" s="3"/>
      <c r="D222" s="209" t="s">
        <v>684</v>
      </c>
      <c r="E222" s="3">
        <v>25</v>
      </c>
      <c r="F222" s="149" t="s">
        <v>197</v>
      </c>
      <c r="G222" s="96" t="str">
        <f>IFERROR(IF(VLOOKUP(TableHandbook[[#This Row],[UDC]],TableAvailabilities[],2,FALSE)&gt;0,"Y",""),"")</f>
        <v/>
      </c>
      <c r="H222" s="96" t="str">
        <f>IFERROR(IF(VLOOKUP(TableHandbook[[#This Row],[UDC]],TableAvailabilities[],3,FALSE)&gt;0,"Y",""),"")</f>
        <v/>
      </c>
      <c r="I222" s="96" t="str">
        <f>IFERROR(IF(VLOOKUP(TableHandbook[[#This Row],[UDC]],TableAvailabilities[],4,FALSE)&gt;0,"Y",""),"")</f>
        <v/>
      </c>
      <c r="J222" s="96" t="str">
        <f>IFERROR(IF(VLOOKUP(TableHandbook[[#This Row],[UDC]],TableAvailabilities[],5,FALSE)&gt;0,"Y",""),"")</f>
        <v/>
      </c>
      <c r="K222" s="209" t="s">
        <v>436</v>
      </c>
      <c r="L222" s="213" t="str">
        <f>IFERROR(VLOOKUP(TableHandbook[[#This Row],[UDC]],TableMCARTS[],7,FALSE),"")</f>
        <v/>
      </c>
      <c r="M222" s="211" t="str">
        <f>IFERROR(VLOOKUP(TableHandbook[[#This Row],[UDC]],TableMJRPCWRIT[],7,FALSE),"")</f>
        <v/>
      </c>
      <c r="N222" s="211" t="str">
        <f>IFERROR(VLOOKUP(TableHandbook[[#This Row],[UDC]],TableMJRPDGCMS[],7,FALSE),"")</f>
        <v/>
      </c>
      <c r="O222" s="211" t="str">
        <f>IFERROR(VLOOKUP(TableHandbook[[#This Row],[UDC]],TableMJRPFINAR[],7,FALSE),"")</f>
        <v/>
      </c>
      <c r="P222" s="211" t="str">
        <f>IFERROR(VLOOKUP(TableHandbook[[#This Row],[UDC]],TableMJRPPWRIT[],7,FALSE),"")</f>
        <v/>
      </c>
      <c r="Q222" s="211" t="str">
        <f>IFERROR(VLOOKUP(TableHandbook[[#This Row],[UDC]],TableMJRPSCRAR[],7,FALSE),"")</f>
        <v/>
      </c>
      <c r="R222" s="213" t="str">
        <f>IFERROR(VLOOKUP(TableHandbook[[#This Row],[UDC]],TableMCMMJRG[],7,FALSE),"")</f>
        <v/>
      </c>
      <c r="S222" s="211" t="str">
        <f>IFERROR(VLOOKUP(TableHandbook[[#This Row],[UDC]],TableMCMMJRN[],7,FALSE),"")</f>
        <v/>
      </c>
      <c r="T222" s="211" t="str">
        <f>IFERROR(VLOOKUP(TableHandbook[[#This Row],[UDC]],TableGDMMJRN[],7,FALSE),"")</f>
        <v/>
      </c>
      <c r="U222" s="211" t="str">
        <f>IFERROR(VLOOKUP(TableHandbook[[#This Row],[UDC]],TableGCMMJRN[],7,FALSE),"")</f>
        <v/>
      </c>
      <c r="V222" s="213" t="str">
        <f>IFERROR(VLOOKUP(TableHandbook[[#This Row],[UDC]],TableMCHRIGLO[],7,FALSE),"")</f>
        <v/>
      </c>
      <c r="W222" s="211" t="str">
        <f>IFERROR(VLOOKUP(TableHandbook[[#This Row],[UDC]],TableMCHRIGHT[],7,FALSE),"")</f>
        <v/>
      </c>
      <c r="X222" s="211" t="str">
        <f>IFERROR(VLOOKUP(TableHandbook[[#This Row],[UDC]],TableGDHRIGHT[],7,FALSE),"")</f>
        <v/>
      </c>
      <c r="Y222" s="211" t="str">
        <f>IFERROR(VLOOKUP(TableHandbook[[#This Row],[UDC]],TableGCHRIGHT[],7,FALSE),"")</f>
        <v/>
      </c>
      <c r="Z222" s="213" t="str">
        <f>IFERROR(VLOOKUP(TableHandbook[[#This Row],[UDC]],TableMCGLOBL2[],7,FALSE),"")</f>
        <v/>
      </c>
      <c r="AA222" s="211" t="str">
        <f>IFERROR(VLOOKUP(TableHandbook[[#This Row],[UDC]],TableMCGLOBL[],7,FALSE),"")</f>
        <v/>
      </c>
      <c r="AB222" s="211" t="str">
        <f>IFERROR(VLOOKUP(TableHandbook[[#This Row],[UDC]],TableSTRPGLOBL[],7,FALSE),"")</f>
        <v/>
      </c>
      <c r="AC222" s="211" t="str">
        <f>IFERROR(VLOOKUP(TableHandbook[[#This Row],[UDC]],TableSTRPHRIGT[],7,FALSE),"")</f>
        <v/>
      </c>
      <c r="AD222" s="211" t="str">
        <f>IFERROR(VLOOKUP(TableHandbook[[#This Row],[UDC]],TableSTRPINTRN[],7,FALSE),"")</f>
        <v/>
      </c>
      <c r="AE222" s="211" t="str">
        <f>IFERROR(VLOOKUP(TableHandbook[[#This Row],[UDC]],TableGCGLOBL[],7,FALSE),"")</f>
        <v/>
      </c>
      <c r="AF222" s="213" t="str">
        <f>IFERROR(VLOOKUP(TableHandbook[[#This Row],[UDC]],TableMCINTREL[],7,FALSE),"")</f>
        <v/>
      </c>
      <c r="AG222" s="211" t="str">
        <f>IFERROR(VLOOKUP(TableHandbook[[#This Row],[UDC]],TableMCINTSEC[],7,FALSE),"")</f>
        <v/>
      </c>
      <c r="AH222" s="211" t="str">
        <f>IFERROR(VLOOKUP(TableHandbook[[#This Row],[UDC]],TableGDINTSEC[],7,FALSE),"")</f>
        <v/>
      </c>
      <c r="AI222" s="211" t="str">
        <f>IFERROR(VLOOKUP(TableHandbook[[#This Row],[UDC]],TableGCINTSEC[],7,FALSE),"")</f>
        <v/>
      </c>
      <c r="AJ222" s="211" t="str">
        <f>IFERROR(VLOOKUP(TableHandbook[[#This Row],[UDC]],TableGCINTELL[],7,FALSE),"")</f>
        <v/>
      </c>
      <c r="AK222" s="211" t="str">
        <f>IFERROR(VLOOKUP(TableHandbook[[#This Row],[UDC]],TableGCIPCSEC[],7,FALSE),"")</f>
        <v/>
      </c>
    </row>
    <row r="223" spans="1:37" x14ac:dyDescent="0.3">
      <c r="A223" s="231" t="s">
        <v>237</v>
      </c>
      <c r="B223" s="3">
        <v>2</v>
      </c>
      <c r="C223" s="3"/>
      <c r="D223" s="209" t="s">
        <v>685</v>
      </c>
      <c r="E223" s="3">
        <v>25</v>
      </c>
      <c r="F223" s="245" t="s">
        <v>191</v>
      </c>
      <c r="G223" s="96" t="str">
        <f>IFERROR(IF(VLOOKUP(TableHandbook[[#This Row],[UDC]],TableAvailabilities[],2,FALSE)&gt;0,"Y",""),"")</f>
        <v>Y</v>
      </c>
      <c r="H223" s="96" t="str">
        <f>IFERROR(IF(VLOOKUP(TableHandbook[[#This Row],[UDC]],TableAvailabilities[],3,FALSE)&gt;0,"Y",""),"")</f>
        <v/>
      </c>
      <c r="I223" s="96" t="str">
        <f>IFERROR(IF(VLOOKUP(TableHandbook[[#This Row],[UDC]],TableAvailabilities[],4,FALSE)&gt;0,"Y",""),"")</f>
        <v/>
      </c>
      <c r="J223" s="96" t="str">
        <f>IFERROR(IF(VLOOKUP(TableHandbook[[#This Row],[UDC]],TableAvailabilities[],5,FALSE)&gt;0,"Y",""),"")</f>
        <v/>
      </c>
      <c r="K223" s="209" t="s">
        <v>433</v>
      </c>
      <c r="L223" s="213" t="str">
        <f>IFERROR(VLOOKUP(TableHandbook[[#This Row],[UDC]],TableMCARTS[],7,FALSE),"")</f>
        <v/>
      </c>
      <c r="M223" s="211" t="str">
        <f>IFERROR(VLOOKUP(TableHandbook[[#This Row],[UDC]],TableMJRPCWRIT[],7,FALSE),"")</f>
        <v/>
      </c>
      <c r="N223" s="211" t="str">
        <f>IFERROR(VLOOKUP(TableHandbook[[#This Row],[UDC]],TableMJRPDGCMS[],7,FALSE),"")</f>
        <v/>
      </c>
      <c r="O223" s="211" t="str">
        <f>IFERROR(VLOOKUP(TableHandbook[[#This Row],[UDC]],TableMJRPFINAR[],7,FALSE),"")</f>
        <v>Option</v>
      </c>
      <c r="P223" s="211" t="str">
        <f>IFERROR(VLOOKUP(TableHandbook[[#This Row],[UDC]],TableMJRPPWRIT[],7,FALSE),"")</f>
        <v/>
      </c>
      <c r="Q223" s="211" t="str">
        <f>IFERROR(VLOOKUP(TableHandbook[[#This Row],[UDC]],TableMJRPSCRAR[],7,FALSE),"")</f>
        <v/>
      </c>
      <c r="R223" s="213" t="str">
        <f>IFERROR(VLOOKUP(TableHandbook[[#This Row],[UDC]],TableMCMMJRG[],7,FALSE),"")</f>
        <v/>
      </c>
      <c r="S223" s="211" t="str">
        <f>IFERROR(VLOOKUP(TableHandbook[[#This Row],[UDC]],TableMCMMJRN[],7,FALSE),"")</f>
        <v/>
      </c>
      <c r="T223" s="211" t="str">
        <f>IFERROR(VLOOKUP(TableHandbook[[#This Row],[UDC]],TableGDMMJRN[],7,FALSE),"")</f>
        <v/>
      </c>
      <c r="U223" s="211" t="str">
        <f>IFERROR(VLOOKUP(TableHandbook[[#This Row],[UDC]],TableGCMMJRN[],7,FALSE),"")</f>
        <v/>
      </c>
      <c r="V223" s="213" t="str">
        <f>IFERROR(VLOOKUP(TableHandbook[[#This Row],[UDC]],TableMCHRIGLO[],7,FALSE),"")</f>
        <v/>
      </c>
      <c r="W223" s="211" t="str">
        <f>IFERROR(VLOOKUP(TableHandbook[[#This Row],[UDC]],TableMCHRIGHT[],7,FALSE),"")</f>
        <v/>
      </c>
      <c r="X223" s="211" t="str">
        <f>IFERROR(VLOOKUP(TableHandbook[[#This Row],[UDC]],TableGDHRIGHT[],7,FALSE),"")</f>
        <v/>
      </c>
      <c r="Y223" s="211" t="str">
        <f>IFERROR(VLOOKUP(TableHandbook[[#This Row],[UDC]],TableGCHRIGHT[],7,FALSE),"")</f>
        <v/>
      </c>
      <c r="Z223" s="213" t="str">
        <f>IFERROR(VLOOKUP(TableHandbook[[#This Row],[UDC]],TableMCGLOBL2[],7,FALSE),"")</f>
        <v/>
      </c>
      <c r="AA223" s="211" t="str">
        <f>IFERROR(VLOOKUP(TableHandbook[[#This Row],[UDC]],TableMCGLOBL[],7,FALSE),"")</f>
        <v/>
      </c>
      <c r="AB223" s="211" t="str">
        <f>IFERROR(VLOOKUP(TableHandbook[[#This Row],[UDC]],TableSTRPGLOBL[],7,FALSE),"")</f>
        <v/>
      </c>
      <c r="AC223" s="211" t="str">
        <f>IFERROR(VLOOKUP(TableHandbook[[#This Row],[UDC]],TableSTRPHRIGT[],7,FALSE),"")</f>
        <v/>
      </c>
      <c r="AD223" s="211" t="str">
        <f>IFERROR(VLOOKUP(TableHandbook[[#This Row],[UDC]],TableSTRPINTRN[],7,FALSE),"")</f>
        <v/>
      </c>
      <c r="AE223" s="211" t="str">
        <f>IFERROR(VLOOKUP(TableHandbook[[#This Row],[UDC]],TableGCGLOBL[],7,FALSE),"")</f>
        <v/>
      </c>
      <c r="AF223" s="213" t="str">
        <f>IFERROR(VLOOKUP(TableHandbook[[#This Row],[UDC]],TableMCINTREL[],7,FALSE),"")</f>
        <v/>
      </c>
      <c r="AG223" s="211" t="str">
        <f>IFERROR(VLOOKUP(TableHandbook[[#This Row],[UDC]],TableMCINTSEC[],7,FALSE),"")</f>
        <v/>
      </c>
      <c r="AH223" s="211" t="str">
        <f>IFERROR(VLOOKUP(TableHandbook[[#This Row],[UDC]],TableGDINTSEC[],7,FALSE),"")</f>
        <v/>
      </c>
      <c r="AI223" s="211" t="str">
        <f>IFERROR(VLOOKUP(TableHandbook[[#This Row],[UDC]],TableGCINTSEC[],7,FALSE),"")</f>
        <v/>
      </c>
      <c r="AJ223" s="211" t="str">
        <f>IFERROR(VLOOKUP(TableHandbook[[#This Row],[UDC]],TableGCINTELL[],7,FALSE),"")</f>
        <v/>
      </c>
      <c r="AK223" s="211" t="str">
        <f>IFERROR(VLOOKUP(TableHandbook[[#This Row],[UDC]],TableGCIPCSEC[],7,FALSE),"")</f>
        <v/>
      </c>
    </row>
    <row r="224" spans="1:37" x14ac:dyDescent="0.3">
      <c r="A224" s="2" t="s">
        <v>686</v>
      </c>
      <c r="B224" s="3">
        <v>1</v>
      </c>
      <c r="C224" s="3"/>
      <c r="D224" s="209" t="s">
        <v>687</v>
      </c>
      <c r="E224" s="3">
        <v>25</v>
      </c>
      <c r="F224" s="149" t="s">
        <v>191</v>
      </c>
      <c r="G224" s="96" t="str">
        <f>IFERROR(IF(VLOOKUP(TableHandbook[[#This Row],[UDC]],TableAvailabilities[],2,FALSE)&gt;0,"Y",""),"")</f>
        <v/>
      </c>
      <c r="H224" s="96" t="str">
        <f>IFERROR(IF(VLOOKUP(TableHandbook[[#This Row],[UDC]],TableAvailabilities[],3,FALSE)&gt;0,"Y",""),"")</f>
        <v/>
      </c>
      <c r="I224" s="96" t="str">
        <f>IFERROR(IF(VLOOKUP(TableHandbook[[#This Row],[UDC]],TableAvailabilities[],4,FALSE)&gt;0,"Y",""),"")</f>
        <v/>
      </c>
      <c r="J224" s="96" t="str">
        <f>IFERROR(IF(VLOOKUP(TableHandbook[[#This Row],[UDC]],TableAvailabilities[],5,FALSE)&gt;0,"Y",""),"")</f>
        <v/>
      </c>
      <c r="K224" s="209" t="s">
        <v>436</v>
      </c>
      <c r="L224" s="213" t="str">
        <f>IFERROR(VLOOKUP(TableHandbook[[#This Row],[UDC]],TableMCARTS[],7,FALSE),"")</f>
        <v/>
      </c>
      <c r="M224" s="211" t="str">
        <f>IFERROR(VLOOKUP(TableHandbook[[#This Row],[UDC]],TableMJRPCWRIT[],7,FALSE),"")</f>
        <v/>
      </c>
      <c r="N224" s="211" t="str">
        <f>IFERROR(VLOOKUP(TableHandbook[[#This Row],[UDC]],TableMJRPDGCMS[],7,FALSE),"")</f>
        <v/>
      </c>
      <c r="O224" s="211" t="str">
        <f>IFERROR(VLOOKUP(TableHandbook[[#This Row],[UDC]],TableMJRPFINAR[],7,FALSE),"")</f>
        <v/>
      </c>
      <c r="P224" s="211" t="str">
        <f>IFERROR(VLOOKUP(TableHandbook[[#This Row],[UDC]],TableMJRPPWRIT[],7,FALSE),"")</f>
        <v/>
      </c>
      <c r="Q224" s="211" t="str">
        <f>IFERROR(VLOOKUP(TableHandbook[[#This Row],[UDC]],TableMJRPSCRAR[],7,FALSE),"")</f>
        <v/>
      </c>
      <c r="R224" s="213" t="str">
        <f>IFERROR(VLOOKUP(TableHandbook[[#This Row],[UDC]],TableMCMMJRG[],7,FALSE),"")</f>
        <v/>
      </c>
      <c r="S224" s="211" t="str">
        <f>IFERROR(VLOOKUP(TableHandbook[[#This Row],[UDC]],TableMCMMJRN[],7,FALSE),"")</f>
        <v/>
      </c>
      <c r="T224" s="211" t="str">
        <f>IFERROR(VLOOKUP(TableHandbook[[#This Row],[UDC]],TableGDMMJRN[],7,FALSE),"")</f>
        <v/>
      </c>
      <c r="U224" s="211" t="str">
        <f>IFERROR(VLOOKUP(TableHandbook[[#This Row],[UDC]],TableGCMMJRN[],7,FALSE),"")</f>
        <v/>
      </c>
      <c r="V224" s="213" t="str">
        <f>IFERROR(VLOOKUP(TableHandbook[[#This Row],[UDC]],TableMCHRIGLO[],7,FALSE),"")</f>
        <v/>
      </c>
      <c r="W224" s="211" t="str">
        <f>IFERROR(VLOOKUP(TableHandbook[[#This Row],[UDC]],TableMCHRIGHT[],7,FALSE),"")</f>
        <v/>
      </c>
      <c r="X224" s="211" t="str">
        <f>IFERROR(VLOOKUP(TableHandbook[[#This Row],[UDC]],TableGDHRIGHT[],7,FALSE),"")</f>
        <v/>
      </c>
      <c r="Y224" s="211" t="str">
        <f>IFERROR(VLOOKUP(TableHandbook[[#This Row],[UDC]],TableGCHRIGHT[],7,FALSE),"")</f>
        <v/>
      </c>
      <c r="Z224" s="213" t="str">
        <f>IFERROR(VLOOKUP(TableHandbook[[#This Row],[UDC]],TableMCGLOBL2[],7,FALSE),"")</f>
        <v/>
      </c>
      <c r="AA224" s="211" t="str">
        <f>IFERROR(VLOOKUP(TableHandbook[[#This Row],[UDC]],TableMCGLOBL[],7,FALSE),"")</f>
        <v/>
      </c>
      <c r="AB224" s="211" t="str">
        <f>IFERROR(VLOOKUP(TableHandbook[[#This Row],[UDC]],TableSTRPGLOBL[],7,FALSE),"")</f>
        <v/>
      </c>
      <c r="AC224" s="211" t="str">
        <f>IFERROR(VLOOKUP(TableHandbook[[#This Row],[UDC]],TableSTRPHRIGT[],7,FALSE),"")</f>
        <v/>
      </c>
      <c r="AD224" s="211" t="str">
        <f>IFERROR(VLOOKUP(TableHandbook[[#This Row],[UDC]],TableSTRPINTRN[],7,FALSE),"")</f>
        <v/>
      </c>
      <c r="AE224" s="211" t="str">
        <f>IFERROR(VLOOKUP(TableHandbook[[#This Row],[UDC]],TableGCGLOBL[],7,FALSE),"")</f>
        <v/>
      </c>
      <c r="AF224" s="213" t="str">
        <f>IFERROR(VLOOKUP(TableHandbook[[#This Row],[UDC]],TableMCINTREL[],7,FALSE),"")</f>
        <v/>
      </c>
      <c r="AG224" s="211" t="str">
        <f>IFERROR(VLOOKUP(TableHandbook[[#This Row],[UDC]],TableMCINTSEC[],7,FALSE),"")</f>
        <v/>
      </c>
      <c r="AH224" s="211" t="str">
        <f>IFERROR(VLOOKUP(TableHandbook[[#This Row],[UDC]],TableGDINTSEC[],7,FALSE),"")</f>
        <v/>
      </c>
      <c r="AI224" s="211" t="str">
        <f>IFERROR(VLOOKUP(TableHandbook[[#This Row],[UDC]],TableGCINTSEC[],7,FALSE),"")</f>
        <v/>
      </c>
      <c r="AJ224" s="211" t="str">
        <f>IFERROR(VLOOKUP(TableHandbook[[#This Row],[UDC]],TableGCINTELL[],7,FALSE),"")</f>
        <v/>
      </c>
      <c r="AK224" s="211" t="str">
        <f>IFERROR(VLOOKUP(TableHandbook[[#This Row],[UDC]],TableGCIPCSEC[],7,FALSE),"")</f>
        <v/>
      </c>
    </row>
  </sheetData>
  <sortState xmlns:xlrd2="http://schemas.microsoft.com/office/spreadsheetml/2017/richdata2" ref="A21:D34">
    <sortCondition ref="A21"/>
  </sortState>
  <conditionalFormatting sqref="A3:A224">
    <cfRule type="duplicateValues" dxfId="100" priority="554"/>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07"/>
  <sheetViews>
    <sheetView zoomScale="70" zoomScaleNormal="70" workbookViewId="0">
      <pane ySplit="1" topLeftCell="A2" activePane="bottomLeft" state="frozen"/>
      <selection activeCell="B61" sqref="B61"/>
      <selection pane="bottomLeft" activeCell="B61" sqref="B61"/>
    </sheetView>
  </sheetViews>
  <sheetFormatPr defaultRowHeight="15.6" x14ac:dyDescent="0.3"/>
  <cols>
    <col min="1" max="1" width="16.8984375" customWidth="1"/>
    <col min="2" max="2" width="12.3984375" style="1" bestFit="1" customWidth="1"/>
    <col min="3" max="3" width="12" bestFit="1" customWidth="1"/>
    <col min="4" max="4" width="48.69921875" bestFit="1" customWidth="1"/>
    <col min="5" max="5" width="8.59765625" style="1" bestFit="1" customWidth="1"/>
    <col min="6" max="6" width="6.5" bestFit="1" customWidth="1"/>
    <col min="7" max="7" width="18.5" bestFit="1" customWidth="1"/>
    <col min="8" max="8" width="12" bestFit="1" customWidth="1"/>
    <col min="9" max="9" width="14.5" bestFit="1" customWidth="1"/>
    <col min="10" max="10" width="21.09765625" bestFit="1" customWidth="1"/>
    <col min="11" max="11" width="6.19921875" bestFit="1" customWidth="1"/>
    <col min="12" max="12" width="52.8984375" customWidth="1"/>
    <col min="13" max="13" width="14.69921875" bestFit="1" customWidth="1"/>
    <col min="14" max="14" width="12.5" bestFit="1" customWidth="1"/>
    <col min="15" max="15" width="11.19921875" bestFit="1" customWidth="1"/>
    <col min="16" max="16" width="10.09765625" bestFit="1" customWidth="1"/>
    <col min="17" max="17" width="13.09765625" bestFit="1" customWidth="1"/>
    <col min="18" max="18" width="7.09765625" bestFit="1" customWidth="1"/>
  </cols>
  <sheetData>
    <row r="1" spans="1:18" x14ac:dyDescent="0.3">
      <c r="A1" s="66" t="s">
        <v>688</v>
      </c>
    </row>
    <row r="2" spans="1:18" x14ac:dyDescent="0.3">
      <c r="B2"/>
      <c r="E2"/>
      <c r="F2" s="93"/>
      <c r="G2" s="94" t="s">
        <v>689</v>
      </c>
      <c r="H2" s="228">
        <v>45658</v>
      </c>
      <c r="I2" s="146"/>
      <c r="J2" s="230" t="s">
        <v>58</v>
      </c>
      <c r="K2" s="229" t="s">
        <v>59</v>
      </c>
      <c r="L2" s="146" t="s">
        <v>11</v>
      </c>
      <c r="M2" s="146"/>
      <c r="N2" s="180" t="s">
        <v>690</v>
      </c>
      <c r="O2" s="147">
        <v>45580</v>
      </c>
      <c r="P2" s="206">
        <v>45292</v>
      </c>
    </row>
    <row r="3" spans="1:18" x14ac:dyDescent="0.3">
      <c r="A3" t="s">
        <v>0</v>
      </c>
      <c r="B3" s="1" t="s">
        <v>691</v>
      </c>
      <c r="C3" t="s">
        <v>692</v>
      </c>
      <c r="D3" t="s">
        <v>3</v>
      </c>
      <c r="E3" s="95" t="s">
        <v>693</v>
      </c>
      <c r="F3" t="s">
        <v>694</v>
      </c>
      <c r="G3" t="s">
        <v>695</v>
      </c>
      <c r="H3" t="s">
        <v>696</v>
      </c>
      <c r="I3" t="s">
        <v>22</v>
      </c>
      <c r="J3" t="s">
        <v>697</v>
      </c>
      <c r="K3" t="s">
        <v>1</v>
      </c>
      <c r="L3" t="s">
        <v>698</v>
      </c>
      <c r="M3" t="s">
        <v>53</v>
      </c>
      <c r="N3" t="s">
        <v>699</v>
      </c>
      <c r="O3" t="s">
        <v>700</v>
      </c>
      <c r="Q3" t="s">
        <v>701</v>
      </c>
      <c r="R3" t="s">
        <v>1</v>
      </c>
    </row>
    <row r="4" spans="1:18" x14ac:dyDescent="0.3">
      <c r="A4" t="str">
        <f>TableMCARTS[[#This Row],[Study Package Code]]</f>
        <v/>
      </c>
      <c r="B4" s="1">
        <f>TableMCARTS[[#This Row],[Ver]]</f>
        <v>0</v>
      </c>
      <c r="D4" t="str">
        <f>TableMCARTS[[#This Row],[Structure Line]]</f>
        <v>Choose a Major</v>
      </c>
      <c r="E4" s="95">
        <f>TableMCARTS[[#This Row],[Credit Points]]</f>
        <v>400</v>
      </c>
      <c r="F4">
        <v>1</v>
      </c>
      <c r="G4" t="s">
        <v>702</v>
      </c>
      <c r="H4">
        <v>0</v>
      </c>
      <c r="I4" t="s">
        <v>703</v>
      </c>
      <c r="J4" t="s">
        <v>704</v>
      </c>
      <c r="K4">
        <v>0</v>
      </c>
      <c r="L4" t="s">
        <v>705</v>
      </c>
      <c r="M4">
        <v>400</v>
      </c>
      <c r="N4" s="147"/>
      <c r="O4" s="147"/>
      <c r="Q4" t="s">
        <v>704</v>
      </c>
      <c r="R4">
        <v>0</v>
      </c>
    </row>
    <row r="5" spans="1:18" x14ac:dyDescent="0.3">
      <c r="A5" t="str">
        <f>TableMCARTS[[#This Row],[Study Package Code]]</f>
        <v>MJRP-CWRIT</v>
      </c>
      <c r="B5" s="1">
        <f>TableMCARTS[[#This Row],[Ver]]</f>
        <v>3</v>
      </c>
      <c r="D5" t="str">
        <f>TableMCARTS[[#This Row],[Structure Line]]</f>
        <v>Creative Writing Major (MArts)</v>
      </c>
      <c r="E5" s="95">
        <f>TableMCARTS[[#This Row],[Credit Points]]</f>
        <v>400</v>
      </c>
      <c r="F5">
        <v>1</v>
      </c>
      <c r="G5" t="s">
        <v>702</v>
      </c>
      <c r="H5">
        <v>0</v>
      </c>
      <c r="I5" t="s">
        <v>703</v>
      </c>
      <c r="J5" t="s">
        <v>145</v>
      </c>
      <c r="K5">
        <v>3</v>
      </c>
      <c r="L5" t="s">
        <v>170</v>
      </c>
      <c r="M5">
        <v>400</v>
      </c>
      <c r="N5" s="147">
        <v>45658</v>
      </c>
      <c r="O5" s="147"/>
      <c r="Q5" t="s">
        <v>145</v>
      </c>
      <c r="R5">
        <v>2</v>
      </c>
    </row>
    <row r="6" spans="1:18" x14ac:dyDescent="0.3">
      <c r="A6" t="str">
        <f>TableMCARTS[[#This Row],[Study Package Code]]</f>
        <v>MJRP-DGCMS</v>
      </c>
      <c r="B6" s="1">
        <f>TableMCARTS[[#This Row],[Ver]]</f>
        <v>1</v>
      </c>
      <c r="D6" t="str">
        <f>TableMCARTS[[#This Row],[Structure Line]]</f>
        <v>Digital Communications Major (MArts)</v>
      </c>
      <c r="E6" s="95">
        <f>TableMCARTS[[#This Row],[Credit Points]]</f>
        <v>400</v>
      </c>
      <c r="F6">
        <v>1</v>
      </c>
      <c r="G6" t="s">
        <v>702</v>
      </c>
      <c r="H6">
        <v>0</v>
      </c>
      <c r="I6" t="s">
        <v>703</v>
      </c>
      <c r="J6" t="s">
        <v>146</v>
      </c>
      <c r="K6">
        <v>1</v>
      </c>
      <c r="L6" t="s">
        <v>14</v>
      </c>
      <c r="M6">
        <v>400</v>
      </c>
      <c r="N6" s="147">
        <v>45658</v>
      </c>
      <c r="O6" s="147"/>
    </row>
    <row r="7" spans="1:18" x14ac:dyDescent="0.3">
      <c r="A7" t="str">
        <f>TableMCARTS[[#This Row],[Study Package Code]]</f>
        <v>MJRP-FINAR</v>
      </c>
      <c r="B7" s="1">
        <f>TableMCARTS[[#This Row],[Ver]]</f>
        <v>3</v>
      </c>
      <c r="D7" t="str">
        <f>TableMCARTS[[#This Row],[Structure Line]]</f>
        <v>Fine Art Major (MArts)</v>
      </c>
      <c r="E7" s="95">
        <f>TableMCARTS[[#This Row],[Credit Points]]</f>
        <v>400</v>
      </c>
      <c r="F7">
        <v>1</v>
      </c>
      <c r="G7" t="s">
        <v>702</v>
      </c>
      <c r="H7">
        <v>0</v>
      </c>
      <c r="I7" t="s">
        <v>703</v>
      </c>
      <c r="J7" t="s">
        <v>147</v>
      </c>
      <c r="K7">
        <v>3</v>
      </c>
      <c r="L7" t="s">
        <v>172</v>
      </c>
      <c r="M7">
        <v>400</v>
      </c>
      <c r="N7" s="147">
        <v>45658</v>
      </c>
      <c r="O7" s="147"/>
      <c r="Q7" t="s">
        <v>147</v>
      </c>
      <c r="R7">
        <v>2</v>
      </c>
    </row>
    <row r="8" spans="1:18" x14ac:dyDescent="0.3">
      <c r="A8" t="str">
        <f>TableMCARTS[[#This Row],[Study Package Code]]</f>
        <v>MJRP-PWRIT</v>
      </c>
      <c r="B8" s="1">
        <f>TableMCARTS[[#This Row],[Ver]]</f>
        <v>3</v>
      </c>
      <c r="D8" t="str">
        <f>TableMCARTS[[#This Row],[Structure Line]]</f>
        <v>Professional Writing and Publishing Major (MArts)</v>
      </c>
      <c r="E8" s="95">
        <f>TableMCARTS[[#This Row],[Credit Points]]</f>
        <v>400</v>
      </c>
      <c r="F8">
        <v>1</v>
      </c>
      <c r="G8" t="s">
        <v>702</v>
      </c>
      <c r="H8">
        <v>0</v>
      </c>
      <c r="I8" t="s">
        <v>703</v>
      </c>
      <c r="J8" t="s">
        <v>148</v>
      </c>
      <c r="K8">
        <v>3</v>
      </c>
      <c r="L8" t="s">
        <v>176</v>
      </c>
      <c r="M8">
        <v>400</v>
      </c>
      <c r="N8" s="147">
        <v>45658</v>
      </c>
      <c r="O8" s="147"/>
      <c r="Q8" t="s">
        <v>148</v>
      </c>
      <c r="R8">
        <v>2</v>
      </c>
    </row>
    <row r="9" spans="1:18" x14ac:dyDescent="0.3">
      <c r="A9" t="str">
        <f>TableMCARTS[[#This Row],[Study Package Code]]</f>
        <v>MJRP-SCRAR</v>
      </c>
      <c r="B9" s="1">
        <f>TableMCARTS[[#This Row],[Ver]]</f>
        <v>4</v>
      </c>
      <c r="D9" t="str">
        <f>TableMCARTS[[#This Row],[Structure Line]]</f>
        <v>Screen Arts Major (MArts)</v>
      </c>
      <c r="E9" s="95">
        <f>TableMCARTS[[#This Row],[Credit Points]]</f>
        <v>400</v>
      </c>
      <c r="F9">
        <v>1</v>
      </c>
      <c r="G9" t="s">
        <v>702</v>
      </c>
      <c r="H9">
        <v>0</v>
      </c>
      <c r="I9" t="s">
        <v>703</v>
      </c>
      <c r="J9" t="s">
        <v>149</v>
      </c>
      <c r="K9">
        <v>4</v>
      </c>
      <c r="L9" t="s">
        <v>179</v>
      </c>
      <c r="M9">
        <v>400</v>
      </c>
      <c r="N9" s="147">
        <v>45658</v>
      </c>
      <c r="O9" s="147"/>
      <c r="Q9" t="s">
        <v>149</v>
      </c>
      <c r="R9">
        <v>3</v>
      </c>
    </row>
    <row r="10" spans="1:18" x14ac:dyDescent="0.3">
      <c r="B10"/>
      <c r="E10"/>
      <c r="F10" s="93"/>
      <c r="G10" s="94" t="s">
        <v>689</v>
      </c>
      <c r="H10" s="228">
        <v>45658</v>
      </c>
      <c r="I10" s="146"/>
      <c r="J10" s="230" t="s">
        <v>145</v>
      </c>
      <c r="K10" s="229" t="s">
        <v>113</v>
      </c>
      <c r="L10" s="146" t="s">
        <v>170</v>
      </c>
      <c r="M10" s="146"/>
      <c r="N10" s="180" t="s">
        <v>690</v>
      </c>
      <c r="O10" s="147">
        <v>45580</v>
      </c>
      <c r="R10" s="178"/>
    </row>
    <row r="11" spans="1:18" x14ac:dyDescent="0.3">
      <c r="A11" t="s">
        <v>0</v>
      </c>
      <c r="B11" s="1" t="s">
        <v>691</v>
      </c>
      <c r="C11" t="s">
        <v>692</v>
      </c>
      <c r="D11" t="s">
        <v>3</v>
      </c>
      <c r="E11" s="95" t="s">
        <v>693</v>
      </c>
      <c r="F11" t="s">
        <v>694</v>
      </c>
      <c r="G11" t="s">
        <v>695</v>
      </c>
      <c r="H11" t="s">
        <v>696</v>
      </c>
      <c r="I11" t="s">
        <v>22</v>
      </c>
      <c r="J11" t="s">
        <v>697</v>
      </c>
      <c r="K11" t="s">
        <v>1</v>
      </c>
      <c r="L11" t="s">
        <v>698</v>
      </c>
      <c r="M11" t="s">
        <v>53</v>
      </c>
      <c r="N11" t="s">
        <v>699</v>
      </c>
      <c r="O11" t="s">
        <v>700</v>
      </c>
      <c r="Q11" t="s">
        <v>701</v>
      </c>
      <c r="R11" t="s">
        <v>1</v>
      </c>
    </row>
    <row r="12" spans="1:18" x14ac:dyDescent="0.3">
      <c r="A12" t="str">
        <f>TableMJRPCWRIT[[#This Row],[Study Package Code]]</f>
        <v>COMS5003</v>
      </c>
      <c r="B12" s="1">
        <f>TableMJRPCWRIT[[#This Row],[Ver]]</f>
        <v>2</v>
      </c>
      <c r="D12" t="str">
        <f>TableMJRPCWRIT[[#This Row],[Structure Line]]</f>
        <v>Approaches to Arts Research</v>
      </c>
      <c r="E12" s="95">
        <f>TableMJRPCWRIT[[#This Row],[Credit Points]]</f>
        <v>25</v>
      </c>
      <c r="F12">
        <v>1</v>
      </c>
      <c r="G12" t="s">
        <v>706</v>
      </c>
      <c r="H12">
        <v>1</v>
      </c>
      <c r="I12" t="s">
        <v>703</v>
      </c>
      <c r="J12" t="s">
        <v>56</v>
      </c>
      <c r="K12">
        <v>2</v>
      </c>
      <c r="L12" t="s">
        <v>432</v>
      </c>
      <c r="M12">
        <v>25</v>
      </c>
      <c r="N12" s="147">
        <v>45658</v>
      </c>
      <c r="O12" s="147"/>
      <c r="Q12" t="s">
        <v>56</v>
      </c>
      <c r="R12">
        <v>1</v>
      </c>
    </row>
    <row r="13" spans="1:18" x14ac:dyDescent="0.3">
      <c r="A13" t="str">
        <f>TableMJRPCWRIT[[#This Row],[Study Package Code]]</f>
        <v>COMS6005</v>
      </c>
      <c r="B13" s="1">
        <f>TableMJRPCWRIT[[#This Row],[Ver]]</f>
        <v>1</v>
      </c>
      <c r="D13" t="str">
        <f>TableMJRPCWRIT[[#This Row],[Structure Line]]</f>
        <v>Planning an Arts Research Project</v>
      </c>
      <c r="E13" s="95">
        <f>TableMJRPCWRIT[[#This Row],[Credit Points]]</f>
        <v>25</v>
      </c>
      <c r="F13">
        <v>2</v>
      </c>
      <c r="G13" t="s">
        <v>706</v>
      </c>
      <c r="H13">
        <v>1</v>
      </c>
      <c r="I13" t="s">
        <v>703</v>
      </c>
      <c r="J13" t="s">
        <v>84</v>
      </c>
      <c r="K13">
        <v>1</v>
      </c>
      <c r="L13" t="s">
        <v>440</v>
      </c>
      <c r="M13">
        <v>25</v>
      </c>
      <c r="N13" s="147">
        <v>43466</v>
      </c>
      <c r="O13" s="147"/>
      <c r="Q13" t="s">
        <v>84</v>
      </c>
      <c r="R13">
        <v>1</v>
      </c>
    </row>
    <row r="14" spans="1:18" x14ac:dyDescent="0.3">
      <c r="A14" t="str">
        <f>TableMJRPCWRIT[[#This Row],[Study Package Code]]</f>
        <v>AC-CWRIT</v>
      </c>
      <c r="B14" s="1">
        <f>TableMJRPCWRIT[[#This Row],[Ver]]</f>
        <v>0</v>
      </c>
      <c r="D14" t="str">
        <f>TableMJRPCWRIT[[#This Row],[Structure Line]]</f>
        <v>Choose COMS6004 or HUMN6003</v>
      </c>
      <c r="E14" s="95">
        <f>TableMJRPCWRIT[[#This Row],[Credit Points]]</f>
        <v>50</v>
      </c>
      <c r="F14">
        <v>3</v>
      </c>
      <c r="G14" t="s">
        <v>702</v>
      </c>
      <c r="H14">
        <v>2</v>
      </c>
      <c r="I14" t="s">
        <v>703</v>
      </c>
      <c r="J14" t="s">
        <v>118</v>
      </c>
      <c r="K14">
        <v>0</v>
      </c>
      <c r="L14" t="s">
        <v>707</v>
      </c>
      <c r="M14">
        <v>50</v>
      </c>
      <c r="N14" s="147"/>
      <c r="O14" s="147"/>
      <c r="Q14" t="s">
        <v>118</v>
      </c>
      <c r="R14">
        <v>0</v>
      </c>
    </row>
    <row r="15" spans="1:18" x14ac:dyDescent="0.3">
      <c r="A15" t="str">
        <f>TableMJRPCWRIT[[#This Row],[Study Package Code]]</f>
        <v>Opt-CWRIT</v>
      </c>
      <c r="B15" s="1">
        <f>TableMJRPCWRIT[[#This Row],[Ver]]</f>
        <v>0</v>
      </c>
      <c r="D15" t="str">
        <f>TableMJRPCWRIT[[#This Row],[Structure Line]]</f>
        <v>Choose Options</v>
      </c>
      <c r="E15" s="95">
        <f>TableMJRPCWRIT[[#This Row],[Credit Points]]</f>
        <v>300</v>
      </c>
      <c r="F15">
        <v>4</v>
      </c>
      <c r="G15" t="s">
        <v>708</v>
      </c>
      <c r="H15">
        <v>0</v>
      </c>
      <c r="I15" t="s">
        <v>703</v>
      </c>
      <c r="J15" t="s">
        <v>62</v>
      </c>
      <c r="K15">
        <v>0</v>
      </c>
      <c r="L15" t="s">
        <v>709</v>
      </c>
      <c r="M15">
        <v>300</v>
      </c>
      <c r="N15" s="147"/>
      <c r="O15" s="147"/>
      <c r="Q15" t="s">
        <v>62</v>
      </c>
      <c r="R15">
        <v>0</v>
      </c>
    </row>
    <row r="16" spans="1:18" x14ac:dyDescent="0.3">
      <c r="A16" t="str">
        <f>TableMJRPCWRIT[[#This Row],[Study Package Code]]</f>
        <v>COMS6004</v>
      </c>
      <c r="B16" s="1">
        <f>TableMJRPCWRIT[[#This Row],[Ver]]</f>
        <v>2</v>
      </c>
      <c r="D16" t="str">
        <f>TableMJRPCWRIT[[#This Row],[Structure Line]]</f>
        <v>Masters Professional or Creative Project</v>
      </c>
      <c r="E16" s="95">
        <f>TableMJRPCWRIT[[#This Row],[Credit Points]]</f>
        <v>50</v>
      </c>
      <c r="F16">
        <v>3</v>
      </c>
      <c r="G16" t="s">
        <v>702</v>
      </c>
      <c r="H16">
        <v>2</v>
      </c>
      <c r="I16" t="s">
        <v>703</v>
      </c>
      <c r="J16" t="s">
        <v>155</v>
      </c>
      <c r="K16">
        <v>2</v>
      </c>
      <c r="L16" t="s">
        <v>439</v>
      </c>
      <c r="M16">
        <v>50</v>
      </c>
      <c r="N16" s="147">
        <v>45292</v>
      </c>
      <c r="O16" s="147"/>
      <c r="Q16" t="s">
        <v>155</v>
      </c>
      <c r="R16">
        <v>2</v>
      </c>
    </row>
    <row r="17" spans="1:18" x14ac:dyDescent="0.3">
      <c r="A17" t="str">
        <f>TableMJRPCWRIT[[#This Row],[Study Package Code]]</f>
        <v>HUMN6003</v>
      </c>
      <c r="B17" s="1">
        <f>TableMJRPCWRIT[[#This Row],[Ver]]</f>
        <v>1</v>
      </c>
      <c r="D17" t="str">
        <f>TableMJRPCWRIT[[#This Row],[Structure Line]]</f>
        <v>Masters Research Project 2</v>
      </c>
      <c r="E17" s="95">
        <f>TableMJRPCWRIT[[#This Row],[Credit Points]]</f>
        <v>50</v>
      </c>
      <c r="F17">
        <v>3</v>
      </c>
      <c r="G17" t="s">
        <v>702</v>
      </c>
      <c r="H17">
        <v>2</v>
      </c>
      <c r="I17" t="s">
        <v>703</v>
      </c>
      <c r="J17" t="s">
        <v>161</v>
      </c>
      <c r="K17">
        <v>1</v>
      </c>
      <c r="L17" t="s">
        <v>710</v>
      </c>
      <c r="M17">
        <v>50</v>
      </c>
      <c r="N17" s="147">
        <v>45292</v>
      </c>
      <c r="O17" s="147"/>
      <c r="Q17" t="s">
        <v>161</v>
      </c>
      <c r="R17">
        <v>1</v>
      </c>
    </row>
    <row r="18" spans="1:18" x14ac:dyDescent="0.3">
      <c r="A18" t="str">
        <f>TableMJRPCWRIT[[#This Row],[Study Package Code]]</f>
        <v>COMS6002</v>
      </c>
      <c r="B18" s="1">
        <f>TableMJRPCWRIT[[#This Row],[Ver]]</f>
        <v>3</v>
      </c>
      <c r="D18" t="str">
        <f>TableMJRPCWRIT[[#This Row],[Structure Line]]</f>
        <v>Masters Professional Experience</v>
      </c>
      <c r="E18" s="95">
        <f>TableMJRPCWRIT[[#This Row],[Credit Points]]</f>
        <v>50</v>
      </c>
      <c r="F18">
        <v>4</v>
      </c>
      <c r="G18" t="s">
        <v>708</v>
      </c>
      <c r="H18">
        <v>0</v>
      </c>
      <c r="I18" t="s">
        <v>703</v>
      </c>
      <c r="J18" t="s">
        <v>177</v>
      </c>
      <c r="K18">
        <v>3</v>
      </c>
      <c r="L18" t="s">
        <v>437</v>
      </c>
      <c r="M18">
        <v>50</v>
      </c>
      <c r="N18" s="147">
        <v>45292</v>
      </c>
      <c r="O18" s="147"/>
      <c r="Q18" t="s">
        <v>177</v>
      </c>
      <c r="R18">
        <v>3</v>
      </c>
    </row>
    <row r="19" spans="1:18" x14ac:dyDescent="0.3">
      <c r="A19" t="str">
        <f>TableMJRPCWRIT[[#This Row],[Study Package Code]]</f>
        <v>CWRI5000</v>
      </c>
      <c r="B19" s="1">
        <f>TableMJRPCWRIT[[#This Row],[Ver]]</f>
        <v>2</v>
      </c>
      <c r="D19" t="str">
        <f>TableMJRPCWRIT[[#This Row],[Structure Line]]</f>
        <v>Graduate Writing Long Fiction</v>
      </c>
      <c r="E19" s="95">
        <f>TableMJRPCWRIT[[#This Row],[Credit Points]]</f>
        <v>25</v>
      </c>
      <c r="F19">
        <v>4</v>
      </c>
      <c r="G19" t="s">
        <v>708</v>
      </c>
      <c r="H19">
        <v>0</v>
      </c>
      <c r="I19" t="s">
        <v>703</v>
      </c>
      <c r="J19" t="s">
        <v>189</v>
      </c>
      <c r="K19">
        <v>2</v>
      </c>
      <c r="L19" t="s">
        <v>441</v>
      </c>
      <c r="M19">
        <v>25</v>
      </c>
      <c r="N19" s="147">
        <v>45658</v>
      </c>
      <c r="O19" s="147"/>
      <c r="Q19" t="s">
        <v>189</v>
      </c>
      <c r="R19">
        <v>1</v>
      </c>
    </row>
    <row r="20" spans="1:18" x14ac:dyDescent="0.3">
      <c r="A20" t="str">
        <f>TableMJRPCWRIT[[#This Row],[Study Package Code]]</f>
        <v>CWRI5003</v>
      </c>
      <c r="B20" s="1">
        <f>TableMJRPCWRIT[[#This Row],[Ver]]</f>
        <v>2</v>
      </c>
      <c r="D20" t="str">
        <f>TableMJRPCWRIT[[#This Row],[Structure Line]]</f>
        <v>Graduate Writing for Children</v>
      </c>
      <c r="E20" s="95">
        <f>TableMJRPCWRIT[[#This Row],[Credit Points]]</f>
        <v>25</v>
      </c>
      <c r="F20">
        <v>4</v>
      </c>
      <c r="G20" t="s">
        <v>708</v>
      </c>
      <c r="H20">
        <v>0</v>
      </c>
      <c r="I20" t="s">
        <v>703</v>
      </c>
      <c r="J20" t="s">
        <v>195</v>
      </c>
      <c r="K20">
        <v>2</v>
      </c>
      <c r="L20" t="s">
        <v>444</v>
      </c>
      <c r="M20">
        <v>25</v>
      </c>
      <c r="N20" s="147">
        <v>45658</v>
      </c>
      <c r="O20" s="147"/>
      <c r="Q20" t="s">
        <v>195</v>
      </c>
      <c r="R20">
        <v>1</v>
      </c>
    </row>
    <row r="21" spans="1:18" x14ac:dyDescent="0.3">
      <c r="A21" t="str">
        <f>TableMJRPCWRIT[[#This Row],[Study Package Code]]</f>
        <v>CWRI5014</v>
      </c>
      <c r="B21" s="1">
        <f>TableMJRPCWRIT[[#This Row],[Ver]]</f>
        <v>2</v>
      </c>
      <c r="D21" t="str">
        <f>TableMJRPCWRIT[[#This Row],[Structure Line]]</f>
        <v>Graduate Writing Genre Fiction</v>
      </c>
      <c r="E21" s="95">
        <f>TableMJRPCWRIT[[#This Row],[Credit Points]]</f>
        <v>25</v>
      </c>
      <c r="F21">
        <v>4</v>
      </c>
      <c r="G21" t="s">
        <v>708</v>
      </c>
      <c r="H21">
        <v>0</v>
      </c>
      <c r="I21" t="s">
        <v>703</v>
      </c>
      <c r="J21" t="s">
        <v>202</v>
      </c>
      <c r="K21">
        <v>2</v>
      </c>
      <c r="L21" t="s">
        <v>447</v>
      </c>
      <c r="M21">
        <v>25</v>
      </c>
      <c r="N21" s="147">
        <v>45658</v>
      </c>
      <c r="O21" s="147"/>
      <c r="Q21" t="s">
        <v>202</v>
      </c>
      <c r="R21">
        <v>1</v>
      </c>
    </row>
    <row r="22" spans="1:18" x14ac:dyDescent="0.3">
      <c r="A22" t="str">
        <f>TableMJRPCWRIT[[#This Row],[Study Package Code]]</f>
        <v>CWRI5015</v>
      </c>
      <c r="B22" s="1">
        <f>TableMJRPCWRIT[[#This Row],[Ver]]</f>
        <v>2</v>
      </c>
      <c r="D22" t="str">
        <f>TableMJRPCWRIT[[#This Row],[Structure Line]]</f>
        <v>Graduate Travel Writing</v>
      </c>
      <c r="E22" s="95">
        <f>TableMJRPCWRIT[[#This Row],[Credit Points]]</f>
        <v>25</v>
      </c>
      <c r="F22">
        <v>4</v>
      </c>
      <c r="G22" t="s">
        <v>708</v>
      </c>
      <c r="H22">
        <v>0</v>
      </c>
      <c r="I22" t="s">
        <v>703</v>
      </c>
      <c r="J22" t="s">
        <v>208</v>
      </c>
      <c r="K22">
        <v>2</v>
      </c>
      <c r="L22" t="s">
        <v>450</v>
      </c>
      <c r="M22">
        <v>25</v>
      </c>
      <c r="N22" s="147">
        <v>45658</v>
      </c>
      <c r="O22" s="147"/>
      <c r="Q22" t="s">
        <v>208</v>
      </c>
      <c r="R22">
        <v>1</v>
      </c>
    </row>
    <row r="23" spans="1:18" x14ac:dyDescent="0.3">
      <c r="A23" t="str">
        <f>TableMJRPCWRIT[[#This Row],[Study Package Code]]</f>
        <v>CWRI5016</v>
      </c>
      <c r="B23" s="1">
        <f>TableMJRPCWRIT[[#This Row],[Ver]]</f>
        <v>2</v>
      </c>
      <c r="D23" t="str">
        <f>TableMJRPCWRIT[[#This Row],[Structure Line]]</f>
        <v>Graduate Writing Poetry</v>
      </c>
      <c r="E23" s="95">
        <f>TableMJRPCWRIT[[#This Row],[Credit Points]]</f>
        <v>25</v>
      </c>
      <c r="F23">
        <v>4</v>
      </c>
      <c r="G23" t="s">
        <v>708</v>
      </c>
      <c r="H23">
        <v>0</v>
      </c>
      <c r="I23" t="s">
        <v>703</v>
      </c>
      <c r="J23" t="s">
        <v>211</v>
      </c>
      <c r="K23">
        <v>2</v>
      </c>
      <c r="L23" t="s">
        <v>453</v>
      </c>
      <c r="M23">
        <v>25</v>
      </c>
      <c r="N23" s="147">
        <v>45658</v>
      </c>
      <c r="O23" s="147"/>
      <c r="Q23" t="s">
        <v>211</v>
      </c>
      <c r="R23">
        <v>1</v>
      </c>
    </row>
    <row r="24" spans="1:18" x14ac:dyDescent="0.3">
      <c r="A24" t="str">
        <f>TableMJRPCWRIT[[#This Row],[Study Package Code]]</f>
        <v>CWRI5017</v>
      </c>
      <c r="B24" s="1">
        <f>TableMJRPCWRIT[[#This Row],[Ver]]</f>
        <v>2</v>
      </c>
      <c r="D24" t="str">
        <f>TableMJRPCWRIT[[#This Row],[Structure Line]]</f>
        <v>Graduate Experimental Writing</v>
      </c>
      <c r="E24" s="95">
        <f>TableMJRPCWRIT[[#This Row],[Credit Points]]</f>
        <v>25</v>
      </c>
      <c r="F24">
        <v>4</v>
      </c>
      <c r="G24" t="s">
        <v>708</v>
      </c>
      <c r="H24">
        <v>0</v>
      </c>
      <c r="I24" t="s">
        <v>703</v>
      </c>
      <c r="J24" t="s">
        <v>214</v>
      </c>
      <c r="K24">
        <v>2</v>
      </c>
      <c r="L24" t="s">
        <v>456</v>
      </c>
      <c r="M24">
        <v>25</v>
      </c>
      <c r="N24" s="147">
        <v>45658</v>
      </c>
      <c r="O24" s="147"/>
      <c r="Q24" t="s">
        <v>214</v>
      </c>
      <c r="R24">
        <v>1</v>
      </c>
    </row>
    <row r="25" spans="1:18" x14ac:dyDescent="0.3">
      <c r="A25" t="str">
        <f>TableMJRPCWRIT[[#This Row],[Study Package Code]]</f>
        <v>CWRI5018</v>
      </c>
      <c r="B25" s="1">
        <f>TableMJRPCWRIT[[#This Row],[Ver]]</f>
        <v>2</v>
      </c>
      <c r="D25" t="str">
        <f>TableMJRPCWRIT[[#This Row],[Structure Line]]</f>
        <v>Graduate Writing Short Fiction</v>
      </c>
      <c r="E25" s="95">
        <f>TableMJRPCWRIT[[#This Row],[Credit Points]]</f>
        <v>25</v>
      </c>
      <c r="F25">
        <v>4</v>
      </c>
      <c r="G25" t="s">
        <v>708</v>
      </c>
      <c r="H25">
        <v>0</v>
      </c>
      <c r="I25" t="s">
        <v>703</v>
      </c>
      <c r="J25" t="s">
        <v>218</v>
      </c>
      <c r="K25">
        <v>2</v>
      </c>
      <c r="L25" t="s">
        <v>459</v>
      </c>
      <c r="M25">
        <v>25</v>
      </c>
      <c r="N25" s="147">
        <v>45658</v>
      </c>
      <c r="O25" s="147"/>
      <c r="Q25" t="s">
        <v>218</v>
      </c>
      <c r="R25">
        <v>1</v>
      </c>
    </row>
    <row r="26" spans="1:18" x14ac:dyDescent="0.3">
      <c r="A26" t="str">
        <f>TableMJRPCWRIT[[#This Row],[Study Package Code]]</f>
        <v>CWRI6000</v>
      </c>
      <c r="B26" s="1">
        <f>TableMJRPCWRIT[[#This Row],[Ver]]</f>
        <v>3</v>
      </c>
      <c r="D26" t="str">
        <f>TableMJRPCWRIT[[#This Row],[Structure Line]]</f>
        <v>Graduate Engaging Narrative</v>
      </c>
      <c r="E26" s="95">
        <f>TableMJRPCWRIT[[#This Row],[Credit Points]]</f>
        <v>25</v>
      </c>
      <c r="F26">
        <v>4</v>
      </c>
      <c r="G26" t="s">
        <v>708</v>
      </c>
      <c r="H26">
        <v>0</v>
      </c>
      <c r="I26" t="s">
        <v>703</v>
      </c>
      <c r="J26" t="s">
        <v>158</v>
      </c>
      <c r="K26">
        <v>3</v>
      </c>
      <c r="L26" t="s">
        <v>462</v>
      </c>
      <c r="M26">
        <v>25</v>
      </c>
      <c r="N26" s="147">
        <v>45658</v>
      </c>
      <c r="O26" s="147"/>
      <c r="Q26" t="s">
        <v>158</v>
      </c>
      <c r="R26">
        <v>2</v>
      </c>
    </row>
    <row r="27" spans="1:18" x14ac:dyDescent="0.3">
      <c r="A27" t="str">
        <f>TableMJRPCWRIT[[#This Row],[Study Package Code]]</f>
        <v>HUMN6001</v>
      </c>
      <c r="B27" s="1">
        <f>TableMJRPCWRIT[[#This Row],[Ver]]</f>
        <v>1</v>
      </c>
      <c r="D27" t="str">
        <f>TableMJRPCWRIT[[#This Row],[Structure Line]]</f>
        <v>Masters Research Project 1</v>
      </c>
      <c r="E27" s="95">
        <f>TableMJRPCWRIT[[#This Row],[Credit Points]]</f>
        <v>50</v>
      </c>
      <c r="F27">
        <v>4</v>
      </c>
      <c r="G27" t="s">
        <v>708</v>
      </c>
      <c r="H27">
        <v>0</v>
      </c>
      <c r="I27" t="s">
        <v>703</v>
      </c>
      <c r="J27" t="s">
        <v>181</v>
      </c>
      <c r="K27">
        <v>1</v>
      </c>
      <c r="L27" t="s">
        <v>711</v>
      </c>
      <c r="M27">
        <v>50</v>
      </c>
      <c r="N27" s="147">
        <v>45292</v>
      </c>
      <c r="O27" s="147"/>
      <c r="Q27" t="s">
        <v>181</v>
      </c>
      <c r="R27">
        <v>1</v>
      </c>
    </row>
    <row r="28" spans="1:18" x14ac:dyDescent="0.3">
      <c r="A28" t="str">
        <f>TableMJRPCWRIT[[#This Row],[Study Package Code]]</f>
        <v>INDS6001</v>
      </c>
      <c r="B28" s="1">
        <f>TableMJRPCWRIT[[#This Row],[Ver]]</f>
        <v>1</v>
      </c>
      <c r="D28" t="str">
        <f>TableMJRPCWRIT[[#This Row],[Structure Line]]</f>
        <v>Australian Indigenous Literature Creative Perspectives</v>
      </c>
      <c r="E28" s="95">
        <f>TableMJRPCWRIT[[#This Row],[Credit Points]]</f>
        <v>25</v>
      </c>
      <c r="F28">
        <v>4</v>
      </c>
      <c r="G28" t="s">
        <v>708</v>
      </c>
      <c r="H28">
        <v>0</v>
      </c>
      <c r="I28" t="s">
        <v>703</v>
      </c>
      <c r="J28" t="s">
        <v>199</v>
      </c>
      <c r="K28">
        <v>1</v>
      </c>
      <c r="L28" t="s">
        <v>483</v>
      </c>
      <c r="M28">
        <v>25</v>
      </c>
      <c r="N28" s="147">
        <v>44743</v>
      </c>
      <c r="O28" s="147"/>
      <c r="Q28" t="s">
        <v>199</v>
      </c>
      <c r="R28">
        <v>1</v>
      </c>
    </row>
    <row r="29" spans="1:18" x14ac:dyDescent="0.3">
      <c r="A29" t="str">
        <f>TableMJRPCWRIT[[#This Row],[Study Package Code]]</f>
        <v>PWRP5015</v>
      </c>
      <c r="B29" s="1">
        <f>TableMJRPCWRIT[[#This Row],[Ver]]</f>
        <v>3</v>
      </c>
      <c r="D29" t="str">
        <f>TableMJRPCWRIT[[#This Row],[Structure Line]]</f>
        <v>Graduate Advanced Narrative Nonfiction</v>
      </c>
      <c r="E29" s="95">
        <f>TableMJRPCWRIT[[#This Row],[Credit Points]]</f>
        <v>25</v>
      </c>
      <c r="F29">
        <v>4</v>
      </c>
      <c r="G29" t="s">
        <v>708</v>
      </c>
      <c r="H29">
        <v>0</v>
      </c>
      <c r="I29" t="s">
        <v>703</v>
      </c>
      <c r="J29" t="s">
        <v>230</v>
      </c>
      <c r="K29">
        <v>3</v>
      </c>
      <c r="L29" t="s">
        <v>614</v>
      </c>
      <c r="M29">
        <v>25</v>
      </c>
      <c r="N29" s="147">
        <v>45658</v>
      </c>
      <c r="O29" s="147"/>
      <c r="Q29" t="s">
        <v>230</v>
      </c>
      <c r="R29">
        <v>2</v>
      </c>
    </row>
    <row r="30" spans="1:18" x14ac:dyDescent="0.3">
      <c r="A30" t="str">
        <f>TableMJRPCWRIT[[#This Row],[Study Package Code]]</f>
        <v>PWRP5019</v>
      </c>
      <c r="B30" s="1">
        <f>TableMJRPCWRIT[[#This Row],[Ver]]</f>
        <v>3</v>
      </c>
      <c r="D30" t="str">
        <f>TableMJRPCWRIT[[#This Row],[Structure Line]]</f>
        <v>Graduate Narrative Nonfiction</v>
      </c>
      <c r="E30" s="95">
        <f>TableMJRPCWRIT[[#This Row],[Credit Points]]</f>
        <v>25</v>
      </c>
      <c r="F30">
        <v>4</v>
      </c>
      <c r="G30" t="s">
        <v>708</v>
      </c>
      <c r="H30">
        <v>0</v>
      </c>
      <c r="I30" t="s">
        <v>703</v>
      </c>
      <c r="J30" t="s">
        <v>192</v>
      </c>
      <c r="K30">
        <v>3</v>
      </c>
      <c r="L30" t="s">
        <v>617</v>
      </c>
      <c r="M30">
        <v>25</v>
      </c>
      <c r="N30" s="147">
        <v>45658</v>
      </c>
      <c r="O30" s="147"/>
      <c r="Q30" t="s">
        <v>192</v>
      </c>
      <c r="R30">
        <v>2</v>
      </c>
    </row>
    <row r="31" spans="1:18" x14ac:dyDescent="0.3">
      <c r="B31"/>
      <c r="E31"/>
      <c r="F31" s="93"/>
      <c r="G31" s="94" t="s">
        <v>689</v>
      </c>
      <c r="H31" s="228">
        <v>45658</v>
      </c>
      <c r="I31" s="146"/>
      <c r="J31" s="232" t="s">
        <v>146</v>
      </c>
      <c r="K31" s="229" t="s">
        <v>87</v>
      </c>
      <c r="L31" s="232" t="s">
        <v>14</v>
      </c>
      <c r="M31" s="146"/>
      <c r="N31" s="180" t="s">
        <v>690</v>
      </c>
      <c r="O31" s="147">
        <v>45580</v>
      </c>
    </row>
    <row r="32" spans="1:18" x14ac:dyDescent="0.3">
      <c r="A32" t="s">
        <v>0</v>
      </c>
      <c r="B32" s="1" t="s">
        <v>691</v>
      </c>
      <c r="C32" t="s">
        <v>692</v>
      </c>
      <c r="D32" t="s">
        <v>3</v>
      </c>
      <c r="E32" s="95" t="s">
        <v>693</v>
      </c>
      <c r="F32" t="s">
        <v>694</v>
      </c>
      <c r="G32" t="s">
        <v>695</v>
      </c>
      <c r="H32" t="s">
        <v>696</v>
      </c>
      <c r="I32" t="s">
        <v>22</v>
      </c>
      <c r="J32" t="s">
        <v>697</v>
      </c>
      <c r="K32" t="s">
        <v>1</v>
      </c>
      <c r="L32" t="s">
        <v>698</v>
      </c>
      <c r="M32" t="s">
        <v>53</v>
      </c>
      <c r="N32" t="s">
        <v>699</v>
      </c>
      <c r="O32" t="s">
        <v>700</v>
      </c>
      <c r="Q32" t="s">
        <v>701</v>
      </c>
      <c r="R32" t="s">
        <v>1</v>
      </c>
    </row>
    <row r="33" spans="1:15" x14ac:dyDescent="0.3">
      <c r="A33" t="str">
        <f>TableMJRPDGCMS[[#This Row],[Study Package Code]]</f>
        <v>Opt-DGCMS</v>
      </c>
      <c r="B33" s="1">
        <f>TableMJRPDGCMS[[#This Row],[Ver]]</f>
        <v>0</v>
      </c>
      <c r="D33" t="str">
        <f>TableMJRPDGCMS[[#This Row],[Structure Line]]</f>
        <v>Choose Options</v>
      </c>
      <c r="E33" s="95">
        <f>TableMJRPDGCMS[[#This Row],[Credit Points]]</f>
        <v>275</v>
      </c>
      <c r="F33">
        <v>1</v>
      </c>
      <c r="G33" t="s">
        <v>708</v>
      </c>
      <c r="H33">
        <v>0</v>
      </c>
      <c r="I33" t="s">
        <v>703</v>
      </c>
      <c r="J33" t="s">
        <v>63</v>
      </c>
      <c r="K33">
        <v>0</v>
      </c>
      <c r="L33" t="s">
        <v>709</v>
      </c>
      <c r="M33">
        <v>275</v>
      </c>
      <c r="N33" s="147"/>
      <c r="O33" s="147"/>
    </row>
    <row r="34" spans="1:15" x14ac:dyDescent="0.3">
      <c r="A34" t="str">
        <f>TableMJRPDGCMS[[#This Row],[Study Package Code]]</f>
        <v>COMS5003</v>
      </c>
      <c r="B34" s="1">
        <f>TableMJRPDGCMS[[#This Row],[Ver]]</f>
        <v>2</v>
      </c>
      <c r="D34" t="str">
        <f>TableMJRPDGCMS[[#This Row],[Structure Line]]</f>
        <v>Approaches to Arts Research</v>
      </c>
      <c r="E34" s="95">
        <f>TableMJRPDGCMS[[#This Row],[Credit Points]]</f>
        <v>25</v>
      </c>
      <c r="F34">
        <v>2</v>
      </c>
      <c r="G34" t="s">
        <v>706</v>
      </c>
      <c r="H34">
        <v>1</v>
      </c>
      <c r="I34" t="s">
        <v>703</v>
      </c>
      <c r="J34" t="s">
        <v>56</v>
      </c>
      <c r="K34">
        <v>2</v>
      </c>
      <c r="L34" t="s">
        <v>432</v>
      </c>
      <c r="M34">
        <v>25</v>
      </c>
      <c r="N34" s="147">
        <v>45658</v>
      </c>
      <c r="O34" s="147"/>
    </row>
    <row r="35" spans="1:15" x14ac:dyDescent="0.3">
      <c r="A35" t="str">
        <f>TableMJRPDGCMS[[#This Row],[Study Package Code]]</f>
        <v>COMS6005</v>
      </c>
      <c r="B35" s="1">
        <f>TableMJRPDGCMS[[#This Row],[Ver]]</f>
        <v>1</v>
      </c>
      <c r="D35" t="str">
        <f>TableMJRPDGCMS[[#This Row],[Structure Line]]</f>
        <v>Planning an Arts Research Project</v>
      </c>
      <c r="E35" s="95">
        <f>TableMJRPDGCMS[[#This Row],[Credit Points]]</f>
        <v>25</v>
      </c>
      <c r="F35">
        <v>3</v>
      </c>
      <c r="G35" t="s">
        <v>706</v>
      </c>
      <c r="H35">
        <v>1</v>
      </c>
      <c r="I35" t="s">
        <v>703</v>
      </c>
      <c r="J35" t="s">
        <v>84</v>
      </c>
      <c r="K35">
        <v>1</v>
      </c>
      <c r="L35" t="s">
        <v>440</v>
      </c>
      <c r="M35">
        <v>25</v>
      </c>
      <c r="N35" s="147">
        <v>43466</v>
      </c>
      <c r="O35" s="147"/>
    </row>
    <row r="36" spans="1:15" x14ac:dyDescent="0.3">
      <c r="A36" t="str">
        <f>TableMJRPDGCMS[[#This Row],[Study Package Code]]</f>
        <v>AC-DGCMS1</v>
      </c>
      <c r="B36" s="1">
        <f>TableMJRPDGCMS[[#This Row],[Ver]]</f>
        <v>0</v>
      </c>
      <c r="D36" t="str">
        <f>TableMJRPDGCMS[[#This Row],[Structure Line]]</f>
        <v>Choose NETS5000 or NETS5001</v>
      </c>
      <c r="E36" s="95">
        <f>TableMJRPDGCMS[[#This Row],[Credit Points]]</f>
        <v>25</v>
      </c>
      <c r="F36">
        <v>4</v>
      </c>
      <c r="G36" t="s">
        <v>702</v>
      </c>
      <c r="H36">
        <v>1</v>
      </c>
      <c r="I36" t="s">
        <v>703</v>
      </c>
      <c r="J36" t="s">
        <v>64</v>
      </c>
      <c r="K36">
        <v>0</v>
      </c>
      <c r="L36" t="s">
        <v>712</v>
      </c>
      <c r="M36">
        <v>25</v>
      </c>
      <c r="N36" s="147"/>
      <c r="O36" s="147"/>
    </row>
    <row r="37" spans="1:15" x14ac:dyDescent="0.3">
      <c r="A37" t="str">
        <f>TableMJRPDGCMS[[#This Row],[Study Package Code]]</f>
        <v>AC-DGCMS2</v>
      </c>
      <c r="B37" s="1">
        <f>TableMJRPDGCMS[[#This Row],[Ver]]</f>
        <v>0</v>
      </c>
      <c r="D37" t="str">
        <f>TableMJRPDGCMS[[#This Row],[Structure Line]]</f>
        <v>Choose COMS6004 or HUMN6003</v>
      </c>
      <c r="E37" s="95">
        <f>TableMJRPDGCMS[[#This Row],[Credit Points]]</f>
        <v>50</v>
      </c>
      <c r="F37">
        <v>5</v>
      </c>
      <c r="G37" t="s">
        <v>702</v>
      </c>
      <c r="H37">
        <v>2</v>
      </c>
      <c r="I37" t="s">
        <v>703</v>
      </c>
      <c r="J37" t="s">
        <v>119</v>
      </c>
      <c r="K37">
        <v>0</v>
      </c>
      <c r="L37" t="s">
        <v>707</v>
      </c>
      <c r="M37">
        <v>50</v>
      </c>
      <c r="N37" s="147"/>
      <c r="O37" s="147"/>
    </row>
    <row r="38" spans="1:15" x14ac:dyDescent="0.3">
      <c r="A38" t="str">
        <f>TableMJRPDGCMS[[#This Row],[Study Package Code]]</f>
        <v>COMS6002</v>
      </c>
      <c r="B38" s="1">
        <f>TableMJRPDGCMS[[#This Row],[Ver]]</f>
        <v>3</v>
      </c>
      <c r="D38" t="str">
        <f>TableMJRPDGCMS[[#This Row],[Structure Line]]</f>
        <v>Masters Professional Experience</v>
      </c>
      <c r="E38" s="95">
        <f>TableMJRPDGCMS[[#This Row],[Credit Points]]</f>
        <v>50</v>
      </c>
      <c r="F38">
        <v>1</v>
      </c>
      <c r="G38" t="s">
        <v>708</v>
      </c>
      <c r="H38">
        <v>0</v>
      </c>
      <c r="I38" t="s">
        <v>703</v>
      </c>
      <c r="J38" t="s">
        <v>177</v>
      </c>
      <c r="K38">
        <v>3</v>
      </c>
      <c r="L38" t="s">
        <v>437</v>
      </c>
      <c r="M38">
        <v>50</v>
      </c>
      <c r="N38" s="147">
        <v>45292</v>
      </c>
      <c r="O38" s="147"/>
    </row>
    <row r="39" spans="1:15" x14ac:dyDescent="0.3">
      <c r="A39" t="str">
        <f>TableMJRPDGCMS[[#This Row],[Study Package Code]]</f>
        <v>HUMN6001</v>
      </c>
      <c r="B39" s="1">
        <f>TableMJRPDGCMS[[#This Row],[Ver]]</f>
        <v>1</v>
      </c>
      <c r="D39" t="str">
        <f>TableMJRPDGCMS[[#This Row],[Structure Line]]</f>
        <v>Masters Research Project 1</v>
      </c>
      <c r="E39" s="95">
        <f>TableMJRPDGCMS[[#This Row],[Credit Points]]</f>
        <v>50</v>
      </c>
      <c r="F39">
        <v>1</v>
      </c>
      <c r="G39" t="s">
        <v>708</v>
      </c>
      <c r="H39">
        <v>0</v>
      </c>
      <c r="I39" t="s">
        <v>703</v>
      </c>
      <c r="J39" t="s">
        <v>181</v>
      </c>
      <c r="K39">
        <v>1</v>
      </c>
      <c r="L39" t="s">
        <v>711</v>
      </c>
      <c r="M39">
        <v>50</v>
      </c>
      <c r="N39" s="147">
        <v>45292</v>
      </c>
      <c r="O39" s="147"/>
    </row>
    <row r="40" spans="1:15" x14ac:dyDescent="0.3">
      <c r="A40" t="str">
        <f>TableMJRPDGCMS[[#This Row],[Study Package Code]]</f>
        <v>INFO5007</v>
      </c>
      <c r="B40" s="1">
        <f>TableMJRPDGCMS[[#This Row],[Ver]]</f>
        <v>2</v>
      </c>
      <c r="D40" t="str">
        <f>TableMJRPDGCMS[[#This Row],[Structure Line]]</f>
        <v>Telling Stories with Data</v>
      </c>
      <c r="E40" s="95">
        <f>TableMJRPDGCMS[[#This Row],[Credit Points]]</f>
        <v>25</v>
      </c>
      <c r="F40">
        <v>1</v>
      </c>
      <c r="G40" t="s">
        <v>708</v>
      </c>
      <c r="H40">
        <v>0</v>
      </c>
      <c r="I40" t="s">
        <v>703</v>
      </c>
      <c r="J40" t="s">
        <v>190</v>
      </c>
      <c r="K40">
        <v>2</v>
      </c>
      <c r="L40" t="s">
        <v>713</v>
      </c>
      <c r="M40">
        <v>25</v>
      </c>
      <c r="N40" s="147">
        <v>44927</v>
      </c>
      <c r="O40" s="147"/>
    </row>
    <row r="41" spans="1:15" x14ac:dyDescent="0.3">
      <c r="A41" t="str">
        <f>TableMJRPDGCMS[[#This Row],[Study Package Code]]</f>
        <v>MKTG6010</v>
      </c>
      <c r="B41" s="1">
        <f>TableMJRPDGCMS[[#This Row],[Ver]]</f>
        <v>2</v>
      </c>
      <c r="D41" t="str">
        <f>TableMJRPDGCMS[[#This Row],[Structure Line]]</f>
        <v>Social Media Marketing</v>
      </c>
      <c r="E41" s="95">
        <f>TableMJRPDGCMS[[#This Row],[Credit Points]]</f>
        <v>25</v>
      </c>
      <c r="F41">
        <v>1</v>
      </c>
      <c r="G41" t="s">
        <v>708</v>
      </c>
      <c r="H41">
        <v>0</v>
      </c>
      <c r="I41" t="s">
        <v>703</v>
      </c>
      <c r="J41" t="s">
        <v>196</v>
      </c>
      <c r="K41">
        <v>2</v>
      </c>
      <c r="L41" t="s">
        <v>533</v>
      </c>
      <c r="M41">
        <v>25</v>
      </c>
      <c r="N41" s="147">
        <v>44562</v>
      </c>
      <c r="O41" s="147"/>
    </row>
    <row r="42" spans="1:15" x14ac:dyDescent="0.3">
      <c r="A42" t="str">
        <f>TableMJRPDGCMS[[#This Row],[Study Package Code]]</f>
        <v>NETS5000</v>
      </c>
      <c r="B42" s="1">
        <f>TableMJRPDGCMS[[#This Row],[Ver]]</f>
        <v>2</v>
      </c>
      <c r="D42" t="str">
        <f>TableMJRPDGCMS[[#This Row],[Structure Line]]</f>
        <v>Graduate Web Communications</v>
      </c>
      <c r="E42" s="95">
        <f>TableMJRPDGCMS[[#This Row],[Credit Points]]</f>
        <v>25</v>
      </c>
      <c r="F42">
        <v>1</v>
      </c>
      <c r="G42" t="s">
        <v>708</v>
      </c>
      <c r="H42">
        <v>0</v>
      </c>
      <c r="I42" t="s">
        <v>703</v>
      </c>
      <c r="J42" t="s">
        <v>156</v>
      </c>
      <c r="K42">
        <v>2</v>
      </c>
      <c r="L42" t="s">
        <v>534</v>
      </c>
      <c r="M42">
        <v>25</v>
      </c>
      <c r="N42" s="147">
        <v>45658</v>
      </c>
      <c r="O42" s="147"/>
    </row>
    <row r="43" spans="1:15" x14ac:dyDescent="0.3">
      <c r="A43" t="str">
        <f>TableMJRPDGCMS[[#This Row],[Study Package Code]]</f>
        <v>NETS5001</v>
      </c>
      <c r="B43" s="1">
        <f>TableMJRPDGCMS[[#This Row],[Ver]]</f>
        <v>3</v>
      </c>
      <c r="D43" t="str">
        <f>TableMJRPDGCMS[[#This Row],[Structure Line]]</f>
        <v>Graduate Digital Culture and Everyday Life</v>
      </c>
      <c r="E43" s="95">
        <f>TableMJRPDGCMS[[#This Row],[Credit Points]]</f>
        <v>25</v>
      </c>
      <c r="F43">
        <v>1</v>
      </c>
      <c r="G43" t="s">
        <v>708</v>
      </c>
      <c r="H43">
        <v>0</v>
      </c>
      <c r="I43" t="s">
        <v>703</v>
      </c>
      <c r="J43" t="s">
        <v>162</v>
      </c>
      <c r="K43">
        <v>3</v>
      </c>
      <c r="L43" t="s">
        <v>537</v>
      </c>
      <c r="M43">
        <v>25</v>
      </c>
      <c r="N43" s="147">
        <v>45658</v>
      </c>
      <c r="O43" s="147"/>
    </row>
    <row r="44" spans="1:15" x14ac:dyDescent="0.3">
      <c r="A44" t="str">
        <f>TableMJRPDGCMS[[#This Row],[Study Package Code]]</f>
        <v>NETS5003</v>
      </c>
      <c r="B44" s="1">
        <f>TableMJRPDGCMS[[#This Row],[Ver]]</f>
        <v>4</v>
      </c>
      <c r="D44" t="str">
        <f>TableMJRPDGCMS[[#This Row],[Structure Line]]</f>
        <v>Graduate Online Power and Resistance</v>
      </c>
      <c r="E44" s="95">
        <f>TableMJRPDGCMS[[#This Row],[Credit Points]]</f>
        <v>25</v>
      </c>
      <c r="F44">
        <v>1</v>
      </c>
      <c r="G44" t="s">
        <v>708</v>
      </c>
      <c r="H44">
        <v>0</v>
      </c>
      <c r="I44" t="s">
        <v>703</v>
      </c>
      <c r="J44" t="s">
        <v>212</v>
      </c>
      <c r="K44">
        <v>4</v>
      </c>
      <c r="L44" t="s">
        <v>540</v>
      </c>
      <c r="M44">
        <v>25</v>
      </c>
      <c r="N44" s="147">
        <v>45658</v>
      </c>
      <c r="O44" s="147"/>
    </row>
    <row r="45" spans="1:15" x14ac:dyDescent="0.3">
      <c r="A45" t="str">
        <f>TableMJRPDGCMS[[#This Row],[Study Package Code]]</f>
        <v>NETS5004</v>
      </c>
      <c r="B45" s="1">
        <f>TableMJRPDGCMS[[#This Row],[Ver]]</f>
        <v>3</v>
      </c>
      <c r="D45" t="str">
        <f>TableMJRPDGCMS[[#This Row],[Structure Line]]</f>
        <v>Graduate Social Media, Communities and Networks</v>
      </c>
      <c r="E45" s="95">
        <f>TableMJRPDGCMS[[#This Row],[Credit Points]]</f>
        <v>25</v>
      </c>
      <c r="F45">
        <v>1</v>
      </c>
      <c r="G45" t="s">
        <v>708</v>
      </c>
      <c r="H45">
        <v>0</v>
      </c>
      <c r="I45" t="s">
        <v>703</v>
      </c>
      <c r="J45" t="s">
        <v>215</v>
      </c>
      <c r="K45">
        <v>3</v>
      </c>
      <c r="L45" t="s">
        <v>543</v>
      </c>
      <c r="M45">
        <v>25</v>
      </c>
      <c r="N45" s="147">
        <v>45658</v>
      </c>
      <c r="O45" s="147"/>
    </row>
    <row r="46" spans="1:15" x14ac:dyDescent="0.3">
      <c r="A46" t="str">
        <f>TableMJRPDGCMS[[#This Row],[Study Package Code]]</f>
        <v>NETS5005</v>
      </c>
      <c r="B46" s="1">
        <f>TableMJRPDGCMS[[#This Row],[Ver]]</f>
        <v>3</v>
      </c>
      <c r="D46" t="str">
        <f>TableMJRPDGCMS[[#This Row],[Structure Line]]</f>
        <v>Graduate Writing on the Web</v>
      </c>
      <c r="E46" s="95">
        <f>TableMJRPDGCMS[[#This Row],[Credit Points]]</f>
        <v>25</v>
      </c>
      <c r="F46">
        <v>1</v>
      </c>
      <c r="G46" t="s">
        <v>708</v>
      </c>
      <c r="H46">
        <v>0</v>
      </c>
      <c r="I46" t="s">
        <v>703</v>
      </c>
      <c r="J46" t="s">
        <v>182</v>
      </c>
      <c r="K46">
        <v>3</v>
      </c>
      <c r="L46" t="s">
        <v>546</v>
      </c>
      <c r="M46">
        <v>25</v>
      </c>
      <c r="N46" s="147">
        <v>45658</v>
      </c>
      <c r="O46" s="147"/>
    </row>
    <row r="47" spans="1:15" x14ac:dyDescent="0.3">
      <c r="A47" t="str">
        <f>TableMJRPDGCMS[[#This Row],[Study Package Code]]</f>
        <v>NETS5006</v>
      </c>
      <c r="B47" s="1">
        <f>TableMJRPDGCMS[[#This Row],[Ver]]</f>
        <v>3</v>
      </c>
      <c r="D47" t="str">
        <f>TableMJRPDGCMS[[#This Row],[Structure Line]]</f>
        <v>Graduate The Digital Economy</v>
      </c>
      <c r="E47" s="95">
        <f>TableMJRPDGCMS[[#This Row],[Credit Points]]</f>
        <v>25</v>
      </c>
      <c r="F47">
        <v>1</v>
      </c>
      <c r="G47" t="s">
        <v>708</v>
      </c>
      <c r="H47">
        <v>0</v>
      </c>
      <c r="I47" t="s">
        <v>703</v>
      </c>
      <c r="J47" t="s">
        <v>223</v>
      </c>
      <c r="K47">
        <v>3</v>
      </c>
      <c r="L47" t="s">
        <v>549</v>
      </c>
      <c r="M47">
        <v>25</v>
      </c>
      <c r="N47" s="147">
        <v>45658</v>
      </c>
      <c r="O47" s="147"/>
    </row>
    <row r="48" spans="1:15" x14ac:dyDescent="0.3">
      <c r="A48" t="str">
        <f>TableMJRPDGCMS[[#This Row],[Study Package Code]]</f>
        <v>NETS5007</v>
      </c>
      <c r="B48" s="1">
        <f>TableMJRPDGCMS[[#This Row],[Ver]]</f>
        <v>3</v>
      </c>
      <c r="D48" t="str">
        <f>TableMJRPDGCMS[[#This Row],[Structure Line]]</f>
        <v>Graduate Technology, Innovation and Societies</v>
      </c>
      <c r="E48" s="95">
        <f>TableMJRPDGCMS[[#This Row],[Credit Points]]</f>
        <v>25</v>
      </c>
      <c r="F48">
        <v>1</v>
      </c>
      <c r="G48" t="s">
        <v>708</v>
      </c>
      <c r="H48">
        <v>0</v>
      </c>
      <c r="I48" t="s">
        <v>703</v>
      </c>
      <c r="J48" t="s">
        <v>227</v>
      </c>
      <c r="K48">
        <v>3</v>
      </c>
      <c r="L48" t="s">
        <v>553</v>
      </c>
      <c r="M48">
        <v>25</v>
      </c>
      <c r="N48" s="147">
        <v>45658</v>
      </c>
      <c r="O48" s="147"/>
    </row>
    <row r="49" spans="1:18" x14ac:dyDescent="0.3">
      <c r="A49" t="str">
        <f>TableMJRPDGCMS[[#This Row],[Study Package Code]]</f>
        <v>NETS5009</v>
      </c>
      <c r="B49" s="1">
        <f>TableMJRPDGCMS[[#This Row],[Ver]]</f>
        <v>4</v>
      </c>
      <c r="D49" t="str">
        <f>TableMJRPDGCMS[[#This Row],[Structure Line]]</f>
        <v>Graduate Digital Creation Capstone</v>
      </c>
      <c r="E49" s="95">
        <f>TableMJRPDGCMS[[#This Row],[Credit Points]]</f>
        <v>25</v>
      </c>
      <c r="F49">
        <v>1</v>
      </c>
      <c r="G49" t="s">
        <v>708</v>
      </c>
      <c r="H49">
        <v>0</v>
      </c>
      <c r="I49" t="s">
        <v>703</v>
      </c>
      <c r="J49" t="s">
        <v>229</v>
      </c>
      <c r="K49">
        <v>4</v>
      </c>
      <c r="L49" t="s">
        <v>556</v>
      </c>
      <c r="M49">
        <v>25</v>
      </c>
      <c r="N49" s="147">
        <v>45658</v>
      </c>
      <c r="O49" s="147"/>
    </row>
    <row r="50" spans="1:18" x14ac:dyDescent="0.3">
      <c r="A50" t="str">
        <f>TableMJRPDGCMS[[#This Row],[Study Package Code]]</f>
        <v>NETS5010</v>
      </c>
      <c r="B50" s="1">
        <f>TableMJRPDGCMS[[#This Row],[Ver]]</f>
        <v>2</v>
      </c>
      <c r="D50" t="str">
        <f>TableMJRPDGCMS[[#This Row],[Structure Line]]</f>
        <v>Graduate Web Media</v>
      </c>
      <c r="E50" s="95">
        <f>TableMJRPDGCMS[[#This Row],[Credit Points]]</f>
        <v>25</v>
      </c>
      <c r="F50">
        <v>1</v>
      </c>
      <c r="G50" t="s">
        <v>708</v>
      </c>
      <c r="H50">
        <v>0</v>
      </c>
      <c r="I50" t="s">
        <v>703</v>
      </c>
      <c r="J50" t="s">
        <v>164</v>
      </c>
      <c r="K50">
        <v>2</v>
      </c>
      <c r="L50" t="s">
        <v>559</v>
      </c>
      <c r="M50">
        <v>25</v>
      </c>
      <c r="N50" s="147">
        <v>45658</v>
      </c>
      <c r="O50" s="147"/>
    </row>
    <row r="51" spans="1:18" x14ac:dyDescent="0.3">
      <c r="A51" t="str">
        <f>TableMJRPDGCMS[[#This Row],[Study Package Code]]</f>
        <v>NETS5011</v>
      </c>
      <c r="B51" s="1">
        <f>TableMJRPDGCMS[[#This Row],[Ver]]</f>
        <v>4</v>
      </c>
      <c r="D51" t="str">
        <f>TableMJRPDGCMS[[#This Row],[Structure Line]]</f>
        <v>Graduate Online Games and Play</v>
      </c>
      <c r="E51" s="95">
        <f>TableMJRPDGCMS[[#This Row],[Credit Points]]</f>
        <v>25</v>
      </c>
      <c r="F51">
        <v>1</v>
      </c>
      <c r="G51" t="s">
        <v>708</v>
      </c>
      <c r="H51">
        <v>0</v>
      </c>
      <c r="I51" t="s">
        <v>703</v>
      </c>
      <c r="J51" t="s">
        <v>231</v>
      </c>
      <c r="K51">
        <v>4</v>
      </c>
      <c r="L51" t="s">
        <v>562</v>
      </c>
      <c r="M51">
        <v>25</v>
      </c>
      <c r="N51" s="147">
        <v>45658</v>
      </c>
      <c r="O51" s="147"/>
    </row>
    <row r="52" spans="1:18" x14ac:dyDescent="0.3">
      <c r="A52" t="str">
        <f>TableMJRPDGCMS[[#This Row],[Study Package Code]]</f>
        <v>PWRP5006</v>
      </c>
      <c r="B52" s="1">
        <f>TableMJRPDGCMS[[#This Row],[Ver]]</f>
        <v>3</v>
      </c>
      <c r="D52" t="str">
        <f>TableMJRPDGCMS[[#This Row],[Structure Line]]</f>
        <v>Graduate Publishing</v>
      </c>
      <c r="E52" s="95">
        <f>TableMJRPDGCMS[[#This Row],[Credit Points]]</f>
        <v>25</v>
      </c>
      <c r="F52">
        <v>1</v>
      </c>
      <c r="G52" t="s">
        <v>708</v>
      </c>
      <c r="H52">
        <v>0</v>
      </c>
      <c r="I52" t="s">
        <v>703</v>
      </c>
      <c r="J52" t="s">
        <v>187</v>
      </c>
      <c r="K52">
        <v>3</v>
      </c>
      <c r="L52" t="s">
        <v>610</v>
      </c>
      <c r="M52">
        <v>25</v>
      </c>
      <c r="N52" s="147">
        <v>45658</v>
      </c>
      <c r="O52" s="147"/>
    </row>
    <row r="53" spans="1:18" x14ac:dyDescent="0.3">
      <c r="A53" t="str">
        <f>TableMJRPDGCMS[[#This Row],[Study Package Code]]</f>
        <v>PWRP5023</v>
      </c>
      <c r="B53" s="1">
        <f>TableMJRPDGCMS[[#This Row],[Ver]]</f>
        <v>2</v>
      </c>
      <c r="D53" t="str">
        <f>TableMJRPDGCMS[[#This Row],[Structure Line]]</f>
        <v>Graduate Workplace Writing</v>
      </c>
      <c r="E53" s="95">
        <f>TableMJRPDGCMS[[#This Row],[Credit Points]]</f>
        <v>25</v>
      </c>
      <c r="F53">
        <v>1</v>
      </c>
      <c r="G53" t="s">
        <v>708</v>
      </c>
      <c r="H53">
        <v>0</v>
      </c>
      <c r="I53" t="s">
        <v>703</v>
      </c>
      <c r="J53" t="s">
        <v>209</v>
      </c>
      <c r="K53">
        <v>2</v>
      </c>
      <c r="L53" t="s">
        <v>626</v>
      </c>
      <c r="M53">
        <v>25</v>
      </c>
      <c r="N53" s="147">
        <v>45658</v>
      </c>
      <c r="O53" s="147"/>
    </row>
    <row r="54" spans="1:18" x14ac:dyDescent="0.3">
      <c r="A54" t="str">
        <f>TableMJRPDGCMS[[#This Row],[Study Package Code]]</f>
        <v>SPRO5004</v>
      </c>
      <c r="B54" s="1">
        <f>TableMJRPDGCMS[[#This Row],[Ver]]</f>
        <v>6</v>
      </c>
      <c r="D54" t="str">
        <f>TableMJRPDGCMS[[#This Row],[Structure Line]]</f>
        <v>Graduate Community Media Production</v>
      </c>
      <c r="E54" s="95">
        <f>TableMJRPDGCMS[[#This Row],[Credit Points]]</f>
        <v>25</v>
      </c>
      <c r="F54">
        <v>1</v>
      </c>
      <c r="G54" t="s">
        <v>708</v>
      </c>
      <c r="H54">
        <v>0</v>
      </c>
      <c r="I54" t="s">
        <v>703</v>
      </c>
      <c r="J54" t="s">
        <v>224</v>
      </c>
      <c r="K54">
        <v>6</v>
      </c>
      <c r="L54" t="s">
        <v>644</v>
      </c>
      <c r="M54">
        <v>25</v>
      </c>
      <c r="N54" s="147">
        <v>45658</v>
      </c>
      <c r="O54" s="147"/>
    </row>
    <row r="55" spans="1:18" x14ac:dyDescent="0.3">
      <c r="A55" t="str">
        <f>TableMJRPDGCMS[[#This Row],[Study Package Code]]</f>
        <v>NETS5000</v>
      </c>
      <c r="B55" s="1">
        <f>TableMJRPDGCMS[[#This Row],[Ver]]</f>
        <v>2</v>
      </c>
      <c r="D55" t="str">
        <f>TableMJRPDGCMS[[#This Row],[Structure Line]]</f>
        <v>Graduate Web Communications</v>
      </c>
      <c r="E55" s="95">
        <f>TableMJRPDGCMS[[#This Row],[Credit Points]]</f>
        <v>25</v>
      </c>
      <c r="F55">
        <v>4</v>
      </c>
      <c r="G55" t="s">
        <v>702</v>
      </c>
      <c r="H55">
        <v>1</v>
      </c>
      <c r="I55" t="s">
        <v>703</v>
      </c>
      <c r="J55" t="s">
        <v>156</v>
      </c>
      <c r="K55">
        <v>2</v>
      </c>
      <c r="L55" t="s">
        <v>534</v>
      </c>
      <c r="M55">
        <v>25</v>
      </c>
      <c r="N55" s="147">
        <v>45658</v>
      </c>
      <c r="O55" s="147"/>
    </row>
    <row r="56" spans="1:18" x14ac:dyDescent="0.3">
      <c r="A56" t="str">
        <f>TableMJRPDGCMS[[#This Row],[Study Package Code]]</f>
        <v>NETS5001</v>
      </c>
      <c r="B56" s="1">
        <f>TableMJRPDGCMS[[#This Row],[Ver]]</f>
        <v>3</v>
      </c>
      <c r="D56" t="str">
        <f>TableMJRPDGCMS[[#This Row],[Structure Line]]</f>
        <v>Graduate Digital Culture and Everyday Life</v>
      </c>
      <c r="E56" s="95">
        <f>TableMJRPDGCMS[[#This Row],[Credit Points]]</f>
        <v>25</v>
      </c>
      <c r="F56">
        <v>4</v>
      </c>
      <c r="G56" t="s">
        <v>702</v>
      </c>
      <c r="H56">
        <v>1</v>
      </c>
      <c r="I56" t="s">
        <v>703</v>
      </c>
      <c r="J56" t="s">
        <v>162</v>
      </c>
      <c r="K56">
        <v>3</v>
      </c>
      <c r="L56" t="s">
        <v>537</v>
      </c>
      <c r="M56">
        <v>25</v>
      </c>
      <c r="N56" s="147">
        <v>45658</v>
      </c>
      <c r="O56" s="147"/>
    </row>
    <row r="57" spans="1:18" x14ac:dyDescent="0.3">
      <c r="A57" t="str">
        <f>TableMJRPDGCMS[[#This Row],[Study Package Code]]</f>
        <v>COMS6004</v>
      </c>
      <c r="B57" s="1">
        <f>TableMJRPDGCMS[[#This Row],[Ver]]</f>
        <v>2</v>
      </c>
      <c r="D57" t="str">
        <f>TableMJRPDGCMS[[#This Row],[Structure Line]]</f>
        <v>Masters Professional or Creative Project</v>
      </c>
      <c r="E57" s="95">
        <f>TableMJRPDGCMS[[#This Row],[Credit Points]]</f>
        <v>50</v>
      </c>
      <c r="F57">
        <v>5</v>
      </c>
      <c r="G57" t="s">
        <v>702</v>
      </c>
      <c r="H57">
        <v>2</v>
      </c>
      <c r="I57" t="s">
        <v>703</v>
      </c>
      <c r="J57" t="s">
        <v>155</v>
      </c>
      <c r="K57">
        <v>2</v>
      </c>
      <c r="L57" t="s">
        <v>439</v>
      </c>
      <c r="M57">
        <v>50</v>
      </c>
      <c r="N57" s="147">
        <v>45292</v>
      </c>
      <c r="O57" s="147"/>
    </row>
    <row r="58" spans="1:18" x14ac:dyDescent="0.3">
      <c r="A58" t="str">
        <f>TableMJRPDGCMS[[#This Row],[Study Package Code]]</f>
        <v>HUMN6003</v>
      </c>
      <c r="B58" s="1">
        <f>TableMJRPDGCMS[[#This Row],[Ver]]</f>
        <v>1</v>
      </c>
      <c r="D58" t="str">
        <f>TableMJRPDGCMS[[#This Row],[Structure Line]]</f>
        <v>Masters Research Project 2</v>
      </c>
      <c r="E58" s="95">
        <f>TableMJRPDGCMS[[#This Row],[Credit Points]]</f>
        <v>50</v>
      </c>
      <c r="F58">
        <v>5</v>
      </c>
      <c r="G58" t="s">
        <v>702</v>
      </c>
      <c r="H58">
        <v>2</v>
      </c>
      <c r="I58" t="s">
        <v>703</v>
      </c>
      <c r="J58" t="s">
        <v>161</v>
      </c>
      <c r="K58">
        <v>1</v>
      </c>
      <c r="L58" t="s">
        <v>710</v>
      </c>
      <c r="M58">
        <v>50</v>
      </c>
      <c r="N58" s="147">
        <v>45292</v>
      </c>
      <c r="O58" s="147"/>
    </row>
    <row r="59" spans="1:18" x14ac:dyDescent="0.3">
      <c r="B59"/>
      <c r="E59"/>
      <c r="F59" s="93"/>
      <c r="G59" s="94" t="s">
        <v>689</v>
      </c>
      <c r="H59" s="228">
        <v>45658</v>
      </c>
      <c r="I59" s="146"/>
      <c r="J59" s="230" t="s">
        <v>147</v>
      </c>
      <c r="K59" s="229" t="s">
        <v>113</v>
      </c>
      <c r="L59" s="146" t="s">
        <v>172</v>
      </c>
      <c r="M59" s="146"/>
      <c r="N59" s="180" t="s">
        <v>690</v>
      </c>
      <c r="O59" s="147">
        <v>45580</v>
      </c>
    </row>
    <row r="60" spans="1:18" x14ac:dyDescent="0.3">
      <c r="A60" t="s">
        <v>0</v>
      </c>
      <c r="B60" s="1" t="s">
        <v>691</v>
      </c>
      <c r="C60" t="s">
        <v>692</v>
      </c>
      <c r="D60" t="s">
        <v>3</v>
      </c>
      <c r="E60" s="95" t="s">
        <v>693</v>
      </c>
      <c r="F60" t="s">
        <v>694</v>
      </c>
      <c r="G60" t="s">
        <v>695</v>
      </c>
      <c r="H60" t="s">
        <v>696</v>
      </c>
      <c r="I60" t="s">
        <v>22</v>
      </c>
      <c r="J60" t="s">
        <v>697</v>
      </c>
      <c r="K60" t="s">
        <v>1</v>
      </c>
      <c r="L60" t="s">
        <v>698</v>
      </c>
      <c r="M60" t="s">
        <v>53</v>
      </c>
      <c r="N60" t="s">
        <v>699</v>
      </c>
      <c r="O60" t="s">
        <v>700</v>
      </c>
      <c r="Q60" t="s">
        <v>701</v>
      </c>
      <c r="R60" t="s">
        <v>1</v>
      </c>
    </row>
    <row r="61" spans="1:18" x14ac:dyDescent="0.3">
      <c r="A61" t="str">
        <f>TableMJRPFINAR[[#This Row],[Study Package Code]]</f>
        <v>COMS5003</v>
      </c>
      <c r="B61" s="1">
        <f>TableMJRPFINAR[[#This Row],[Ver]]</f>
        <v>2</v>
      </c>
      <c r="D61" t="str">
        <f>TableMJRPFINAR[[#This Row],[Structure Line]]</f>
        <v>Approaches to Arts Research</v>
      </c>
      <c r="E61" s="95">
        <f>TableMJRPFINAR[[#This Row],[Credit Points]]</f>
        <v>25</v>
      </c>
      <c r="F61">
        <v>1</v>
      </c>
      <c r="G61" t="s">
        <v>706</v>
      </c>
      <c r="H61">
        <v>1</v>
      </c>
      <c r="I61" t="s">
        <v>703</v>
      </c>
      <c r="J61" t="s">
        <v>56</v>
      </c>
      <c r="K61">
        <v>2</v>
      </c>
      <c r="L61" t="s">
        <v>432</v>
      </c>
      <c r="M61">
        <v>25</v>
      </c>
      <c r="N61" s="147">
        <v>45658</v>
      </c>
      <c r="O61" s="147"/>
      <c r="Q61" t="s">
        <v>56</v>
      </c>
      <c r="R61">
        <v>1</v>
      </c>
    </row>
    <row r="62" spans="1:18" x14ac:dyDescent="0.3">
      <c r="A62" t="str">
        <f>TableMJRPFINAR[[#This Row],[Study Package Code]]</f>
        <v>COMS6005</v>
      </c>
      <c r="B62" s="1">
        <f>TableMJRPFINAR[[#This Row],[Ver]]</f>
        <v>1</v>
      </c>
      <c r="D62" t="str">
        <f>TableMJRPFINAR[[#This Row],[Structure Line]]</f>
        <v>Planning an Arts Research Project</v>
      </c>
      <c r="E62" s="95">
        <f>TableMJRPFINAR[[#This Row],[Credit Points]]</f>
        <v>25</v>
      </c>
      <c r="F62">
        <v>2</v>
      </c>
      <c r="G62" t="s">
        <v>706</v>
      </c>
      <c r="H62">
        <v>1</v>
      </c>
      <c r="I62" t="s">
        <v>703</v>
      </c>
      <c r="J62" t="s">
        <v>84</v>
      </c>
      <c r="K62">
        <v>1</v>
      </c>
      <c r="L62" t="s">
        <v>440</v>
      </c>
      <c r="M62">
        <v>25</v>
      </c>
      <c r="N62" s="147">
        <v>43466</v>
      </c>
      <c r="O62" s="147"/>
      <c r="Q62" t="s">
        <v>84</v>
      </c>
      <c r="R62">
        <v>1</v>
      </c>
    </row>
    <row r="63" spans="1:18" x14ac:dyDescent="0.3">
      <c r="A63" t="str">
        <f>TableMJRPFINAR[[#This Row],[Study Package Code]]</f>
        <v>AC-FINAR1</v>
      </c>
      <c r="B63" s="1">
        <f>TableMJRPFINAR[[#This Row],[Ver]]</f>
        <v>0</v>
      </c>
      <c r="D63" t="str">
        <f>TableMJRPFINAR[[#This Row],[Structure Line]]</f>
        <v>Choose VISA5008 or VISA5011</v>
      </c>
      <c r="E63" s="95">
        <f>TableMJRPFINAR[[#This Row],[Credit Points]]</f>
        <v>25</v>
      </c>
      <c r="F63">
        <v>3</v>
      </c>
      <c r="G63" t="s">
        <v>702</v>
      </c>
      <c r="H63">
        <v>1</v>
      </c>
      <c r="I63" t="s">
        <v>703</v>
      </c>
      <c r="J63" t="s">
        <v>65</v>
      </c>
      <c r="K63">
        <v>0</v>
      </c>
      <c r="L63" t="s">
        <v>714</v>
      </c>
      <c r="M63">
        <v>25</v>
      </c>
      <c r="N63" s="147"/>
      <c r="O63" s="147"/>
      <c r="Q63" t="s">
        <v>65</v>
      </c>
      <c r="R63">
        <v>0</v>
      </c>
    </row>
    <row r="64" spans="1:18" x14ac:dyDescent="0.3">
      <c r="A64" t="str">
        <f>TableMJRPFINAR[[#This Row],[Study Package Code]]</f>
        <v>Opt-FINARY1</v>
      </c>
      <c r="B64" s="1">
        <f>TableMJRPFINAR[[#This Row],[Ver]]</f>
        <v>0</v>
      </c>
      <c r="D64" t="str">
        <f>TableMJRPFINAR[[#This Row],[Structure Line]]</f>
        <v>Choose Options for Year 1</v>
      </c>
      <c r="E64" s="95">
        <f>TableMJRPFINAR[[#This Row],[Credit Points]]</f>
        <v>125</v>
      </c>
      <c r="F64">
        <v>4</v>
      </c>
      <c r="G64" t="s">
        <v>708</v>
      </c>
      <c r="H64">
        <v>1</v>
      </c>
      <c r="I64" t="s">
        <v>703</v>
      </c>
      <c r="J64" t="s">
        <v>74</v>
      </c>
      <c r="K64">
        <v>0</v>
      </c>
      <c r="L64" t="s">
        <v>715</v>
      </c>
      <c r="M64">
        <v>125</v>
      </c>
      <c r="N64" s="147"/>
      <c r="O64" s="147"/>
      <c r="Q64" t="s">
        <v>74</v>
      </c>
      <c r="R64">
        <v>0</v>
      </c>
    </row>
    <row r="65" spans="1:18" x14ac:dyDescent="0.3">
      <c r="A65" t="str">
        <f>TableMJRPFINAR[[#This Row],[Study Package Code]]</f>
        <v>AC-FINAR2</v>
      </c>
      <c r="B65" s="1">
        <f>TableMJRPFINAR[[#This Row],[Ver]]</f>
        <v>0</v>
      </c>
      <c r="D65" t="str">
        <f>TableMJRPFINAR[[#This Row],[Structure Line]]</f>
        <v>Choose HUMN6003 or COMS6004</v>
      </c>
      <c r="E65" s="95">
        <f>TableMJRPFINAR[[#This Row],[Credit Points]]</f>
        <v>50</v>
      </c>
      <c r="F65">
        <v>5</v>
      </c>
      <c r="G65" t="s">
        <v>702</v>
      </c>
      <c r="H65">
        <v>2</v>
      </c>
      <c r="I65" t="s">
        <v>703</v>
      </c>
      <c r="J65" t="s">
        <v>120</v>
      </c>
      <c r="K65">
        <v>0</v>
      </c>
      <c r="L65" t="s">
        <v>716</v>
      </c>
      <c r="M65">
        <v>50</v>
      </c>
      <c r="N65" s="147"/>
      <c r="O65" s="147"/>
      <c r="Q65" t="s">
        <v>120</v>
      </c>
      <c r="R65">
        <v>0</v>
      </c>
    </row>
    <row r="66" spans="1:18" x14ac:dyDescent="0.3">
      <c r="A66" t="str">
        <f>TableMJRPFINAR[[#This Row],[Study Package Code]]</f>
        <v>Opt-FINARY2</v>
      </c>
      <c r="B66" s="1">
        <f>TableMJRPFINAR[[#This Row],[Ver]]</f>
        <v>0</v>
      </c>
      <c r="D66" t="str">
        <f>TableMJRPFINAR[[#This Row],[Structure Line]]</f>
        <v>Choose Options for Year 2</v>
      </c>
      <c r="E66" s="95">
        <f>TableMJRPFINAR[[#This Row],[Credit Points]]</f>
        <v>150</v>
      </c>
      <c r="F66">
        <v>6</v>
      </c>
      <c r="G66" t="s">
        <v>708</v>
      </c>
      <c r="H66">
        <v>2</v>
      </c>
      <c r="I66" t="s">
        <v>703</v>
      </c>
      <c r="J66" t="s">
        <v>99</v>
      </c>
      <c r="K66">
        <v>0</v>
      </c>
      <c r="L66" t="s">
        <v>717</v>
      </c>
      <c r="M66">
        <v>150</v>
      </c>
      <c r="N66" s="147"/>
      <c r="O66" s="147"/>
      <c r="Q66" t="s">
        <v>99</v>
      </c>
      <c r="R66">
        <v>0</v>
      </c>
    </row>
    <row r="67" spans="1:18" x14ac:dyDescent="0.3">
      <c r="A67" t="str">
        <f>TableMJRPFINAR[[#This Row],[Study Package Code]]</f>
        <v>VISA5008</v>
      </c>
      <c r="B67" s="1">
        <f>TableMJRPFINAR[[#This Row],[Ver]]</f>
        <v>3</v>
      </c>
      <c r="D67" t="str">
        <f>TableMJRPFINAR[[#This Row],[Structure Line]]</f>
        <v>Graduate Fine Art Studio Materials</v>
      </c>
      <c r="E67" s="95">
        <f>TableMJRPFINAR[[#This Row],[Credit Points]]</f>
        <v>25</v>
      </c>
      <c r="F67">
        <v>3</v>
      </c>
      <c r="G67" t="s">
        <v>702</v>
      </c>
      <c r="H67">
        <v>1</v>
      </c>
      <c r="I67" t="s">
        <v>703</v>
      </c>
      <c r="J67" t="s">
        <v>157</v>
      </c>
      <c r="K67">
        <v>3</v>
      </c>
      <c r="L67" t="s">
        <v>661</v>
      </c>
      <c r="M67">
        <v>25</v>
      </c>
      <c r="N67" s="147">
        <v>45658</v>
      </c>
      <c r="O67" s="147"/>
      <c r="Q67" t="s">
        <v>157</v>
      </c>
      <c r="R67">
        <v>2</v>
      </c>
    </row>
    <row r="68" spans="1:18" x14ac:dyDescent="0.3">
      <c r="A68" t="str">
        <f>TableMJRPFINAR[[#This Row],[Study Package Code]]</f>
        <v>VISA5011</v>
      </c>
      <c r="B68" s="1">
        <f>TableMJRPFINAR[[#This Row],[Ver]]</f>
        <v>2</v>
      </c>
      <c r="D68" t="str">
        <f>TableMJRPFINAR[[#This Row],[Structure Line]]</f>
        <v>Graduate Fine Art Studio Methods</v>
      </c>
      <c r="E68" s="95">
        <f>TableMJRPFINAR[[#This Row],[Credit Points]]</f>
        <v>25</v>
      </c>
      <c r="F68">
        <v>3</v>
      </c>
      <c r="G68" t="s">
        <v>702</v>
      </c>
      <c r="H68">
        <v>1</v>
      </c>
      <c r="I68" t="s">
        <v>703</v>
      </c>
      <c r="J68" t="s">
        <v>163</v>
      </c>
      <c r="K68">
        <v>2</v>
      </c>
      <c r="L68" t="s">
        <v>667</v>
      </c>
      <c r="M68">
        <v>25</v>
      </c>
      <c r="N68" s="147">
        <v>45658</v>
      </c>
      <c r="O68" s="147"/>
      <c r="Q68" t="s">
        <v>163</v>
      </c>
      <c r="R68">
        <v>1</v>
      </c>
    </row>
    <row r="69" spans="1:18" x14ac:dyDescent="0.3">
      <c r="A69" t="str">
        <f>TableMJRPFINAR[[#This Row],[Study Package Code]]</f>
        <v>INDS6004</v>
      </c>
      <c r="B69" s="1">
        <f>TableMJRPFINAR[[#This Row],[Ver]]</f>
        <v>1</v>
      </c>
      <c r="D69" t="str">
        <f>TableMJRPFINAR[[#This Row],[Structure Line]]</f>
        <v>Indigenous Australian Art and Design: Ancient and Contemporary</v>
      </c>
      <c r="E69" s="95">
        <f>TableMJRPFINAR[[#This Row],[Credit Points]]</f>
        <v>25</v>
      </c>
      <c r="F69">
        <v>4</v>
      </c>
      <c r="G69" t="s">
        <v>708</v>
      </c>
      <c r="H69">
        <v>1</v>
      </c>
      <c r="I69" t="s">
        <v>703</v>
      </c>
      <c r="J69" t="s">
        <v>178</v>
      </c>
      <c r="K69">
        <v>1</v>
      </c>
      <c r="L69" t="s">
        <v>484</v>
      </c>
      <c r="M69">
        <v>25</v>
      </c>
      <c r="N69" s="147">
        <v>45292</v>
      </c>
      <c r="O69" s="147"/>
      <c r="Q69" t="s">
        <v>178</v>
      </c>
      <c r="R69">
        <v>1</v>
      </c>
    </row>
    <row r="70" spans="1:18" x14ac:dyDescent="0.3">
      <c r="A70" t="str">
        <f>TableMJRPFINAR[[#This Row],[Study Package Code]]</f>
        <v>VISA5008</v>
      </c>
      <c r="B70" s="1">
        <f>TableMJRPFINAR[[#This Row],[Ver]]</f>
        <v>3</v>
      </c>
      <c r="D70" t="str">
        <f>TableMJRPFINAR[[#This Row],[Structure Line]]</f>
        <v>Graduate Fine Art Studio Materials</v>
      </c>
      <c r="E70" s="95">
        <f>TableMJRPFINAR[[#This Row],[Credit Points]]</f>
        <v>25</v>
      </c>
      <c r="F70">
        <v>4</v>
      </c>
      <c r="G70" t="s">
        <v>708</v>
      </c>
      <c r="H70">
        <v>1</v>
      </c>
      <c r="I70" t="s">
        <v>703</v>
      </c>
      <c r="J70" t="s">
        <v>157</v>
      </c>
      <c r="K70">
        <v>3</v>
      </c>
      <c r="L70" t="s">
        <v>661</v>
      </c>
      <c r="M70">
        <v>25</v>
      </c>
      <c r="N70" s="147">
        <v>45658</v>
      </c>
      <c r="O70" s="147"/>
    </row>
    <row r="71" spans="1:18" x14ac:dyDescent="0.3">
      <c r="A71" t="str">
        <f>TableMJRPFINAR[[#This Row],[Study Package Code]]</f>
        <v>VISA5009</v>
      </c>
      <c r="B71" s="1">
        <f>TableMJRPFINAR[[#This Row],[Ver]]</f>
        <v>2</v>
      </c>
      <c r="D71" t="str">
        <f>TableMJRPFINAR[[#This Row],[Structure Line]]</f>
        <v>Graduate Drawing</v>
      </c>
      <c r="E71" s="95">
        <f>TableMJRPFINAR[[#This Row],[Credit Points]]</f>
        <v>25</v>
      </c>
      <c r="F71">
        <v>4</v>
      </c>
      <c r="G71" t="s">
        <v>708</v>
      </c>
      <c r="H71">
        <v>1</v>
      </c>
      <c r="I71" t="s">
        <v>703</v>
      </c>
      <c r="J71" t="s">
        <v>183</v>
      </c>
      <c r="K71">
        <v>2</v>
      </c>
      <c r="L71" t="s">
        <v>664</v>
      </c>
      <c r="M71">
        <v>25</v>
      </c>
      <c r="N71" s="147">
        <v>45658</v>
      </c>
      <c r="O71" s="147"/>
      <c r="Q71" t="s">
        <v>183</v>
      </c>
      <c r="R71">
        <v>1</v>
      </c>
    </row>
    <row r="72" spans="1:18" x14ac:dyDescent="0.3">
      <c r="A72" t="str">
        <f>TableMJRPFINAR[[#This Row],[Study Package Code]]</f>
        <v>VISA5011</v>
      </c>
      <c r="B72" s="1">
        <f>TableMJRPFINAR[[#This Row],[Ver]]</f>
        <v>2</v>
      </c>
      <c r="D72" t="str">
        <f>TableMJRPFINAR[[#This Row],[Structure Line]]</f>
        <v>Graduate Fine Art Studio Methods</v>
      </c>
      <c r="E72" s="95">
        <f>TableMJRPFINAR[[#This Row],[Credit Points]]</f>
        <v>25</v>
      </c>
      <c r="F72">
        <v>4</v>
      </c>
      <c r="G72" t="s">
        <v>708</v>
      </c>
      <c r="H72">
        <v>1</v>
      </c>
      <c r="I72" t="s">
        <v>703</v>
      </c>
      <c r="J72" t="s">
        <v>163</v>
      </c>
      <c r="K72">
        <v>2</v>
      </c>
      <c r="L72" t="s">
        <v>667</v>
      </c>
      <c r="M72">
        <v>25</v>
      </c>
      <c r="N72" s="147">
        <v>45658</v>
      </c>
      <c r="O72" s="147"/>
    </row>
    <row r="73" spans="1:18" x14ac:dyDescent="0.3">
      <c r="A73" t="str">
        <f>TableMJRPFINAR[[#This Row],[Study Package Code]]</f>
        <v>VISA5012</v>
      </c>
      <c r="B73" s="1">
        <f>TableMJRPFINAR[[#This Row],[Ver]]</f>
        <v>2</v>
      </c>
      <c r="D73" t="str">
        <f>TableMJRPFINAR[[#This Row],[Structure Line]]</f>
        <v>Graduate Fine Art Project</v>
      </c>
      <c r="E73" s="95">
        <f>TableMJRPFINAR[[#This Row],[Credit Points]]</f>
        <v>25</v>
      </c>
      <c r="F73">
        <v>4</v>
      </c>
      <c r="G73" t="s">
        <v>708</v>
      </c>
      <c r="H73">
        <v>1</v>
      </c>
      <c r="I73" t="s">
        <v>703</v>
      </c>
      <c r="J73" t="s">
        <v>191</v>
      </c>
      <c r="K73">
        <v>2</v>
      </c>
      <c r="L73" t="s">
        <v>670</v>
      </c>
      <c r="M73">
        <v>25</v>
      </c>
      <c r="N73" s="147">
        <v>45658</v>
      </c>
      <c r="O73" s="147"/>
      <c r="Q73" t="s">
        <v>191</v>
      </c>
      <c r="R73">
        <v>1</v>
      </c>
    </row>
    <row r="74" spans="1:18" x14ac:dyDescent="0.3">
      <c r="A74" t="str">
        <f>TableMJRPFINAR[[#This Row],[Study Package Code]]</f>
        <v>VISA5013</v>
      </c>
      <c r="B74" s="1">
        <f>TableMJRPFINAR[[#This Row],[Ver]]</f>
        <v>2</v>
      </c>
      <c r="D74" t="str">
        <f>TableMJRPFINAR[[#This Row],[Structure Line]]</f>
        <v>Graduate Fine Art Studio Extension</v>
      </c>
      <c r="E74" s="95">
        <f>TableMJRPFINAR[[#This Row],[Credit Points]]</f>
        <v>25</v>
      </c>
      <c r="F74">
        <v>4</v>
      </c>
      <c r="G74" t="s">
        <v>708</v>
      </c>
      <c r="H74">
        <v>1</v>
      </c>
      <c r="I74" t="s">
        <v>703</v>
      </c>
      <c r="J74" t="s">
        <v>197</v>
      </c>
      <c r="K74">
        <v>2</v>
      </c>
      <c r="L74" t="s">
        <v>673</v>
      </c>
      <c r="M74">
        <v>25</v>
      </c>
      <c r="N74" s="147">
        <v>45658</v>
      </c>
      <c r="O74" s="147"/>
      <c r="Q74" t="s">
        <v>197</v>
      </c>
      <c r="R74">
        <v>1</v>
      </c>
    </row>
    <row r="75" spans="1:18" x14ac:dyDescent="0.3">
      <c r="A75" t="str">
        <f>TableMJRPFINAR[[#This Row],[Study Package Code]]</f>
        <v>VISA5014</v>
      </c>
      <c r="B75" s="1">
        <f>TableMJRPFINAR[[#This Row],[Ver]]</f>
        <v>2</v>
      </c>
      <c r="D75" t="str">
        <f>TableMJRPFINAR[[#This Row],[Structure Line]]</f>
        <v>Graduate Fine Art Studio Strategies</v>
      </c>
      <c r="E75" s="95">
        <f>TableMJRPFINAR[[#This Row],[Credit Points]]</f>
        <v>25</v>
      </c>
      <c r="F75">
        <v>4</v>
      </c>
      <c r="G75" t="s">
        <v>708</v>
      </c>
      <c r="H75">
        <v>1</v>
      </c>
      <c r="I75" t="s">
        <v>703</v>
      </c>
      <c r="J75" t="s">
        <v>203</v>
      </c>
      <c r="K75">
        <v>2</v>
      </c>
      <c r="L75" t="s">
        <v>676</v>
      </c>
      <c r="M75">
        <v>25</v>
      </c>
      <c r="N75" s="147">
        <v>45658</v>
      </c>
      <c r="O75" s="147"/>
      <c r="Q75" t="s">
        <v>203</v>
      </c>
      <c r="R75">
        <v>1</v>
      </c>
    </row>
    <row r="76" spans="1:18" x14ac:dyDescent="0.3">
      <c r="A76" t="str">
        <f>TableMJRPFINAR[[#This Row],[Study Package Code]]</f>
        <v>COMS6004</v>
      </c>
      <c r="B76" s="1">
        <f>TableMJRPFINAR[[#This Row],[Ver]]</f>
        <v>2</v>
      </c>
      <c r="D76" t="str">
        <f>TableMJRPFINAR[[#This Row],[Structure Line]]</f>
        <v>Masters Professional or Creative Project</v>
      </c>
      <c r="E76" s="95">
        <f>TableMJRPFINAR[[#This Row],[Credit Points]]</f>
        <v>50</v>
      </c>
      <c r="F76">
        <v>5</v>
      </c>
      <c r="G76" t="s">
        <v>702</v>
      </c>
      <c r="H76">
        <v>2</v>
      </c>
      <c r="I76" t="s">
        <v>703</v>
      </c>
      <c r="J76" t="s">
        <v>155</v>
      </c>
      <c r="K76">
        <v>2</v>
      </c>
      <c r="L76" t="s">
        <v>439</v>
      </c>
      <c r="M76">
        <v>50</v>
      </c>
      <c r="N76" s="147">
        <v>45292</v>
      </c>
      <c r="O76" s="147"/>
      <c r="Q76" t="s">
        <v>155</v>
      </c>
      <c r="R76">
        <v>2</v>
      </c>
    </row>
    <row r="77" spans="1:18" x14ac:dyDescent="0.3">
      <c r="A77" t="str">
        <f>TableMJRPFINAR[[#This Row],[Study Package Code]]</f>
        <v>HUMN6003</v>
      </c>
      <c r="B77" s="1">
        <f>TableMJRPFINAR[[#This Row],[Ver]]</f>
        <v>1</v>
      </c>
      <c r="D77" t="str">
        <f>TableMJRPFINAR[[#This Row],[Structure Line]]</f>
        <v>Masters Research Project 2</v>
      </c>
      <c r="E77" s="95">
        <f>TableMJRPFINAR[[#This Row],[Credit Points]]</f>
        <v>50</v>
      </c>
      <c r="F77">
        <v>5</v>
      </c>
      <c r="G77" t="s">
        <v>702</v>
      </c>
      <c r="H77">
        <v>2</v>
      </c>
      <c r="I77" t="s">
        <v>703</v>
      </c>
      <c r="J77" t="s">
        <v>161</v>
      </c>
      <c r="K77">
        <v>1</v>
      </c>
      <c r="L77" t="s">
        <v>710</v>
      </c>
      <c r="M77">
        <v>50</v>
      </c>
      <c r="N77" s="147">
        <v>45292</v>
      </c>
      <c r="O77" s="147"/>
      <c r="Q77" t="s">
        <v>161</v>
      </c>
      <c r="R77">
        <v>1</v>
      </c>
    </row>
    <row r="78" spans="1:18" x14ac:dyDescent="0.3">
      <c r="A78" t="str">
        <f>TableMJRPFINAR[[#This Row],[Study Package Code]]</f>
        <v>COMS6002</v>
      </c>
      <c r="B78" s="1">
        <f>TableMJRPFINAR[[#This Row],[Ver]]</f>
        <v>3</v>
      </c>
      <c r="D78" t="str">
        <f>TableMJRPFINAR[[#This Row],[Structure Line]]</f>
        <v>Masters Professional Experience</v>
      </c>
      <c r="E78" s="95">
        <f>TableMJRPFINAR[[#This Row],[Credit Points]]</f>
        <v>50</v>
      </c>
      <c r="F78">
        <v>6</v>
      </c>
      <c r="G78" t="s">
        <v>708</v>
      </c>
      <c r="H78">
        <v>2</v>
      </c>
      <c r="I78" t="s">
        <v>703</v>
      </c>
      <c r="J78" t="s">
        <v>177</v>
      </c>
      <c r="K78">
        <v>3</v>
      </c>
      <c r="L78" t="s">
        <v>437</v>
      </c>
      <c r="M78">
        <v>50</v>
      </c>
      <c r="N78" s="147">
        <v>45292</v>
      </c>
      <c r="O78" s="147"/>
      <c r="Q78" t="s">
        <v>177</v>
      </c>
      <c r="R78">
        <v>3</v>
      </c>
    </row>
    <row r="79" spans="1:18" x14ac:dyDescent="0.3">
      <c r="A79" t="str">
        <f>TableMJRPFINAR[[#This Row],[Study Package Code]]</f>
        <v>HUMN6001</v>
      </c>
      <c r="B79" s="1">
        <f>TableMJRPFINAR[[#This Row],[Ver]]</f>
        <v>1</v>
      </c>
      <c r="D79" t="str">
        <f>TableMJRPFINAR[[#This Row],[Structure Line]]</f>
        <v>Masters Research Project 1</v>
      </c>
      <c r="E79" s="95">
        <f>TableMJRPFINAR[[#This Row],[Credit Points]]</f>
        <v>50</v>
      </c>
      <c r="F79">
        <v>6</v>
      </c>
      <c r="G79" t="s">
        <v>708</v>
      </c>
      <c r="H79">
        <v>2</v>
      </c>
      <c r="I79" t="s">
        <v>703</v>
      </c>
      <c r="J79" t="s">
        <v>181</v>
      </c>
      <c r="K79">
        <v>1</v>
      </c>
      <c r="L79" t="s">
        <v>711</v>
      </c>
      <c r="M79">
        <v>50</v>
      </c>
      <c r="N79" s="147">
        <v>45292</v>
      </c>
      <c r="O79" s="147"/>
      <c r="Q79" t="s">
        <v>181</v>
      </c>
      <c r="R79">
        <v>1</v>
      </c>
    </row>
    <row r="80" spans="1:18" x14ac:dyDescent="0.3">
      <c r="A80" t="str">
        <f>TableMJRPFINAR[[#This Row],[Study Package Code]]</f>
        <v>INDS6001</v>
      </c>
      <c r="B80" s="1">
        <f>TableMJRPFINAR[[#This Row],[Ver]]</f>
        <v>1</v>
      </c>
      <c r="D80" t="str">
        <f>TableMJRPFINAR[[#This Row],[Structure Line]]</f>
        <v>Australian Indigenous Literature Creative Perspectives</v>
      </c>
      <c r="E80" s="95">
        <f>TableMJRPFINAR[[#This Row],[Credit Points]]</f>
        <v>25</v>
      </c>
      <c r="F80">
        <v>6</v>
      </c>
      <c r="G80" t="s">
        <v>708</v>
      </c>
      <c r="H80">
        <v>2</v>
      </c>
      <c r="I80" t="s">
        <v>703</v>
      </c>
      <c r="J80" t="s">
        <v>199</v>
      </c>
      <c r="K80">
        <v>1</v>
      </c>
      <c r="L80" t="s">
        <v>483</v>
      </c>
      <c r="M80">
        <v>25</v>
      </c>
      <c r="N80" s="147">
        <v>44743</v>
      </c>
      <c r="O80" s="147"/>
      <c r="Q80" t="s">
        <v>199</v>
      </c>
      <c r="R80">
        <v>1</v>
      </c>
    </row>
    <row r="81" spans="1:18" x14ac:dyDescent="0.3">
      <c r="A81" t="str">
        <f>TableMJRPFINAR[[#This Row],[Study Package Code]]</f>
        <v>ISYS5001</v>
      </c>
      <c r="B81" s="1">
        <f>TableMJRPFINAR[[#This Row],[Ver]]</f>
        <v>1</v>
      </c>
      <c r="D81" t="str">
        <f>TableMJRPFINAR[[#This Row],[Structure Line]]</f>
        <v>Business Project Management</v>
      </c>
      <c r="E81" s="95">
        <f>TableMJRPFINAR[[#This Row],[Credit Points]]</f>
        <v>25</v>
      </c>
      <c r="F81">
        <v>6</v>
      </c>
      <c r="G81" t="s">
        <v>708</v>
      </c>
      <c r="H81">
        <v>2</v>
      </c>
      <c r="I81" t="s">
        <v>703</v>
      </c>
      <c r="J81" t="s">
        <v>205</v>
      </c>
      <c r="K81">
        <v>1</v>
      </c>
      <c r="L81" t="s">
        <v>500</v>
      </c>
      <c r="M81">
        <v>25</v>
      </c>
      <c r="N81" s="147">
        <v>42005</v>
      </c>
      <c r="O81" s="147"/>
      <c r="Q81" t="s">
        <v>205</v>
      </c>
      <c r="R81">
        <v>1</v>
      </c>
    </row>
    <row r="82" spans="1:18" x14ac:dyDescent="0.3">
      <c r="A82" t="str">
        <f>TableMJRPFINAR[[#This Row],[Study Package Code]]</f>
        <v>VISA6008</v>
      </c>
      <c r="B82" s="1">
        <f>TableMJRPFINAR[[#This Row],[Ver]]</f>
        <v>3</v>
      </c>
      <c r="D82" t="str">
        <f>TableMJRPFINAR[[#This Row],[Structure Line]]</f>
        <v>Graduate Fine Art Concepts and Contexts</v>
      </c>
      <c r="E82" s="95">
        <f>TableMJRPFINAR[[#This Row],[Credit Points]]</f>
        <v>25</v>
      </c>
      <c r="F82">
        <v>6</v>
      </c>
      <c r="G82" t="s">
        <v>708</v>
      </c>
      <c r="H82">
        <v>2</v>
      </c>
      <c r="I82" t="s">
        <v>703</v>
      </c>
      <c r="J82" t="s">
        <v>233</v>
      </c>
      <c r="K82">
        <v>3</v>
      </c>
      <c r="L82" t="s">
        <v>679</v>
      </c>
      <c r="M82">
        <v>25</v>
      </c>
      <c r="N82" s="147">
        <v>45658</v>
      </c>
      <c r="O82" s="147"/>
      <c r="Q82" t="s">
        <v>233</v>
      </c>
      <c r="R82">
        <v>2</v>
      </c>
    </row>
    <row r="83" spans="1:18" x14ac:dyDescent="0.3">
      <c r="A83" t="str">
        <f>TableMJRPFINAR[[#This Row],[Study Package Code]]</f>
        <v>VISA6011</v>
      </c>
      <c r="B83" s="1">
        <f>TableMJRPFINAR[[#This Row],[Ver]]</f>
        <v>2</v>
      </c>
      <c r="D83" t="str">
        <f>TableMJRPFINAR[[#This Row],[Structure Line]]</f>
        <v>Graduate Fine Art Studio Practice</v>
      </c>
      <c r="E83" s="95">
        <f>TableMJRPFINAR[[#This Row],[Credit Points]]</f>
        <v>25</v>
      </c>
      <c r="F83">
        <v>6</v>
      </c>
      <c r="G83" t="s">
        <v>708</v>
      </c>
      <c r="H83">
        <v>2</v>
      </c>
      <c r="I83" t="s">
        <v>703</v>
      </c>
      <c r="J83" t="s">
        <v>235</v>
      </c>
      <c r="K83">
        <v>2</v>
      </c>
      <c r="L83" t="s">
        <v>682</v>
      </c>
      <c r="M83">
        <v>25</v>
      </c>
      <c r="N83" s="147">
        <v>45658</v>
      </c>
      <c r="O83" s="147"/>
      <c r="Q83" t="s">
        <v>235</v>
      </c>
      <c r="R83">
        <v>1</v>
      </c>
    </row>
    <row r="84" spans="1:18" x14ac:dyDescent="0.3">
      <c r="A84" t="str">
        <f>TableMJRPFINAR[[#This Row],[Study Package Code]]</f>
        <v>VISA6012</v>
      </c>
      <c r="B84" s="1">
        <f>TableMJRPFINAR[[#This Row],[Ver]]</f>
        <v>2</v>
      </c>
      <c r="D84" t="str">
        <f>TableMJRPFINAR[[#This Row],[Structure Line]]</f>
        <v>Graduate Fine Art Project Development</v>
      </c>
      <c r="E84" s="95">
        <f>TableMJRPFINAR[[#This Row],[Credit Points]]</f>
        <v>25</v>
      </c>
      <c r="F84">
        <v>6</v>
      </c>
      <c r="G84" t="s">
        <v>708</v>
      </c>
      <c r="H84">
        <v>2</v>
      </c>
      <c r="I84" t="s">
        <v>703</v>
      </c>
      <c r="J84" t="s">
        <v>237</v>
      </c>
      <c r="K84">
        <v>2</v>
      </c>
      <c r="L84" t="s">
        <v>685</v>
      </c>
      <c r="M84">
        <v>25</v>
      </c>
      <c r="N84" s="147">
        <v>45658</v>
      </c>
      <c r="O84" s="147"/>
      <c r="Q84" t="s">
        <v>237</v>
      </c>
      <c r="R84">
        <v>1</v>
      </c>
    </row>
    <row r="85" spans="1:18" x14ac:dyDescent="0.3">
      <c r="B85"/>
      <c r="E85"/>
      <c r="F85" s="93"/>
      <c r="G85" s="94" t="s">
        <v>689</v>
      </c>
      <c r="H85" s="228">
        <v>45658</v>
      </c>
      <c r="I85" s="146"/>
      <c r="J85" s="230" t="s">
        <v>148</v>
      </c>
      <c r="K85" s="229" t="s">
        <v>113</v>
      </c>
      <c r="L85" s="146" t="s">
        <v>176</v>
      </c>
      <c r="M85" s="146"/>
      <c r="N85" s="180" t="s">
        <v>690</v>
      </c>
      <c r="O85" s="147">
        <v>45580</v>
      </c>
    </row>
    <row r="86" spans="1:18" x14ac:dyDescent="0.3">
      <c r="A86" t="s">
        <v>0</v>
      </c>
      <c r="B86" s="1" t="s">
        <v>691</v>
      </c>
      <c r="C86" t="s">
        <v>692</v>
      </c>
      <c r="D86" t="s">
        <v>3</v>
      </c>
      <c r="E86" s="95" t="s">
        <v>693</v>
      </c>
      <c r="F86" t="s">
        <v>694</v>
      </c>
      <c r="G86" t="s">
        <v>695</v>
      </c>
      <c r="H86" t="s">
        <v>696</v>
      </c>
      <c r="I86" t="s">
        <v>22</v>
      </c>
      <c r="J86" t="s">
        <v>697</v>
      </c>
      <c r="K86" t="s">
        <v>1</v>
      </c>
      <c r="L86" t="s">
        <v>698</v>
      </c>
      <c r="M86" t="s">
        <v>53</v>
      </c>
      <c r="N86" t="s">
        <v>699</v>
      </c>
      <c r="O86" t="s">
        <v>700</v>
      </c>
      <c r="Q86" t="s">
        <v>701</v>
      </c>
      <c r="R86" t="s">
        <v>1</v>
      </c>
    </row>
    <row r="87" spans="1:18" x14ac:dyDescent="0.3">
      <c r="A87" t="str">
        <f>TableMJRPPWRIT[[#This Row],[Study Package Code]]</f>
        <v>Opt-PWRITY1</v>
      </c>
      <c r="B87" s="1">
        <f>TableMJRPPWRIT[[#This Row],[Ver]]</f>
        <v>0</v>
      </c>
      <c r="D87" t="str">
        <f>TableMJRPPWRIT[[#This Row],[Structure Line]]</f>
        <v>Choose Options for Year 1</v>
      </c>
      <c r="E87" s="95">
        <f>TableMJRPPWRIT[[#This Row],[Credit Points]]</f>
        <v>150</v>
      </c>
      <c r="F87">
        <v>1</v>
      </c>
      <c r="G87" t="s">
        <v>708</v>
      </c>
      <c r="H87">
        <v>1</v>
      </c>
      <c r="I87" t="s">
        <v>703</v>
      </c>
      <c r="J87" t="s">
        <v>66</v>
      </c>
      <c r="K87">
        <v>0</v>
      </c>
      <c r="L87" t="s">
        <v>715</v>
      </c>
      <c r="M87">
        <v>150</v>
      </c>
      <c r="N87" s="147"/>
      <c r="O87" s="147"/>
      <c r="Q87" t="s">
        <v>66</v>
      </c>
      <c r="R87">
        <v>0</v>
      </c>
    </row>
    <row r="88" spans="1:18" x14ac:dyDescent="0.3">
      <c r="A88" t="str">
        <f>TableMJRPPWRIT[[#This Row],[Study Package Code]]</f>
        <v>COMS5003</v>
      </c>
      <c r="B88" s="1">
        <f>TableMJRPPWRIT[[#This Row],[Ver]]</f>
        <v>2</v>
      </c>
      <c r="D88" t="str">
        <f>TableMJRPPWRIT[[#This Row],[Structure Line]]</f>
        <v>Approaches to Arts Research</v>
      </c>
      <c r="E88" s="95">
        <f>TableMJRPPWRIT[[#This Row],[Credit Points]]</f>
        <v>25</v>
      </c>
      <c r="F88">
        <v>2</v>
      </c>
      <c r="G88" t="s">
        <v>706</v>
      </c>
      <c r="H88">
        <v>1</v>
      </c>
      <c r="I88" t="s">
        <v>703</v>
      </c>
      <c r="J88" t="s">
        <v>56</v>
      </c>
      <c r="K88">
        <v>2</v>
      </c>
      <c r="L88" t="s">
        <v>432</v>
      </c>
      <c r="M88">
        <v>25</v>
      </c>
      <c r="N88" s="147">
        <v>45658</v>
      </c>
      <c r="O88" s="147"/>
      <c r="Q88" t="s">
        <v>56</v>
      </c>
      <c r="R88">
        <v>1</v>
      </c>
    </row>
    <row r="89" spans="1:18" x14ac:dyDescent="0.3">
      <c r="A89" t="str">
        <f>TableMJRPPWRIT[[#This Row],[Study Package Code]]</f>
        <v>COMS6005</v>
      </c>
      <c r="B89" s="1">
        <f>TableMJRPPWRIT[[#This Row],[Ver]]</f>
        <v>1</v>
      </c>
      <c r="D89" t="str">
        <f>TableMJRPPWRIT[[#This Row],[Structure Line]]</f>
        <v>Planning an Arts Research Project</v>
      </c>
      <c r="E89" s="95">
        <f>TableMJRPPWRIT[[#This Row],[Credit Points]]</f>
        <v>25</v>
      </c>
      <c r="F89">
        <v>3</v>
      </c>
      <c r="G89" t="s">
        <v>706</v>
      </c>
      <c r="H89">
        <v>1</v>
      </c>
      <c r="I89" t="s">
        <v>703</v>
      </c>
      <c r="J89" t="s">
        <v>84</v>
      </c>
      <c r="K89">
        <v>1</v>
      </c>
      <c r="L89" t="s">
        <v>440</v>
      </c>
      <c r="M89">
        <v>25</v>
      </c>
      <c r="N89" s="147">
        <v>43466</v>
      </c>
      <c r="O89" s="147"/>
      <c r="Q89" t="s">
        <v>84</v>
      </c>
      <c r="R89">
        <v>1</v>
      </c>
    </row>
    <row r="90" spans="1:18" x14ac:dyDescent="0.3">
      <c r="A90" t="str">
        <f>TableMJRPPWRIT[[#This Row],[Study Package Code]]</f>
        <v>Opt-PWRITY2</v>
      </c>
      <c r="B90" s="1">
        <f>TableMJRPPWRIT[[#This Row],[Ver]]</f>
        <v>0</v>
      </c>
      <c r="D90" t="str">
        <f>TableMJRPPWRIT[[#This Row],[Structure Line]]</f>
        <v>Choose Options for Year 2</v>
      </c>
      <c r="E90" s="95">
        <f>TableMJRPPWRIT[[#This Row],[Credit Points]]</f>
        <v>150</v>
      </c>
      <c r="F90">
        <v>4</v>
      </c>
      <c r="G90" t="s">
        <v>708</v>
      </c>
      <c r="H90">
        <v>2</v>
      </c>
      <c r="I90" t="s">
        <v>703</v>
      </c>
      <c r="J90" t="s">
        <v>100</v>
      </c>
      <c r="K90">
        <v>0</v>
      </c>
      <c r="L90" t="s">
        <v>717</v>
      </c>
      <c r="M90">
        <v>150</v>
      </c>
      <c r="N90" s="147"/>
      <c r="O90" s="147"/>
      <c r="Q90" t="s">
        <v>100</v>
      </c>
      <c r="R90">
        <v>0</v>
      </c>
    </row>
    <row r="91" spans="1:18" x14ac:dyDescent="0.3">
      <c r="A91" t="str">
        <f>TableMJRPPWRIT[[#This Row],[Study Package Code]]</f>
        <v>AC-PWRIT</v>
      </c>
      <c r="B91" s="1">
        <f>TableMJRPPWRIT[[#This Row],[Ver]]</f>
        <v>0</v>
      </c>
      <c r="D91" t="str">
        <f>TableMJRPPWRIT[[#This Row],[Structure Line]]</f>
        <v>Choose HUMN6003 or COMS6004</v>
      </c>
      <c r="E91" s="95">
        <f>TableMJRPPWRIT[[#This Row],[Credit Points]]</f>
        <v>50</v>
      </c>
      <c r="F91">
        <v>5</v>
      </c>
      <c r="G91" t="s">
        <v>702</v>
      </c>
      <c r="H91">
        <v>2</v>
      </c>
      <c r="I91" t="s">
        <v>703</v>
      </c>
      <c r="J91" t="s">
        <v>121</v>
      </c>
      <c r="K91">
        <v>0</v>
      </c>
      <c r="L91" t="s">
        <v>716</v>
      </c>
      <c r="M91">
        <v>50</v>
      </c>
      <c r="N91" s="147"/>
      <c r="O91" s="147"/>
      <c r="Q91" t="s">
        <v>121</v>
      </c>
      <c r="R91">
        <v>0</v>
      </c>
    </row>
    <row r="92" spans="1:18" x14ac:dyDescent="0.3">
      <c r="A92" t="str">
        <f>TableMJRPPWRIT[[#This Row],[Study Package Code]]</f>
        <v>CWRI6000</v>
      </c>
      <c r="B92" s="1">
        <f>TableMJRPPWRIT[[#This Row],[Ver]]</f>
        <v>3</v>
      </c>
      <c r="D92" t="str">
        <f>TableMJRPPWRIT[[#This Row],[Structure Line]]</f>
        <v>Graduate Engaging Narrative</v>
      </c>
      <c r="E92" s="95">
        <f>TableMJRPPWRIT[[#This Row],[Credit Points]]</f>
        <v>25</v>
      </c>
      <c r="F92">
        <v>1</v>
      </c>
      <c r="G92" t="s">
        <v>708</v>
      </c>
      <c r="H92">
        <v>1</v>
      </c>
      <c r="I92" t="s">
        <v>703</v>
      </c>
      <c r="J92" t="s">
        <v>158</v>
      </c>
      <c r="K92">
        <v>3</v>
      </c>
      <c r="L92" t="s">
        <v>462</v>
      </c>
      <c r="M92">
        <v>25</v>
      </c>
      <c r="N92" s="147">
        <v>45658</v>
      </c>
      <c r="O92" s="147"/>
      <c r="Q92" t="s">
        <v>158</v>
      </c>
      <c r="R92">
        <v>2</v>
      </c>
    </row>
    <row r="93" spans="1:18" x14ac:dyDescent="0.3">
      <c r="A93" t="str">
        <f>TableMJRPPWRIT[[#This Row],[Study Package Code]]</f>
        <v>GRDE5000</v>
      </c>
      <c r="B93" s="1">
        <f>TableMJRPPWRIT[[#This Row],[Ver]]</f>
        <v>2</v>
      </c>
      <c r="D93" t="str">
        <f>TableMJRPPWRIT[[#This Row],[Structure Line]]</f>
        <v>Design Computing</v>
      </c>
      <c r="E93" s="95">
        <f>TableMJRPPWRIT[[#This Row],[Credit Points]]</f>
        <v>25</v>
      </c>
      <c r="F93">
        <v>1</v>
      </c>
      <c r="G93" t="s">
        <v>708</v>
      </c>
      <c r="H93">
        <v>1</v>
      </c>
      <c r="I93" t="s">
        <v>703</v>
      </c>
      <c r="J93" t="s">
        <v>248</v>
      </c>
      <c r="K93">
        <v>2</v>
      </c>
      <c r="L93" t="s">
        <v>470</v>
      </c>
      <c r="M93">
        <v>25</v>
      </c>
      <c r="N93" s="147">
        <v>42370</v>
      </c>
      <c r="O93" s="147"/>
      <c r="Q93" t="s">
        <v>248</v>
      </c>
      <c r="R93">
        <v>2</v>
      </c>
    </row>
    <row r="94" spans="1:18" x14ac:dyDescent="0.3">
      <c r="A94" t="str">
        <f>TableMJRPPWRIT[[#This Row],[Study Package Code]]</f>
        <v>GRDE5003</v>
      </c>
      <c r="B94" s="1">
        <f>TableMJRPPWRIT[[#This Row],[Ver]]</f>
        <v>1</v>
      </c>
      <c r="D94" t="str">
        <f>TableMJRPPWRIT[[#This Row],[Structure Line]]</f>
        <v>Typography</v>
      </c>
      <c r="E94" s="95">
        <f>TableMJRPPWRIT[[#This Row],[Credit Points]]</f>
        <v>25</v>
      </c>
      <c r="F94">
        <v>1</v>
      </c>
      <c r="G94" t="s">
        <v>708</v>
      </c>
      <c r="H94">
        <v>1</v>
      </c>
      <c r="I94" t="s">
        <v>703</v>
      </c>
      <c r="J94" t="s">
        <v>249</v>
      </c>
      <c r="K94">
        <v>1</v>
      </c>
      <c r="L94" t="s">
        <v>472</v>
      </c>
      <c r="M94">
        <v>25</v>
      </c>
      <c r="N94" s="147">
        <v>42005</v>
      </c>
      <c r="O94" s="147"/>
      <c r="Q94" t="s">
        <v>249</v>
      </c>
      <c r="R94">
        <v>1</v>
      </c>
    </row>
    <row r="95" spans="1:18" x14ac:dyDescent="0.3">
      <c r="A95" t="str">
        <f>TableMJRPPWRIT[[#This Row],[Study Package Code]]</f>
        <v>NETS5000</v>
      </c>
      <c r="B95" s="1">
        <f>TableMJRPPWRIT[[#This Row],[Ver]]</f>
        <v>2</v>
      </c>
      <c r="D95" t="str">
        <f>TableMJRPPWRIT[[#This Row],[Structure Line]]</f>
        <v>Graduate Web Communications</v>
      </c>
      <c r="E95" s="95">
        <f>TableMJRPPWRIT[[#This Row],[Credit Points]]</f>
        <v>25</v>
      </c>
      <c r="F95">
        <v>1</v>
      </c>
      <c r="G95" t="s">
        <v>708</v>
      </c>
      <c r="H95">
        <v>1</v>
      </c>
      <c r="I95" t="s">
        <v>703</v>
      </c>
      <c r="J95" t="s">
        <v>156</v>
      </c>
      <c r="K95">
        <v>2</v>
      </c>
      <c r="L95" t="s">
        <v>534</v>
      </c>
      <c r="M95">
        <v>25</v>
      </c>
      <c r="N95" s="147">
        <v>45658</v>
      </c>
      <c r="O95" s="147"/>
      <c r="Q95" t="s">
        <v>156</v>
      </c>
      <c r="R95">
        <v>1</v>
      </c>
    </row>
    <row r="96" spans="1:18" x14ac:dyDescent="0.3">
      <c r="A96" t="str">
        <f>TableMJRPPWRIT[[#This Row],[Study Package Code]]</f>
        <v>NETS5005</v>
      </c>
      <c r="B96" s="1">
        <f>TableMJRPPWRIT[[#This Row],[Ver]]</f>
        <v>3</v>
      </c>
      <c r="D96" t="str">
        <f>TableMJRPPWRIT[[#This Row],[Structure Line]]</f>
        <v>Graduate Writing on the Web</v>
      </c>
      <c r="E96" s="95">
        <f>TableMJRPPWRIT[[#This Row],[Credit Points]]</f>
        <v>25</v>
      </c>
      <c r="F96">
        <v>1</v>
      </c>
      <c r="G96" t="s">
        <v>708</v>
      </c>
      <c r="H96">
        <v>1</v>
      </c>
      <c r="I96" t="s">
        <v>703</v>
      </c>
      <c r="J96" t="s">
        <v>182</v>
      </c>
      <c r="K96">
        <v>3</v>
      </c>
      <c r="L96" t="s">
        <v>546</v>
      </c>
      <c r="M96">
        <v>25</v>
      </c>
      <c r="N96" s="147">
        <v>45658</v>
      </c>
      <c r="O96" s="147"/>
    </row>
    <row r="97" spans="1:18" x14ac:dyDescent="0.3">
      <c r="A97" t="str">
        <f>TableMJRPPWRIT[[#This Row],[Study Package Code]]</f>
        <v>PWRP5003</v>
      </c>
      <c r="B97" s="1">
        <f>TableMJRPPWRIT[[#This Row],[Ver]]</f>
        <v>3</v>
      </c>
      <c r="D97" t="str">
        <f>TableMJRPPWRIT[[#This Row],[Structure Line]]</f>
        <v>Graduate Editing</v>
      </c>
      <c r="E97" s="95">
        <f>TableMJRPPWRIT[[#This Row],[Credit Points]]</f>
        <v>25</v>
      </c>
      <c r="F97">
        <v>1</v>
      </c>
      <c r="G97" t="s">
        <v>708</v>
      </c>
      <c r="H97">
        <v>1</v>
      </c>
      <c r="I97" t="s">
        <v>703</v>
      </c>
      <c r="J97" t="s">
        <v>184</v>
      </c>
      <c r="K97">
        <v>3</v>
      </c>
      <c r="L97" t="s">
        <v>607</v>
      </c>
      <c r="M97">
        <v>25</v>
      </c>
      <c r="N97" s="147">
        <v>45658</v>
      </c>
      <c r="O97" s="147"/>
      <c r="Q97" t="s">
        <v>184</v>
      </c>
      <c r="R97">
        <v>2</v>
      </c>
    </row>
    <row r="98" spans="1:18" x14ac:dyDescent="0.3">
      <c r="A98" t="str">
        <f>TableMJRPPWRIT[[#This Row],[Study Package Code]]</f>
        <v>PWRP5006</v>
      </c>
      <c r="B98" s="1">
        <f>TableMJRPPWRIT[[#This Row],[Ver]]</f>
        <v>3</v>
      </c>
      <c r="D98" t="str">
        <f>TableMJRPPWRIT[[#This Row],[Structure Line]]</f>
        <v>Graduate Publishing</v>
      </c>
      <c r="E98" s="95">
        <f>TableMJRPPWRIT[[#This Row],[Credit Points]]</f>
        <v>25</v>
      </c>
      <c r="F98">
        <v>1</v>
      </c>
      <c r="G98" t="s">
        <v>708</v>
      </c>
      <c r="H98">
        <v>1</v>
      </c>
      <c r="I98" t="s">
        <v>703</v>
      </c>
      <c r="J98" t="s">
        <v>187</v>
      </c>
      <c r="K98">
        <v>3</v>
      </c>
      <c r="L98" t="s">
        <v>610</v>
      </c>
      <c r="M98">
        <v>25</v>
      </c>
      <c r="N98" s="147">
        <v>45658</v>
      </c>
      <c r="O98" s="147"/>
    </row>
    <row r="99" spans="1:18" x14ac:dyDescent="0.3">
      <c r="A99" t="str">
        <f>TableMJRPPWRIT[[#This Row],[Study Package Code]]</f>
        <v>PWRP5019</v>
      </c>
      <c r="B99" s="1">
        <f>TableMJRPPWRIT[[#This Row],[Ver]]</f>
        <v>3</v>
      </c>
      <c r="D99" t="str">
        <f>TableMJRPPWRIT[[#This Row],[Structure Line]]</f>
        <v>Graduate Narrative Nonfiction</v>
      </c>
      <c r="E99" s="95">
        <f>TableMJRPPWRIT[[#This Row],[Credit Points]]</f>
        <v>25</v>
      </c>
      <c r="F99">
        <v>1</v>
      </c>
      <c r="G99" t="s">
        <v>708</v>
      </c>
      <c r="H99">
        <v>1</v>
      </c>
      <c r="I99" t="s">
        <v>703</v>
      </c>
      <c r="J99" t="s">
        <v>192</v>
      </c>
      <c r="K99">
        <v>3</v>
      </c>
      <c r="L99" t="s">
        <v>617</v>
      </c>
      <c r="M99">
        <v>25</v>
      </c>
      <c r="N99" s="147">
        <v>45658</v>
      </c>
      <c r="O99" s="147"/>
      <c r="Q99" t="s">
        <v>192</v>
      </c>
      <c r="R99">
        <v>2</v>
      </c>
    </row>
    <row r="100" spans="1:18" x14ac:dyDescent="0.3">
      <c r="A100" t="str">
        <f>TableMJRPPWRIT[[#This Row],[Study Package Code]]</f>
        <v>PWRP5021</v>
      </c>
      <c r="B100" s="1">
        <f>TableMJRPPWRIT[[#This Row],[Ver]]</f>
        <v>3</v>
      </c>
      <c r="D100" t="str">
        <f>TableMJRPPWRIT[[#This Row],[Structure Line]]</f>
        <v>Graduate Introduction to Creative and Professional Writing</v>
      </c>
      <c r="E100" s="95">
        <f>TableMJRPPWRIT[[#This Row],[Credit Points]]</f>
        <v>25</v>
      </c>
      <c r="F100">
        <v>1</v>
      </c>
      <c r="G100" t="s">
        <v>708</v>
      </c>
      <c r="H100">
        <v>1</v>
      </c>
      <c r="I100" t="s">
        <v>703</v>
      </c>
      <c r="J100" t="s">
        <v>198</v>
      </c>
      <c r="K100">
        <v>3</v>
      </c>
      <c r="L100" t="s">
        <v>620</v>
      </c>
      <c r="M100">
        <v>25</v>
      </c>
      <c r="N100" s="147">
        <v>45658</v>
      </c>
      <c r="O100" s="147"/>
      <c r="Q100" t="s">
        <v>198</v>
      </c>
      <c r="R100">
        <v>2</v>
      </c>
    </row>
    <row r="101" spans="1:18" x14ac:dyDescent="0.3">
      <c r="A101" t="str">
        <f>TableMJRPPWRIT[[#This Row],[Study Package Code]]</f>
        <v>PWRP5022</v>
      </c>
      <c r="B101" s="1">
        <f>TableMJRPPWRIT[[#This Row],[Ver]]</f>
        <v>3</v>
      </c>
      <c r="D101" t="str">
        <f>TableMJRPPWRIT[[#This Row],[Structure Line]]</f>
        <v>Graduate Skills in Professional Writing</v>
      </c>
      <c r="E101" s="95">
        <f>TableMJRPPWRIT[[#This Row],[Credit Points]]</f>
        <v>25</v>
      </c>
      <c r="F101">
        <v>1</v>
      </c>
      <c r="G101" t="s">
        <v>708</v>
      </c>
      <c r="H101">
        <v>1</v>
      </c>
      <c r="I101" t="s">
        <v>703</v>
      </c>
      <c r="J101" t="s">
        <v>204</v>
      </c>
      <c r="K101">
        <v>3</v>
      </c>
      <c r="L101" t="s">
        <v>623</v>
      </c>
      <c r="M101">
        <v>25</v>
      </c>
      <c r="N101" s="147">
        <v>45658</v>
      </c>
      <c r="O101" s="147"/>
      <c r="Q101" t="s">
        <v>204</v>
      </c>
      <c r="R101">
        <v>2</v>
      </c>
    </row>
    <row r="102" spans="1:18" x14ac:dyDescent="0.3">
      <c r="A102" t="str">
        <f>TableMJRPPWRIT[[#This Row],[Study Package Code]]</f>
        <v>PWRP5023</v>
      </c>
      <c r="B102" s="1">
        <f>TableMJRPPWRIT[[#This Row],[Ver]]</f>
        <v>2</v>
      </c>
      <c r="D102" t="str">
        <f>TableMJRPPWRIT[[#This Row],[Structure Line]]</f>
        <v>Graduate Workplace Writing</v>
      </c>
      <c r="E102" s="95">
        <f>TableMJRPPWRIT[[#This Row],[Credit Points]]</f>
        <v>25</v>
      </c>
      <c r="F102">
        <v>1</v>
      </c>
      <c r="G102" t="s">
        <v>708</v>
      </c>
      <c r="H102">
        <v>1</v>
      </c>
      <c r="I102" t="s">
        <v>703</v>
      </c>
      <c r="J102" t="s">
        <v>209</v>
      </c>
      <c r="K102">
        <v>2</v>
      </c>
      <c r="L102" t="s">
        <v>626</v>
      </c>
      <c r="M102">
        <v>25</v>
      </c>
      <c r="N102" s="147">
        <v>45658</v>
      </c>
      <c r="O102" s="147"/>
      <c r="Q102" t="s">
        <v>209</v>
      </c>
      <c r="R102">
        <v>1</v>
      </c>
    </row>
    <row r="103" spans="1:18" x14ac:dyDescent="0.3">
      <c r="A103" t="str">
        <f>TableMJRPPWRIT[[#This Row],[Study Package Code]]</f>
        <v>COMS6002</v>
      </c>
      <c r="B103" s="1">
        <f>TableMJRPPWRIT[[#This Row],[Ver]]</f>
        <v>3</v>
      </c>
      <c r="D103" t="str">
        <f>TableMJRPPWRIT[[#This Row],[Structure Line]]</f>
        <v>Masters Professional Experience</v>
      </c>
      <c r="E103" s="95">
        <f>TableMJRPPWRIT[[#This Row],[Credit Points]]</f>
        <v>50</v>
      </c>
      <c r="F103">
        <v>4</v>
      </c>
      <c r="G103" t="s">
        <v>708</v>
      </c>
      <c r="H103">
        <v>2</v>
      </c>
      <c r="I103" t="s">
        <v>703</v>
      </c>
      <c r="J103" t="s">
        <v>177</v>
      </c>
      <c r="K103">
        <v>3</v>
      </c>
      <c r="L103" t="s">
        <v>437</v>
      </c>
      <c r="M103">
        <v>50</v>
      </c>
      <c r="N103" s="147">
        <v>45292</v>
      </c>
      <c r="O103" s="147"/>
      <c r="Q103" t="s">
        <v>177</v>
      </c>
      <c r="R103">
        <v>3</v>
      </c>
    </row>
    <row r="104" spans="1:18" x14ac:dyDescent="0.3">
      <c r="A104" t="str">
        <f>TableMJRPPWRIT[[#This Row],[Study Package Code]]</f>
        <v>CWRI5015</v>
      </c>
      <c r="B104" s="1">
        <f>TableMJRPPWRIT[[#This Row],[Ver]]</f>
        <v>2</v>
      </c>
      <c r="D104" t="str">
        <f>TableMJRPPWRIT[[#This Row],[Structure Line]]</f>
        <v>Graduate Travel Writing</v>
      </c>
      <c r="E104" s="95">
        <f>TableMJRPPWRIT[[#This Row],[Credit Points]]</f>
        <v>25</v>
      </c>
      <c r="F104">
        <v>4</v>
      </c>
      <c r="G104" t="s">
        <v>708</v>
      </c>
      <c r="H104">
        <v>2</v>
      </c>
      <c r="I104" t="s">
        <v>703</v>
      </c>
      <c r="J104" t="s">
        <v>208</v>
      </c>
      <c r="K104">
        <v>2</v>
      </c>
      <c r="L104" t="s">
        <v>450</v>
      </c>
      <c r="M104">
        <v>25</v>
      </c>
      <c r="N104" s="147">
        <v>45658</v>
      </c>
      <c r="O104" s="147"/>
      <c r="Q104" t="s">
        <v>208</v>
      </c>
      <c r="R104">
        <v>1</v>
      </c>
    </row>
    <row r="105" spans="1:18" x14ac:dyDescent="0.3">
      <c r="A105" t="str">
        <f>TableMJRPPWRIT[[#This Row],[Study Package Code]]</f>
        <v>HUMN6001</v>
      </c>
      <c r="B105" s="1">
        <f>TableMJRPPWRIT[[#This Row],[Ver]]</f>
        <v>1</v>
      </c>
      <c r="D105" t="str">
        <f>TableMJRPPWRIT[[#This Row],[Structure Line]]</f>
        <v>Masters Research Project 1</v>
      </c>
      <c r="E105" s="95">
        <f>TableMJRPPWRIT[[#This Row],[Credit Points]]</f>
        <v>50</v>
      </c>
      <c r="F105">
        <v>4</v>
      </c>
      <c r="G105" t="s">
        <v>708</v>
      </c>
      <c r="H105">
        <v>2</v>
      </c>
      <c r="I105" t="s">
        <v>703</v>
      </c>
      <c r="J105" t="s">
        <v>181</v>
      </c>
      <c r="K105">
        <v>1</v>
      </c>
      <c r="L105" t="s">
        <v>711</v>
      </c>
      <c r="M105">
        <v>50</v>
      </c>
      <c r="N105" s="147">
        <v>45292</v>
      </c>
      <c r="O105" s="147"/>
      <c r="Q105" t="s">
        <v>181</v>
      </c>
      <c r="R105">
        <v>1</v>
      </c>
    </row>
    <row r="106" spans="1:18" x14ac:dyDescent="0.3">
      <c r="A106" t="str">
        <f>TableMJRPPWRIT[[#This Row],[Study Package Code]]</f>
        <v>INDS6001</v>
      </c>
      <c r="B106" s="1">
        <f>TableMJRPPWRIT[[#This Row],[Ver]]</f>
        <v>1</v>
      </c>
      <c r="D106" t="str">
        <f>TableMJRPPWRIT[[#This Row],[Structure Line]]</f>
        <v>Australian Indigenous Literature Creative Perspectives</v>
      </c>
      <c r="E106" s="95">
        <f>TableMJRPPWRIT[[#This Row],[Credit Points]]</f>
        <v>25</v>
      </c>
      <c r="F106">
        <v>4</v>
      </c>
      <c r="G106" t="s">
        <v>708</v>
      </c>
      <c r="H106">
        <v>2</v>
      </c>
      <c r="I106" t="s">
        <v>703</v>
      </c>
      <c r="J106" t="s">
        <v>199</v>
      </c>
      <c r="K106">
        <v>1</v>
      </c>
      <c r="L106" t="s">
        <v>483</v>
      </c>
      <c r="M106">
        <v>25</v>
      </c>
      <c r="N106" s="147">
        <v>44743</v>
      </c>
      <c r="O106" s="147"/>
      <c r="Q106" t="s">
        <v>199</v>
      </c>
      <c r="R106">
        <v>1</v>
      </c>
    </row>
    <row r="107" spans="1:18" x14ac:dyDescent="0.3">
      <c r="A107" t="str">
        <f>TableMJRPPWRIT[[#This Row],[Study Package Code]]</f>
        <v>ISYS5001</v>
      </c>
      <c r="B107" s="1">
        <f>TableMJRPPWRIT[[#This Row],[Ver]]</f>
        <v>1</v>
      </c>
      <c r="D107" t="str">
        <f>TableMJRPPWRIT[[#This Row],[Structure Line]]</f>
        <v>Business Project Management</v>
      </c>
      <c r="E107" s="95">
        <f>TableMJRPPWRIT[[#This Row],[Credit Points]]</f>
        <v>25</v>
      </c>
      <c r="F107">
        <v>4</v>
      </c>
      <c r="G107" t="s">
        <v>708</v>
      </c>
      <c r="H107">
        <v>2</v>
      </c>
      <c r="I107" t="s">
        <v>703</v>
      </c>
      <c r="J107" t="s">
        <v>205</v>
      </c>
      <c r="K107">
        <v>1</v>
      </c>
      <c r="L107" t="s">
        <v>500</v>
      </c>
      <c r="M107">
        <v>25</v>
      </c>
      <c r="N107" s="147">
        <v>42005</v>
      </c>
      <c r="O107" s="147"/>
      <c r="Q107" t="s">
        <v>205</v>
      </c>
      <c r="R107">
        <v>1</v>
      </c>
    </row>
    <row r="108" spans="1:18" x14ac:dyDescent="0.3">
      <c r="A108" t="str">
        <f>TableMJRPPWRIT[[#This Row],[Study Package Code]]</f>
        <v>NETS5004</v>
      </c>
      <c r="B108" s="1">
        <f>TableMJRPPWRIT[[#This Row],[Ver]]</f>
        <v>3</v>
      </c>
      <c r="D108" t="str">
        <f>TableMJRPPWRIT[[#This Row],[Structure Line]]</f>
        <v>Graduate Social Media, Communities and Networks</v>
      </c>
      <c r="E108" s="95">
        <f>TableMJRPPWRIT[[#This Row],[Credit Points]]</f>
        <v>25</v>
      </c>
      <c r="F108">
        <v>4</v>
      </c>
      <c r="G108" t="s">
        <v>708</v>
      </c>
      <c r="H108">
        <v>2</v>
      </c>
      <c r="I108" t="s">
        <v>703</v>
      </c>
      <c r="J108" t="s">
        <v>215</v>
      </c>
      <c r="K108">
        <v>3</v>
      </c>
      <c r="L108" t="s">
        <v>543</v>
      </c>
      <c r="M108">
        <v>25</v>
      </c>
      <c r="N108" s="147">
        <v>45658</v>
      </c>
      <c r="O108" s="147"/>
      <c r="Q108" t="s">
        <v>215</v>
      </c>
      <c r="R108">
        <v>2</v>
      </c>
    </row>
    <row r="109" spans="1:18" x14ac:dyDescent="0.3">
      <c r="A109" t="str">
        <f>TableMJRPPWRIT[[#This Row],[Study Package Code]]</f>
        <v>PWRP5000</v>
      </c>
      <c r="B109" s="1">
        <f>TableMJRPPWRIT[[#This Row],[Ver]]</f>
        <v>3</v>
      </c>
      <c r="D109" t="str">
        <f>TableMJRPPWRIT[[#This Row],[Structure Line]]</f>
        <v>Graduate Advanced Workplace Writing</v>
      </c>
      <c r="E109" s="95">
        <f>TableMJRPPWRIT[[#This Row],[Credit Points]]</f>
        <v>25</v>
      </c>
      <c r="F109">
        <v>4</v>
      </c>
      <c r="G109" t="s">
        <v>708</v>
      </c>
      <c r="H109">
        <v>2</v>
      </c>
      <c r="I109" t="s">
        <v>703</v>
      </c>
      <c r="J109" t="s">
        <v>239</v>
      </c>
      <c r="K109">
        <v>3</v>
      </c>
      <c r="L109" t="s">
        <v>603</v>
      </c>
      <c r="M109">
        <v>25</v>
      </c>
      <c r="N109" s="147">
        <v>45658</v>
      </c>
      <c r="O109" s="147"/>
      <c r="Q109" t="s">
        <v>239</v>
      </c>
      <c r="R109">
        <v>2</v>
      </c>
    </row>
    <row r="110" spans="1:18" x14ac:dyDescent="0.3">
      <c r="A110" t="str">
        <f>TableMJRPPWRIT[[#This Row],[Study Package Code]]</f>
        <v>PWRP5006</v>
      </c>
      <c r="B110" s="1">
        <f>TableMJRPPWRIT[[#This Row],[Ver]]</f>
        <v>3</v>
      </c>
      <c r="D110" t="str">
        <f>TableMJRPPWRIT[[#This Row],[Structure Line]]</f>
        <v>Graduate Publishing</v>
      </c>
      <c r="E110" s="95">
        <f>TableMJRPPWRIT[[#This Row],[Credit Points]]</f>
        <v>25</v>
      </c>
      <c r="F110">
        <v>4</v>
      </c>
      <c r="G110" t="s">
        <v>708</v>
      </c>
      <c r="H110">
        <v>2</v>
      </c>
      <c r="I110" t="s">
        <v>703</v>
      </c>
      <c r="J110" t="s">
        <v>187</v>
      </c>
      <c r="K110">
        <v>3</v>
      </c>
      <c r="L110" t="s">
        <v>610</v>
      </c>
      <c r="M110">
        <v>25</v>
      </c>
      <c r="N110" s="147">
        <v>45658</v>
      </c>
      <c r="O110" s="147"/>
      <c r="Q110" t="s">
        <v>187</v>
      </c>
      <c r="R110">
        <v>2</v>
      </c>
    </row>
    <row r="111" spans="1:18" x14ac:dyDescent="0.3">
      <c r="A111" t="str">
        <f>TableMJRPPWRIT[[#This Row],[Study Package Code]]</f>
        <v>PWRP5015</v>
      </c>
      <c r="B111" s="1">
        <f>TableMJRPPWRIT[[#This Row],[Ver]]</f>
        <v>3</v>
      </c>
      <c r="D111" t="str">
        <f>TableMJRPPWRIT[[#This Row],[Structure Line]]</f>
        <v>Graduate Advanced Narrative Nonfiction</v>
      </c>
      <c r="E111" s="95">
        <f>TableMJRPPWRIT[[#This Row],[Credit Points]]</f>
        <v>25</v>
      </c>
      <c r="F111">
        <v>4</v>
      </c>
      <c r="G111" t="s">
        <v>708</v>
      </c>
      <c r="H111">
        <v>2</v>
      </c>
      <c r="I111" t="s">
        <v>703</v>
      </c>
      <c r="J111" t="s">
        <v>230</v>
      </c>
      <c r="K111">
        <v>3</v>
      </c>
      <c r="L111" t="s">
        <v>614</v>
      </c>
      <c r="M111">
        <v>25</v>
      </c>
      <c r="N111" s="147">
        <v>45658</v>
      </c>
      <c r="O111" s="147"/>
      <c r="Q111" t="s">
        <v>230</v>
      </c>
      <c r="R111">
        <v>2</v>
      </c>
    </row>
    <row r="112" spans="1:18" x14ac:dyDescent="0.3">
      <c r="A112" t="str">
        <f>TableMJRPPWRIT[[#This Row],[Study Package Code]]</f>
        <v>PWRP5024</v>
      </c>
      <c r="B112" s="1">
        <f>TableMJRPPWRIT[[#This Row],[Ver]]</f>
        <v>2</v>
      </c>
      <c r="D112" t="str">
        <f>TableMJRPPWRIT[[#This Row],[Structure Line]]</f>
        <v>Graduate Publishing Studio</v>
      </c>
      <c r="E112" s="95">
        <f>TableMJRPPWRIT[[#This Row],[Credit Points]]</f>
        <v>25</v>
      </c>
      <c r="F112">
        <v>4</v>
      </c>
      <c r="G112" t="s">
        <v>708</v>
      </c>
      <c r="H112">
        <v>2</v>
      </c>
      <c r="I112" t="s">
        <v>703</v>
      </c>
      <c r="J112" t="s">
        <v>244</v>
      </c>
      <c r="K112">
        <v>2</v>
      </c>
      <c r="L112" t="s">
        <v>629</v>
      </c>
      <c r="M112">
        <v>25</v>
      </c>
      <c r="N112" s="147">
        <v>45658</v>
      </c>
      <c r="O112" s="147"/>
      <c r="Q112" t="s">
        <v>244</v>
      </c>
      <c r="R112">
        <v>1</v>
      </c>
    </row>
    <row r="113" spans="1:18" x14ac:dyDescent="0.3">
      <c r="A113" t="str">
        <f>TableMJRPPWRIT[[#This Row],[Study Package Code]]</f>
        <v>COMS6004</v>
      </c>
      <c r="B113" s="1">
        <f>TableMJRPPWRIT[[#This Row],[Ver]]</f>
        <v>2</v>
      </c>
      <c r="D113" t="str">
        <f>TableMJRPPWRIT[[#This Row],[Structure Line]]</f>
        <v>Masters Professional or Creative Project</v>
      </c>
      <c r="E113" s="95">
        <f>TableMJRPPWRIT[[#This Row],[Credit Points]]</f>
        <v>50</v>
      </c>
      <c r="F113">
        <v>5</v>
      </c>
      <c r="G113" t="s">
        <v>702</v>
      </c>
      <c r="H113">
        <v>2</v>
      </c>
      <c r="I113" t="s">
        <v>703</v>
      </c>
      <c r="J113" t="s">
        <v>155</v>
      </c>
      <c r="K113">
        <v>2</v>
      </c>
      <c r="L113" t="s">
        <v>439</v>
      </c>
      <c r="M113">
        <v>50</v>
      </c>
      <c r="N113" s="147">
        <v>45292</v>
      </c>
      <c r="O113" s="147"/>
      <c r="Q113" t="s">
        <v>155</v>
      </c>
      <c r="R113">
        <v>2</v>
      </c>
    </row>
    <row r="114" spans="1:18" x14ac:dyDescent="0.3">
      <c r="A114" t="str">
        <f>TableMJRPPWRIT[[#This Row],[Study Package Code]]</f>
        <v>HUMN6003</v>
      </c>
      <c r="B114" s="1">
        <f>TableMJRPPWRIT[[#This Row],[Ver]]</f>
        <v>1</v>
      </c>
      <c r="D114" t="str">
        <f>TableMJRPPWRIT[[#This Row],[Structure Line]]</f>
        <v>Masters Research Project 2</v>
      </c>
      <c r="E114" s="95">
        <f>TableMJRPPWRIT[[#This Row],[Credit Points]]</f>
        <v>50</v>
      </c>
      <c r="F114">
        <v>5</v>
      </c>
      <c r="G114" t="s">
        <v>702</v>
      </c>
      <c r="H114">
        <v>2</v>
      </c>
      <c r="I114" t="s">
        <v>703</v>
      </c>
      <c r="J114" t="s">
        <v>161</v>
      </c>
      <c r="K114">
        <v>1</v>
      </c>
      <c r="L114" t="s">
        <v>710</v>
      </c>
      <c r="M114">
        <v>50</v>
      </c>
      <c r="N114" s="147">
        <v>45292</v>
      </c>
      <c r="O114" s="147"/>
      <c r="Q114" t="s">
        <v>161</v>
      </c>
      <c r="R114">
        <v>1</v>
      </c>
    </row>
    <row r="115" spans="1:18" x14ac:dyDescent="0.3">
      <c r="B115"/>
      <c r="E115"/>
      <c r="F115" s="93"/>
      <c r="G115" s="94" t="s">
        <v>689</v>
      </c>
      <c r="H115" s="228">
        <v>45658</v>
      </c>
      <c r="I115" s="146"/>
      <c r="J115" s="230" t="s">
        <v>149</v>
      </c>
      <c r="K115" s="229" t="s">
        <v>59</v>
      </c>
      <c r="L115" s="146" t="s">
        <v>179</v>
      </c>
      <c r="M115" s="146"/>
      <c r="N115" s="180" t="s">
        <v>690</v>
      </c>
      <c r="O115" s="147">
        <v>45580</v>
      </c>
    </row>
    <row r="116" spans="1:18" x14ac:dyDescent="0.3">
      <c r="A116" t="s">
        <v>0</v>
      </c>
      <c r="B116" s="1" t="s">
        <v>691</v>
      </c>
      <c r="C116" t="s">
        <v>692</v>
      </c>
      <c r="D116" t="s">
        <v>3</v>
      </c>
      <c r="E116" s="95" t="s">
        <v>693</v>
      </c>
      <c r="F116" t="s">
        <v>694</v>
      </c>
      <c r="G116" t="s">
        <v>695</v>
      </c>
      <c r="H116" t="s">
        <v>696</v>
      </c>
      <c r="I116" t="s">
        <v>22</v>
      </c>
      <c r="J116" t="s">
        <v>697</v>
      </c>
      <c r="K116" t="s">
        <v>1</v>
      </c>
      <c r="L116" t="s">
        <v>698</v>
      </c>
      <c r="M116" t="s">
        <v>53</v>
      </c>
      <c r="N116" t="s">
        <v>699</v>
      </c>
      <c r="O116" t="s">
        <v>700</v>
      </c>
      <c r="Q116" t="s">
        <v>701</v>
      </c>
      <c r="R116" t="s">
        <v>1</v>
      </c>
    </row>
    <row r="117" spans="1:18" x14ac:dyDescent="0.3">
      <c r="A117" t="str">
        <f>TableMJRPSCRAR[[#This Row],[Study Package Code]]</f>
        <v>SCWR5000</v>
      </c>
      <c r="B117" s="1">
        <f>TableMJRPSCRAR[[#This Row],[Ver]]</f>
        <v>3</v>
      </c>
      <c r="D117" t="str">
        <f>TableMJRPSCRAR[[#This Row],[Structure Line]]</f>
        <v>Graduate Introduction to Screenwriting</v>
      </c>
      <c r="E117" s="95">
        <f>TableMJRPSCRAR[[#This Row],[Credit Points]]</f>
        <v>25</v>
      </c>
      <c r="F117">
        <v>1</v>
      </c>
      <c r="G117" t="s">
        <v>706</v>
      </c>
      <c r="H117">
        <v>1</v>
      </c>
      <c r="I117" t="s">
        <v>703</v>
      </c>
      <c r="J117" t="s">
        <v>67</v>
      </c>
      <c r="K117">
        <v>3</v>
      </c>
      <c r="L117" t="s">
        <v>635</v>
      </c>
      <c r="M117">
        <v>25</v>
      </c>
      <c r="N117" s="147">
        <v>45658</v>
      </c>
      <c r="O117" s="147"/>
      <c r="Q117" t="s">
        <v>67</v>
      </c>
      <c r="R117">
        <v>2</v>
      </c>
    </row>
    <row r="118" spans="1:18" x14ac:dyDescent="0.3">
      <c r="A118" t="str">
        <f>TableMJRPSCRAR[[#This Row],[Study Package Code]]</f>
        <v>COMS5003</v>
      </c>
      <c r="B118" s="1">
        <f>TableMJRPSCRAR[[#This Row],[Ver]]</f>
        <v>2</v>
      </c>
      <c r="D118" t="str">
        <f>TableMJRPSCRAR[[#This Row],[Structure Line]]</f>
        <v>Approaches to Arts Research</v>
      </c>
      <c r="E118" s="95">
        <f>TableMJRPSCRAR[[#This Row],[Credit Points]]</f>
        <v>25</v>
      </c>
      <c r="F118">
        <v>2</v>
      </c>
      <c r="G118" t="s">
        <v>706</v>
      </c>
      <c r="H118">
        <v>1</v>
      </c>
      <c r="I118" t="s">
        <v>703</v>
      </c>
      <c r="J118" t="s">
        <v>56</v>
      </c>
      <c r="K118">
        <v>2</v>
      </c>
      <c r="L118" t="s">
        <v>432</v>
      </c>
      <c r="M118">
        <v>25</v>
      </c>
      <c r="N118" s="147">
        <v>45658</v>
      </c>
      <c r="O118" s="147"/>
      <c r="Q118" t="s">
        <v>56</v>
      </c>
      <c r="R118">
        <v>1</v>
      </c>
    </row>
    <row r="119" spans="1:18" x14ac:dyDescent="0.3">
      <c r="A119" t="str">
        <f>TableMJRPSCRAR[[#This Row],[Study Package Code]]</f>
        <v>SPRO5005</v>
      </c>
      <c r="B119" s="1">
        <f>TableMJRPSCRAR[[#This Row],[Ver]]</f>
        <v>3</v>
      </c>
      <c r="D119" t="str">
        <f>TableMJRPSCRAR[[#This Row],[Structure Line]]</f>
        <v>Graduate Introduction to Screen Practice</v>
      </c>
      <c r="E119" s="95">
        <f>TableMJRPSCRAR[[#This Row],[Credit Points]]</f>
        <v>25</v>
      </c>
      <c r="F119">
        <v>3</v>
      </c>
      <c r="G119" t="s">
        <v>706</v>
      </c>
      <c r="H119">
        <v>1</v>
      </c>
      <c r="I119" t="s">
        <v>703</v>
      </c>
      <c r="J119" t="s">
        <v>75</v>
      </c>
      <c r="K119">
        <v>3</v>
      </c>
      <c r="L119" t="s">
        <v>647</v>
      </c>
      <c r="M119">
        <v>25</v>
      </c>
      <c r="N119" s="147">
        <v>45658</v>
      </c>
      <c r="O119" s="147"/>
      <c r="Q119" t="s">
        <v>75</v>
      </c>
      <c r="R119">
        <v>2</v>
      </c>
    </row>
    <row r="120" spans="1:18" x14ac:dyDescent="0.3">
      <c r="A120" t="str">
        <f>TableMJRPSCRAR[[#This Row],[Study Package Code]]</f>
        <v>SCST5008</v>
      </c>
      <c r="B120" s="1">
        <f>TableMJRPSCRAR[[#This Row],[Ver]]</f>
        <v>3</v>
      </c>
      <c r="D120" t="str">
        <f>TableMJRPSCRAR[[#This Row],[Structure Line]]</f>
        <v>Graduate Introduction to Screen Creativity</v>
      </c>
      <c r="E120" s="95">
        <f>TableMJRPSCRAR[[#This Row],[Credit Points]]</f>
        <v>25</v>
      </c>
      <c r="F120">
        <v>4</v>
      </c>
      <c r="G120" t="s">
        <v>706</v>
      </c>
      <c r="H120">
        <v>1</v>
      </c>
      <c r="I120" t="s">
        <v>703</v>
      </c>
      <c r="J120" t="s">
        <v>80</v>
      </c>
      <c r="K120">
        <v>3</v>
      </c>
      <c r="L120" t="s">
        <v>632</v>
      </c>
      <c r="M120">
        <v>25</v>
      </c>
      <c r="N120" s="147">
        <v>45658</v>
      </c>
      <c r="O120" s="147"/>
      <c r="Q120" t="s">
        <v>80</v>
      </c>
      <c r="R120">
        <v>2</v>
      </c>
    </row>
    <row r="121" spans="1:18" x14ac:dyDescent="0.3">
      <c r="A121" t="str">
        <f>TableMJRPSCRAR[[#This Row],[Study Package Code]]</f>
        <v>SPRO5000</v>
      </c>
      <c r="B121" s="1">
        <f>TableMJRPSCRAR[[#This Row],[Ver]]</f>
        <v>4</v>
      </c>
      <c r="D121" t="str">
        <f>TableMJRPSCRAR[[#This Row],[Structure Line]]</f>
        <v>Graduate Creative Documentary and Actualities</v>
      </c>
      <c r="E121" s="95">
        <f>TableMJRPSCRAR[[#This Row],[Credit Points]]</f>
        <v>25</v>
      </c>
      <c r="F121">
        <v>5</v>
      </c>
      <c r="G121" t="s">
        <v>706</v>
      </c>
      <c r="H121">
        <v>1</v>
      </c>
      <c r="I121" t="s">
        <v>703</v>
      </c>
      <c r="J121" t="s">
        <v>68</v>
      </c>
      <c r="K121">
        <v>4</v>
      </c>
      <c r="L121" t="s">
        <v>638</v>
      </c>
      <c r="M121">
        <v>25</v>
      </c>
      <c r="N121" s="147">
        <v>45658</v>
      </c>
      <c r="O121" s="147"/>
      <c r="Q121" t="s">
        <v>68</v>
      </c>
      <c r="R121">
        <v>3</v>
      </c>
    </row>
    <row r="122" spans="1:18" x14ac:dyDescent="0.3">
      <c r="A122" t="str">
        <f>TableMJRPSCRAR[[#This Row],[Study Package Code]]</f>
        <v>SPRO5006</v>
      </c>
      <c r="B122" s="1">
        <f>TableMJRPSCRAR[[#This Row],[Ver]]</f>
        <v>4</v>
      </c>
      <c r="D122" t="str">
        <f>TableMJRPSCRAR[[#This Row],[Structure Line]]</f>
        <v>Graduate Studio Production</v>
      </c>
      <c r="E122" s="95">
        <f>TableMJRPSCRAR[[#This Row],[Credit Points]]</f>
        <v>25</v>
      </c>
      <c r="F122">
        <v>6</v>
      </c>
      <c r="G122" t="s">
        <v>706</v>
      </c>
      <c r="H122">
        <v>1</v>
      </c>
      <c r="I122" t="s">
        <v>703</v>
      </c>
      <c r="J122" t="s">
        <v>91</v>
      </c>
      <c r="K122">
        <v>4</v>
      </c>
      <c r="L122" t="s">
        <v>650</v>
      </c>
      <c r="M122">
        <v>25</v>
      </c>
      <c r="N122" s="147">
        <v>45658</v>
      </c>
      <c r="O122" s="147"/>
      <c r="Q122" t="s">
        <v>91</v>
      </c>
      <c r="R122">
        <v>3</v>
      </c>
    </row>
    <row r="123" spans="1:18" x14ac:dyDescent="0.3">
      <c r="A123" t="str">
        <f>TableMJRPSCRAR[[#This Row],[Study Package Code]]</f>
        <v>COMS6005</v>
      </c>
      <c r="B123" s="1">
        <f>TableMJRPSCRAR[[#This Row],[Ver]]</f>
        <v>1</v>
      </c>
      <c r="D123" t="str">
        <f>TableMJRPSCRAR[[#This Row],[Structure Line]]</f>
        <v>Planning an Arts Research Project</v>
      </c>
      <c r="E123" s="95">
        <f>TableMJRPSCRAR[[#This Row],[Credit Points]]</f>
        <v>25</v>
      </c>
      <c r="F123">
        <v>7</v>
      </c>
      <c r="G123" t="s">
        <v>706</v>
      </c>
      <c r="H123">
        <v>1</v>
      </c>
      <c r="I123" t="s">
        <v>703</v>
      </c>
      <c r="J123" t="s">
        <v>84</v>
      </c>
      <c r="K123">
        <v>1</v>
      </c>
      <c r="L123" t="s">
        <v>440</v>
      </c>
      <c r="M123">
        <v>25</v>
      </c>
      <c r="N123" s="147">
        <v>43466</v>
      </c>
      <c r="O123" s="147"/>
      <c r="Q123" t="s">
        <v>84</v>
      </c>
      <c r="R123">
        <v>1</v>
      </c>
    </row>
    <row r="124" spans="1:18" x14ac:dyDescent="0.3">
      <c r="A124" t="str">
        <f>TableMJRPSCRAR[[#This Row],[Study Package Code]]</f>
        <v>AC-SCRAR1</v>
      </c>
      <c r="B124" s="1">
        <f>TableMJRPSCRAR[[#This Row],[Ver]]</f>
        <v>0</v>
      </c>
      <c r="D124" t="str">
        <f>TableMJRPSCRAR[[#This Row],[Structure Line]]</f>
        <v>Choose CWRI6000 or NETS5010</v>
      </c>
      <c r="E124" s="95">
        <f>TableMJRPSCRAR[[#This Row],[Credit Points]]</f>
        <v>25</v>
      </c>
      <c r="F124">
        <v>8</v>
      </c>
      <c r="G124" t="s">
        <v>702</v>
      </c>
      <c r="H124">
        <v>1</v>
      </c>
      <c r="I124" t="s">
        <v>703</v>
      </c>
      <c r="J124" t="s">
        <v>94</v>
      </c>
      <c r="K124">
        <v>0</v>
      </c>
      <c r="L124" t="s">
        <v>718</v>
      </c>
      <c r="M124">
        <v>25</v>
      </c>
      <c r="N124" s="147"/>
      <c r="O124" s="147"/>
      <c r="Q124" t="s">
        <v>94</v>
      </c>
      <c r="R124">
        <v>0</v>
      </c>
    </row>
    <row r="125" spans="1:18" x14ac:dyDescent="0.3">
      <c r="A125" t="str">
        <f>TableMJRPSCRAR[[#This Row],[Study Package Code]]</f>
        <v>SPRO5008</v>
      </c>
      <c r="B125" s="1">
        <f>TableMJRPSCRAR[[#This Row],[Ver]]</f>
        <v>2</v>
      </c>
      <c r="D125" t="str">
        <f>TableMJRPSCRAR[[#This Row],[Structure Line]]</f>
        <v>Graduate Advanced Studio Production</v>
      </c>
      <c r="E125" s="95">
        <f>TableMJRPSCRAR[[#This Row],[Credit Points]]</f>
        <v>25</v>
      </c>
      <c r="F125">
        <v>9</v>
      </c>
      <c r="G125" t="s">
        <v>706</v>
      </c>
      <c r="H125">
        <v>2</v>
      </c>
      <c r="I125" t="s">
        <v>719</v>
      </c>
      <c r="J125" t="s">
        <v>101</v>
      </c>
      <c r="K125">
        <v>2</v>
      </c>
      <c r="L125" t="s">
        <v>653</v>
      </c>
      <c r="M125">
        <v>25</v>
      </c>
      <c r="N125" s="147">
        <v>45658</v>
      </c>
      <c r="O125" s="147"/>
      <c r="Q125" t="s">
        <v>101</v>
      </c>
      <c r="R125">
        <v>1</v>
      </c>
    </row>
    <row r="126" spans="1:18" x14ac:dyDescent="0.3">
      <c r="A126" t="str">
        <f>TableMJRPSCRAR[[#This Row],[Study Package Code]]</f>
        <v>AC-SCRAR2</v>
      </c>
      <c r="B126" s="1">
        <f>TableMJRPSCRAR[[#This Row],[Ver]]</f>
        <v>0</v>
      </c>
      <c r="D126" t="str">
        <f>TableMJRPSCRAR[[#This Row],[Structure Line]]</f>
        <v>Choose HUMN6003 or COMS6004</v>
      </c>
      <c r="E126" s="95">
        <f>TableMJRPSCRAR[[#This Row],[Credit Points]]</f>
        <v>50</v>
      </c>
      <c r="F126">
        <v>10</v>
      </c>
      <c r="G126" t="s">
        <v>702</v>
      </c>
      <c r="H126">
        <v>2</v>
      </c>
      <c r="I126" t="s">
        <v>703</v>
      </c>
      <c r="J126" t="s">
        <v>122</v>
      </c>
      <c r="K126">
        <v>0</v>
      </c>
      <c r="L126" t="s">
        <v>716</v>
      </c>
      <c r="M126">
        <v>50</v>
      </c>
      <c r="N126" s="147"/>
      <c r="O126" s="147"/>
      <c r="Q126" t="s">
        <v>122</v>
      </c>
      <c r="R126">
        <v>0</v>
      </c>
    </row>
    <row r="127" spans="1:18" x14ac:dyDescent="0.3">
      <c r="A127" t="str">
        <f>TableMJRPSCRAR[[#This Row],[Study Package Code]]</f>
        <v>Opt-SCRAR</v>
      </c>
      <c r="B127" s="1">
        <f>TableMJRPSCRAR[[#This Row],[Ver]]</f>
        <v>0</v>
      </c>
      <c r="D127" t="str">
        <f>TableMJRPSCRAR[[#This Row],[Structure Line]]</f>
        <v>Choose Options</v>
      </c>
      <c r="E127" s="95">
        <f>TableMJRPSCRAR[[#This Row],[Credit Points]]</f>
        <v>125</v>
      </c>
      <c r="F127">
        <v>11</v>
      </c>
      <c r="G127" t="s">
        <v>708</v>
      </c>
      <c r="H127">
        <v>2</v>
      </c>
      <c r="I127" t="s">
        <v>703</v>
      </c>
      <c r="J127" t="s">
        <v>102</v>
      </c>
      <c r="K127">
        <v>0</v>
      </c>
      <c r="L127" t="s">
        <v>709</v>
      </c>
      <c r="M127">
        <v>125</v>
      </c>
      <c r="N127" s="147"/>
      <c r="O127" s="147"/>
      <c r="Q127" t="s">
        <v>102</v>
      </c>
      <c r="R127">
        <v>0</v>
      </c>
    </row>
    <row r="128" spans="1:18" x14ac:dyDescent="0.3">
      <c r="A128" t="str">
        <f>TableMJRPSCRAR[[#This Row],[Study Package Code]]</f>
        <v>CWRI6000</v>
      </c>
      <c r="B128" s="1">
        <f>TableMJRPSCRAR[[#This Row],[Ver]]</f>
        <v>3</v>
      </c>
      <c r="D128" t="str">
        <f>TableMJRPSCRAR[[#This Row],[Structure Line]]</f>
        <v>Graduate Engaging Narrative</v>
      </c>
      <c r="E128" s="95">
        <f>TableMJRPSCRAR[[#This Row],[Credit Points]]</f>
        <v>25</v>
      </c>
      <c r="F128">
        <v>8</v>
      </c>
      <c r="G128" t="s">
        <v>702</v>
      </c>
      <c r="H128">
        <v>1</v>
      </c>
      <c r="I128" t="s">
        <v>703</v>
      </c>
      <c r="J128" t="s">
        <v>158</v>
      </c>
      <c r="K128">
        <v>3</v>
      </c>
      <c r="L128" t="s">
        <v>462</v>
      </c>
      <c r="M128">
        <v>25</v>
      </c>
      <c r="N128" s="147">
        <v>45658</v>
      </c>
      <c r="O128" s="147"/>
      <c r="Q128" t="s">
        <v>158</v>
      </c>
      <c r="R128">
        <v>2</v>
      </c>
    </row>
    <row r="129" spans="1:18" x14ac:dyDescent="0.3">
      <c r="A129" t="str">
        <f>TableMJRPSCRAR[[#This Row],[Study Package Code]]</f>
        <v>NETS5010</v>
      </c>
      <c r="B129" s="1">
        <f>TableMJRPSCRAR[[#This Row],[Ver]]</f>
        <v>2</v>
      </c>
      <c r="D129" t="str">
        <f>TableMJRPSCRAR[[#This Row],[Structure Line]]</f>
        <v>Graduate Web Media</v>
      </c>
      <c r="E129" s="95">
        <f>TableMJRPSCRAR[[#This Row],[Credit Points]]</f>
        <v>25</v>
      </c>
      <c r="F129">
        <v>8</v>
      </c>
      <c r="G129" t="s">
        <v>702</v>
      </c>
      <c r="H129">
        <v>1</v>
      </c>
      <c r="I129" t="s">
        <v>703</v>
      </c>
      <c r="J129" t="s">
        <v>164</v>
      </c>
      <c r="K129">
        <v>2</v>
      </c>
      <c r="L129" t="s">
        <v>559</v>
      </c>
      <c r="M129">
        <v>25</v>
      </c>
      <c r="N129" s="147">
        <v>45658</v>
      </c>
      <c r="O129" s="147"/>
      <c r="Q129" t="s">
        <v>164</v>
      </c>
      <c r="R129">
        <v>1</v>
      </c>
    </row>
    <row r="130" spans="1:18" x14ac:dyDescent="0.3">
      <c r="A130" t="str">
        <f>TableMJRPSCRAR[[#This Row],[Study Package Code]]</f>
        <v>COMS6004</v>
      </c>
      <c r="B130" s="1">
        <f>TableMJRPSCRAR[[#This Row],[Ver]]</f>
        <v>2</v>
      </c>
      <c r="D130" t="str">
        <f>TableMJRPSCRAR[[#This Row],[Structure Line]]</f>
        <v>Masters Professional or Creative Project</v>
      </c>
      <c r="E130" s="95">
        <f>TableMJRPSCRAR[[#This Row],[Credit Points]]</f>
        <v>50</v>
      </c>
      <c r="F130">
        <v>10</v>
      </c>
      <c r="G130" t="s">
        <v>702</v>
      </c>
      <c r="H130">
        <v>2</v>
      </c>
      <c r="I130" t="s">
        <v>703</v>
      </c>
      <c r="J130" t="s">
        <v>155</v>
      </c>
      <c r="K130">
        <v>2</v>
      </c>
      <c r="L130" t="s">
        <v>439</v>
      </c>
      <c r="M130">
        <v>50</v>
      </c>
      <c r="N130" s="147">
        <v>45292</v>
      </c>
      <c r="O130" s="147"/>
      <c r="Q130" t="s">
        <v>155</v>
      </c>
      <c r="R130">
        <v>2</v>
      </c>
    </row>
    <row r="131" spans="1:18" x14ac:dyDescent="0.3">
      <c r="A131" t="str">
        <f>TableMJRPSCRAR[[#This Row],[Study Package Code]]</f>
        <v>HUMN6003</v>
      </c>
      <c r="B131" s="1">
        <f>TableMJRPSCRAR[[#This Row],[Ver]]</f>
        <v>1</v>
      </c>
      <c r="D131" t="str">
        <f>TableMJRPSCRAR[[#This Row],[Structure Line]]</f>
        <v>Masters Research Project 2</v>
      </c>
      <c r="E131" s="95">
        <f>TableMJRPSCRAR[[#This Row],[Credit Points]]</f>
        <v>50</v>
      </c>
      <c r="F131">
        <v>10</v>
      </c>
      <c r="G131" t="s">
        <v>702</v>
      </c>
      <c r="H131">
        <v>2</v>
      </c>
      <c r="I131" t="s">
        <v>703</v>
      </c>
      <c r="J131" t="s">
        <v>161</v>
      </c>
      <c r="K131">
        <v>1</v>
      </c>
      <c r="L131" t="s">
        <v>710</v>
      </c>
      <c r="M131">
        <v>50</v>
      </c>
      <c r="N131" s="147">
        <v>45292</v>
      </c>
      <c r="O131" s="147"/>
      <c r="Q131" t="s">
        <v>161</v>
      </c>
      <c r="R131">
        <v>1</v>
      </c>
    </row>
    <row r="132" spans="1:18" x14ac:dyDescent="0.3">
      <c r="A132" t="str">
        <f>TableMJRPSCRAR[[#This Row],[Study Package Code]]</f>
        <v>COMS6002</v>
      </c>
      <c r="B132" s="1">
        <f>TableMJRPSCRAR[[#This Row],[Ver]]</f>
        <v>3</v>
      </c>
      <c r="D132" t="str">
        <f>TableMJRPSCRAR[[#This Row],[Structure Line]]</f>
        <v>Masters Professional Experience</v>
      </c>
      <c r="E132" s="95">
        <f>TableMJRPSCRAR[[#This Row],[Credit Points]]</f>
        <v>50</v>
      </c>
      <c r="F132">
        <v>11</v>
      </c>
      <c r="G132" t="s">
        <v>708</v>
      </c>
      <c r="H132">
        <v>2</v>
      </c>
      <c r="I132" t="s">
        <v>703</v>
      </c>
      <c r="J132" t="s">
        <v>177</v>
      </c>
      <c r="K132">
        <v>3</v>
      </c>
      <c r="L132" t="s">
        <v>437</v>
      </c>
      <c r="M132">
        <v>50</v>
      </c>
      <c r="N132" s="147">
        <v>45292</v>
      </c>
      <c r="O132" s="147"/>
      <c r="Q132" t="s">
        <v>177</v>
      </c>
      <c r="R132">
        <v>3</v>
      </c>
    </row>
    <row r="133" spans="1:18" x14ac:dyDescent="0.3">
      <c r="A133" t="str">
        <f>TableMJRPSCRAR[[#This Row],[Study Package Code]]</f>
        <v>CWRI6000</v>
      </c>
      <c r="B133" s="1">
        <f>TableMJRPSCRAR[[#This Row],[Ver]]</f>
        <v>3</v>
      </c>
      <c r="D133" t="str">
        <f>TableMJRPSCRAR[[#This Row],[Structure Line]]</f>
        <v>Graduate Engaging Narrative</v>
      </c>
      <c r="E133" s="95">
        <f>TableMJRPSCRAR[[#This Row],[Credit Points]]</f>
        <v>25</v>
      </c>
      <c r="F133">
        <v>11</v>
      </c>
      <c r="G133" t="s">
        <v>708</v>
      </c>
      <c r="H133">
        <v>2</v>
      </c>
      <c r="I133" t="s">
        <v>703</v>
      </c>
      <c r="J133" t="s">
        <v>158</v>
      </c>
      <c r="K133">
        <v>3</v>
      </c>
      <c r="L133" t="s">
        <v>462</v>
      </c>
      <c r="M133">
        <v>25</v>
      </c>
      <c r="N133" s="147">
        <v>45658</v>
      </c>
      <c r="O133" s="147"/>
      <c r="Q133" t="s">
        <v>158</v>
      </c>
      <c r="R133">
        <v>2</v>
      </c>
    </row>
    <row r="134" spans="1:18" x14ac:dyDescent="0.3">
      <c r="A134" t="str">
        <f>TableMJRPSCRAR[[#This Row],[Study Package Code]]</f>
        <v>HUMN6001</v>
      </c>
      <c r="B134" s="1">
        <f>TableMJRPSCRAR[[#This Row],[Ver]]</f>
        <v>1</v>
      </c>
      <c r="D134" t="str">
        <f>TableMJRPSCRAR[[#This Row],[Structure Line]]</f>
        <v>Masters Research Project 1</v>
      </c>
      <c r="E134" s="95">
        <f>TableMJRPSCRAR[[#This Row],[Credit Points]]</f>
        <v>50</v>
      </c>
      <c r="F134">
        <v>11</v>
      </c>
      <c r="G134" t="s">
        <v>708</v>
      </c>
      <c r="H134">
        <v>2</v>
      </c>
      <c r="I134" t="s">
        <v>703</v>
      </c>
      <c r="J134" t="s">
        <v>181</v>
      </c>
      <c r="K134">
        <v>1</v>
      </c>
      <c r="L134" t="s">
        <v>711</v>
      </c>
      <c r="M134">
        <v>50</v>
      </c>
      <c r="N134" s="147">
        <v>45292</v>
      </c>
      <c r="O134" s="147"/>
      <c r="Q134" t="s">
        <v>181</v>
      </c>
      <c r="R134">
        <v>1</v>
      </c>
    </row>
    <row r="135" spans="1:18" x14ac:dyDescent="0.3">
      <c r="A135" t="str">
        <f>TableMJRPSCRAR[[#This Row],[Study Package Code]]</f>
        <v>INDS6001</v>
      </c>
      <c r="B135" s="1">
        <f>TableMJRPSCRAR[[#This Row],[Ver]]</f>
        <v>1</v>
      </c>
      <c r="D135" t="str">
        <f>TableMJRPSCRAR[[#This Row],[Structure Line]]</f>
        <v>Australian Indigenous Literature Creative Perspectives</v>
      </c>
      <c r="E135" s="95">
        <f>TableMJRPSCRAR[[#This Row],[Credit Points]]</f>
        <v>25</v>
      </c>
      <c r="F135">
        <v>11</v>
      </c>
      <c r="G135" t="s">
        <v>708</v>
      </c>
      <c r="H135">
        <v>2</v>
      </c>
      <c r="I135" t="s">
        <v>703</v>
      </c>
      <c r="J135" t="s">
        <v>199</v>
      </c>
      <c r="K135">
        <v>1</v>
      </c>
      <c r="L135" t="s">
        <v>483</v>
      </c>
      <c r="M135">
        <v>25</v>
      </c>
      <c r="N135" s="147">
        <v>44743</v>
      </c>
      <c r="O135" s="147"/>
      <c r="Q135" t="s">
        <v>199</v>
      </c>
      <c r="R135">
        <v>1</v>
      </c>
    </row>
    <row r="136" spans="1:18" x14ac:dyDescent="0.3">
      <c r="A136" t="str">
        <f>TableMJRPSCRAR[[#This Row],[Study Package Code]]</f>
        <v>ISYS5001</v>
      </c>
      <c r="B136" s="1">
        <f>TableMJRPSCRAR[[#This Row],[Ver]]</f>
        <v>1</v>
      </c>
      <c r="D136" t="str">
        <f>TableMJRPSCRAR[[#This Row],[Structure Line]]</f>
        <v>Business Project Management</v>
      </c>
      <c r="E136" s="95">
        <f>TableMJRPSCRAR[[#This Row],[Credit Points]]</f>
        <v>25</v>
      </c>
      <c r="F136">
        <v>11</v>
      </c>
      <c r="G136" t="s">
        <v>708</v>
      </c>
      <c r="H136">
        <v>2</v>
      </c>
      <c r="I136" t="s">
        <v>703</v>
      </c>
      <c r="J136" t="s">
        <v>205</v>
      </c>
      <c r="K136">
        <v>1</v>
      </c>
      <c r="L136" t="s">
        <v>500</v>
      </c>
      <c r="M136">
        <v>25</v>
      </c>
      <c r="N136" s="147">
        <v>42005</v>
      </c>
      <c r="O136" s="147"/>
      <c r="Q136" t="s">
        <v>205</v>
      </c>
      <c r="R136">
        <v>1</v>
      </c>
    </row>
    <row r="137" spans="1:18" x14ac:dyDescent="0.3">
      <c r="A137" t="str">
        <f>TableMJRPSCRAR[[#This Row],[Study Package Code]]</f>
        <v>JOUR5005</v>
      </c>
      <c r="B137" s="1">
        <f>TableMJRPSCRAR[[#This Row],[Ver]]</f>
        <v>4</v>
      </c>
      <c r="D137" t="str">
        <f>TableMJRPSCRAR[[#This Row],[Structure Line]]</f>
        <v>Graduate Video News</v>
      </c>
      <c r="E137" s="95">
        <f>TableMJRPSCRAR[[#This Row],[Credit Points]]</f>
        <v>25</v>
      </c>
      <c r="F137">
        <v>11</v>
      </c>
      <c r="G137" t="s">
        <v>708</v>
      </c>
      <c r="H137">
        <v>2</v>
      </c>
      <c r="I137" t="s">
        <v>703</v>
      </c>
      <c r="J137" t="s">
        <v>210</v>
      </c>
      <c r="K137">
        <v>4</v>
      </c>
      <c r="L137" t="s">
        <v>513</v>
      </c>
      <c r="M137">
        <v>25</v>
      </c>
      <c r="N137" s="147">
        <v>45658</v>
      </c>
      <c r="O137" s="147"/>
    </row>
    <row r="138" spans="1:18" x14ac:dyDescent="0.3">
      <c r="A138" t="str">
        <f>TableMJRPSCRAR[[#This Row],[Study Package Code]]</f>
        <v>NETS5001</v>
      </c>
      <c r="B138" s="1">
        <f>TableMJRPSCRAR[[#This Row],[Ver]]</f>
        <v>3</v>
      </c>
      <c r="D138" t="str">
        <f>TableMJRPSCRAR[[#This Row],[Structure Line]]</f>
        <v>Graduate Digital Culture and Everyday Life</v>
      </c>
      <c r="E138" s="95">
        <f>TableMJRPSCRAR[[#This Row],[Credit Points]]</f>
        <v>25</v>
      </c>
      <c r="F138">
        <v>11</v>
      </c>
      <c r="G138" t="s">
        <v>708</v>
      </c>
      <c r="H138">
        <v>2</v>
      </c>
      <c r="I138" t="s">
        <v>703</v>
      </c>
      <c r="J138" t="s">
        <v>162</v>
      </c>
      <c r="K138">
        <v>3</v>
      </c>
      <c r="L138" t="s">
        <v>537</v>
      </c>
      <c r="M138">
        <v>25</v>
      </c>
      <c r="N138" s="147">
        <v>45658</v>
      </c>
      <c r="O138" s="147"/>
      <c r="Q138" t="s">
        <v>164</v>
      </c>
      <c r="R138">
        <v>1</v>
      </c>
    </row>
    <row r="139" spans="1:18" x14ac:dyDescent="0.3">
      <c r="A139" t="str">
        <f>TableMJRPSCRAR[[#This Row],[Study Package Code]]</f>
        <v>NETS5005</v>
      </c>
      <c r="B139" s="1">
        <f>TableMJRPSCRAR[[#This Row],[Ver]]</f>
        <v>3</v>
      </c>
      <c r="D139" t="str">
        <f>TableMJRPSCRAR[[#This Row],[Structure Line]]</f>
        <v>Graduate Writing on the Web</v>
      </c>
      <c r="E139" s="95">
        <f>TableMJRPSCRAR[[#This Row],[Credit Points]]</f>
        <v>25</v>
      </c>
      <c r="F139">
        <v>11</v>
      </c>
      <c r="G139" t="s">
        <v>708</v>
      </c>
      <c r="H139">
        <v>2</v>
      </c>
      <c r="I139" t="s">
        <v>703</v>
      </c>
      <c r="J139" t="s">
        <v>182</v>
      </c>
      <c r="K139">
        <v>3</v>
      </c>
      <c r="L139" t="s">
        <v>546</v>
      </c>
      <c r="M139">
        <v>25</v>
      </c>
      <c r="N139" s="147">
        <v>45658</v>
      </c>
      <c r="O139" s="147"/>
    </row>
    <row r="140" spans="1:18" x14ac:dyDescent="0.3">
      <c r="A140" t="str">
        <f>TableMJRPSCRAR[[#This Row],[Study Package Code]]</f>
        <v>SPRO5001</v>
      </c>
      <c r="B140" s="1">
        <f>TableMJRPSCRAR[[#This Row],[Ver]]</f>
        <v>4</v>
      </c>
      <c r="D140" t="str">
        <f>TableMJRPSCRAR[[#This Row],[Structure Line]]</f>
        <v>Graduate Drama Narratives</v>
      </c>
      <c r="E140" s="95">
        <f>TableMJRPSCRAR[[#This Row],[Credit Points]]</f>
        <v>25</v>
      </c>
      <c r="F140">
        <v>11</v>
      </c>
      <c r="G140" t="s">
        <v>708</v>
      </c>
      <c r="H140">
        <v>2</v>
      </c>
      <c r="I140" t="s">
        <v>703</v>
      </c>
      <c r="J140" t="s">
        <v>219</v>
      </c>
      <c r="K140">
        <v>4</v>
      </c>
      <c r="L140" t="s">
        <v>641</v>
      </c>
      <c r="M140">
        <v>25</v>
      </c>
      <c r="N140" s="147">
        <v>45658</v>
      </c>
      <c r="O140" s="147"/>
      <c r="Q140" t="s">
        <v>219</v>
      </c>
      <c r="R140">
        <v>3</v>
      </c>
    </row>
    <row r="141" spans="1:18" x14ac:dyDescent="0.3">
      <c r="A141" t="str">
        <f>TableMJRPSCRAR[[#This Row],[Study Package Code]]</f>
        <v>SPRO5004</v>
      </c>
      <c r="B141" s="1">
        <f>TableMJRPSCRAR[[#This Row],[Ver]]</f>
        <v>6</v>
      </c>
      <c r="D141" t="str">
        <f>TableMJRPSCRAR[[#This Row],[Structure Line]]</f>
        <v>Graduate Community Media Production</v>
      </c>
      <c r="E141" s="95">
        <f>TableMJRPSCRAR[[#This Row],[Credit Points]]</f>
        <v>25</v>
      </c>
      <c r="F141">
        <v>11</v>
      </c>
      <c r="G141" t="s">
        <v>708</v>
      </c>
      <c r="H141">
        <v>2</v>
      </c>
      <c r="I141" t="s">
        <v>703</v>
      </c>
      <c r="J141" t="s">
        <v>224</v>
      </c>
      <c r="K141">
        <v>6</v>
      </c>
      <c r="L141" t="s">
        <v>644</v>
      </c>
      <c r="M141">
        <v>25</v>
      </c>
      <c r="N141" s="147">
        <v>45658</v>
      </c>
      <c r="O141" s="147"/>
      <c r="Q141" t="s">
        <v>224</v>
      </c>
      <c r="R141">
        <v>5</v>
      </c>
    </row>
    <row r="142" spans="1:18" x14ac:dyDescent="0.3">
      <c r="J142" s="189"/>
      <c r="K142" s="189"/>
      <c r="L142" s="189"/>
    </row>
    <row r="143" spans="1:18" x14ac:dyDescent="0.3">
      <c r="B143"/>
      <c r="E143"/>
      <c r="F143" s="93"/>
      <c r="G143" s="94" t="s">
        <v>689</v>
      </c>
      <c r="H143" s="233">
        <v>45292</v>
      </c>
      <c r="I143" s="146"/>
      <c r="J143" s="230" t="s">
        <v>86</v>
      </c>
      <c r="K143" s="234" t="s">
        <v>87</v>
      </c>
      <c r="L143" s="146" t="s">
        <v>85</v>
      </c>
      <c r="M143" s="146"/>
      <c r="N143" s="180" t="s">
        <v>690</v>
      </c>
      <c r="O143" s="147">
        <v>45580</v>
      </c>
    </row>
    <row r="144" spans="1:18" x14ac:dyDescent="0.3">
      <c r="A144" t="s">
        <v>0</v>
      </c>
      <c r="B144" s="1" t="s">
        <v>691</v>
      </c>
      <c r="C144" t="s">
        <v>692</v>
      </c>
      <c r="D144" t="s">
        <v>3</v>
      </c>
      <c r="E144" s="95" t="s">
        <v>693</v>
      </c>
      <c r="F144" t="s">
        <v>694</v>
      </c>
      <c r="G144" t="s">
        <v>695</v>
      </c>
      <c r="H144" t="s">
        <v>696</v>
      </c>
      <c r="I144" t="s">
        <v>22</v>
      </c>
      <c r="J144" t="s">
        <v>697</v>
      </c>
      <c r="K144" t="s">
        <v>1</v>
      </c>
      <c r="L144" t="s">
        <v>698</v>
      </c>
      <c r="M144" t="s">
        <v>53</v>
      </c>
      <c r="N144" t="s">
        <v>699</v>
      </c>
      <c r="O144" t="s">
        <v>700</v>
      </c>
      <c r="Q144" t="s">
        <v>701</v>
      </c>
      <c r="R144" t="s">
        <v>1</v>
      </c>
    </row>
    <row r="145" spans="1:18" x14ac:dyDescent="0.3">
      <c r="A145" t="str">
        <f>TableMCMMJRG[[#This Row],[Study Package Code]]</f>
        <v>JOUR5002</v>
      </c>
      <c r="B145" s="1">
        <f>TableMCMMJRG[[#This Row],[Ver]]</f>
        <v>4</v>
      </c>
      <c r="D145" t="str">
        <f>TableMCMMJRG[[#This Row],[Structure Line]]</f>
        <v>Graduate Radio News</v>
      </c>
      <c r="E145" s="95">
        <f>TableMCMMJRG[[#This Row],[Credit Points]]</f>
        <v>25</v>
      </c>
      <c r="F145">
        <v>1</v>
      </c>
      <c r="G145" t="s">
        <v>706</v>
      </c>
      <c r="H145">
        <v>1</v>
      </c>
      <c r="I145" t="s">
        <v>719</v>
      </c>
      <c r="J145" t="s">
        <v>302</v>
      </c>
      <c r="K145">
        <v>4</v>
      </c>
      <c r="L145" t="s">
        <v>504</v>
      </c>
      <c r="M145">
        <v>25</v>
      </c>
      <c r="N145" s="147">
        <v>45658</v>
      </c>
      <c r="O145" s="147"/>
      <c r="Q145" t="s">
        <v>302</v>
      </c>
      <c r="R145">
        <v>3</v>
      </c>
    </row>
    <row r="146" spans="1:18" x14ac:dyDescent="0.3">
      <c r="A146" t="str">
        <f>TableMCMMJRG[[#This Row],[Study Package Code]]</f>
        <v>JOUR5003</v>
      </c>
      <c r="B146" s="1">
        <f>TableMCMMJRG[[#This Row],[Ver]]</f>
        <v>4</v>
      </c>
      <c r="D146" t="str">
        <f>TableMCMMJRG[[#This Row],[Structure Line]]</f>
        <v>Graduate News Writing and Reporting</v>
      </c>
      <c r="E146" s="95">
        <f>TableMCMMJRG[[#This Row],[Credit Points]]</f>
        <v>25</v>
      </c>
      <c r="F146">
        <v>2</v>
      </c>
      <c r="G146" t="s">
        <v>706</v>
      </c>
      <c r="H146">
        <v>1</v>
      </c>
      <c r="I146" t="s">
        <v>719</v>
      </c>
      <c r="J146" t="s">
        <v>301</v>
      </c>
      <c r="K146">
        <v>4</v>
      </c>
      <c r="L146" t="s">
        <v>507</v>
      </c>
      <c r="M146">
        <v>25</v>
      </c>
      <c r="N146" s="147">
        <v>45658</v>
      </c>
      <c r="O146" s="147"/>
      <c r="Q146" t="s">
        <v>301</v>
      </c>
      <c r="R146">
        <v>3</v>
      </c>
    </row>
    <row r="147" spans="1:18" x14ac:dyDescent="0.3">
      <c r="A147" t="str">
        <f>TableMCMMJRG[[#This Row],[Study Package Code]]</f>
        <v>JOUR5005</v>
      </c>
      <c r="B147" s="1">
        <f>TableMCMMJRG[[#This Row],[Ver]]</f>
        <v>4</v>
      </c>
      <c r="D147" t="str">
        <f>TableMCMMJRG[[#This Row],[Structure Line]]</f>
        <v>Graduate Video News</v>
      </c>
      <c r="E147" s="95">
        <f>TableMCMMJRG[[#This Row],[Credit Points]]</f>
        <v>25</v>
      </c>
      <c r="F147">
        <v>3</v>
      </c>
      <c r="G147" t="s">
        <v>706</v>
      </c>
      <c r="H147">
        <v>1</v>
      </c>
      <c r="I147" t="s">
        <v>719</v>
      </c>
      <c r="J147" t="s">
        <v>210</v>
      </c>
      <c r="K147">
        <v>4</v>
      </c>
      <c r="L147" t="s">
        <v>513</v>
      </c>
      <c r="M147">
        <v>25</v>
      </c>
      <c r="N147" s="147">
        <v>45658</v>
      </c>
      <c r="O147" s="147"/>
      <c r="Q147" t="s">
        <v>210</v>
      </c>
      <c r="R147">
        <v>3</v>
      </c>
    </row>
    <row r="148" spans="1:18" x14ac:dyDescent="0.3">
      <c r="A148" t="str">
        <f>TableMCMMJRG[[#This Row],[Study Package Code]]</f>
        <v>JOUR5012</v>
      </c>
      <c r="B148" s="1">
        <f>TableMCMMJRG[[#This Row],[Ver]]</f>
        <v>3</v>
      </c>
      <c r="D148" t="str">
        <f>TableMCMMJRG[[#This Row],[Structure Line]]</f>
        <v>Understanding Journalism</v>
      </c>
      <c r="E148" s="95">
        <f>TableMCMMJRG[[#This Row],[Credit Points]]</f>
        <v>25</v>
      </c>
      <c r="F148">
        <v>4</v>
      </c>
      <c r="G148" t="s">
        <v>706</v>
      </c>
      <c r="H148">
        <v>1</v>
      </c>
      <c r="I148" t="s">
        <v>719</v>
      </c>
      <c r="J148" t="s">
        <v>304</v>
      </c>
      <c r="K148">
        <v>3</v>
      </c>
      <c r="L148" t="s">
        <v>523</v>
      </c>
      <c r="M148">
        <v>25</v>
      </c>
      <c r="N148" s="147">
        <v>44197</v>
      </c>
      <c r="O148" s="147"/>
      <c r="Q148" t="s">
        <v>304</v>
      </c>
      <c r="R148">
        <v>3</v>
      </c>
    </row>
    <row r="149" spans="1:18" x14ac:dyDescent="0.3">
      <c r="A149" t="str">
        <f>TableMCMMJRG[[#This Row],[Study Package Code]]</f>
        <v>JOUR5000</v>
      </c>
      <c r="B149" s="1">
        <f>TableMCMMJRG[[#This Row],[Ver]]</f>
        <v>4</v>
      </c>
      <c r="D149" t="str">
        <f>TableMCMMJRG[[#This Row],[Structure Line]]</f>
        <v>Graduate Media Law and Ethics</v>
      </c>
      <c r="E149" s="95">
        <f>TableMCMMJRG[[#This Row],[Credit Points]]</f>
        <v>25</v>
      </c>
      <c r="F149">
        <v>5</v>
      </c>
      <c r="G149" t="s">
        <v>706</v>
      </c>
      <c r="H149">
        <v>1</v>
      </c>
      <c r="I149" t="s">
        <v>720</v>
      </c>
      <c r="J149" t="s">
        <v>305</v>
      </c>
      <c r="K149">
        <v>4</v>
      </c>
      <c r="L149" t="s">
        <v>501</v>
      </c>
      <c r="M149">
        <v>25</v>
      </c>
      <c r="N149" s="147">
        <v>45658</v>
      </c>
      <c r="O149" s="147"/>
      <c r="Q149" t="s">
        <v>305</v>
      </c>
      <c r="R149">
        <v>3</v>
      </c>
    </row>
    <row r="150" spans="1:18" x14ac:dyDescent="0.3">
      <c r="A150" t="str">
        <f>TableMCMMJRG[[#This Row],[Study Package Code]]</f>
        <v>JOUR5004</v>
      </c>
      <c r="B150" s="1">
        <f>TableMCMMJRG[[#This Row],[Ver]]</f>
        <v>3</v>
      </c>
      <c r="D150" t="str">
        <f>TableMCMMJRG[[#This Row],[Structure Line]]</f>
        <v>Graduate Feature Journalism</v>
      </c>
      <c r="E150" s="95">
        <f>TableMCMMJRG[[#This Row],[Credit Points]]</f>
        <v>25</v>
      </c>
      <c r="F150">
        <v>6</v>
      </c>
      <c r="G150" t="s">
        <v>706</v>
      </c>
      <c r="H150">
        <v>1</v>
      </c>
      <c r="I150" t="s">
        <v>720</v>
      </c>
      <c r="J150" t="s">
        <v>307</v>
      </c>
      <c r="K150">
        <v>3</v>
      </c>
      <c r="L150" t="s">
        <v>510</v>
      </c>
      <c r="M150">
        <v>25</v>
      </c>
      <c r="N150" s="147">
        <v>45658</v>
      </c>
      <c r="O150" s="147"/>
      <c r="Q150" t="s">
        <v>307</v>
      </c>
      <c r="R150">
        <v>2</v>
      </c>
    </row>
    <row r="151" spans="1:18" x14ac:dyDescent="0.3">
      <c r="A151" t="str">
        <f>TableMCMMJRG[[#This Row],[Study Package Code]]</f>
        <v>JOUR5010</v>
      </c>
      <c r="B151" s="1">
        <f>TableMCMMJRG[[#This Row],[Ver]]</f>
        <v>4</v>
      </c>
      <c r="D151" t="str">
        <f>TableMCMMJRG[[#This Row],[Structure Line]]</f>
        <v>Graduate Presentation for Broadcast</v>
      </c>
      <c r="E151" s="95">
        <f>TableMCMMJRG[[#This Row],[Credit Points]]</f>
        <v>25</v>
      </c>
      <c r="F151">
        <v>7</v>
      </c>
      <c r="G151" t="s">
        <v>706</v>
      </c>
      <c r="H151">
        <v>1</v>
      </c>
      <c r="I151" t="s">
        <v>720</v>
      </c>
      <c r="J151" t="s">
        <v>309</v>
      </c>
      <c r="K151">
        <v>4</v>
      </c>
      <c r="L151" t="s">
        <v>520</v>
      </c>
      <c r="M151">
        <v>25</v>
      </c>
      <c r="N151" s="147">
        <v>45658</v>
      </c>
      <c r="O151" s="147"/>
      <c r="Q151" t="s">
        <v>309</v>
      </c>
      <c r="R151">
        <v>3</v>
      </c>
    </row>
    <row r="152" spans="1:18" x14ac:dyDescent="0.3">
      <c r="A152" t="str">
        <f>TableMCMMJRG[[#This Row],[Study Package Code]]</f>
        <v>JOUR5016</v>
      </c>
      <c r="B152" s="1">
        <f>TableMCMMJRG[[#This Row],[Ver]]</f>
        <v>1</v>
      </c>
      <c r="D152" t="str">
        <f>TableMCMMJRG[[#This Row],[Structure Line]]</f>
        <v>Entrepreneurial Journalism</v>
      </c>
      <c r="E152" s="95">
        <f>TableMCMMJRG[[#This Row],[Credit Points]]</f>
        <v>25</v>
      </c>
      <c r="F152">
        <v>8</v>
      </c>
      <c r="G152" t="s">
        <v>706</v>
      </c>
      <c r="H152">
        <v>1</v>
      </c>
      <c r="I152" t="s">
        <v>720</v>
      </c>
      <c r="J152" t="s">
        <v>306</v>
      </c>
      <c r="K152">
        <v>1</v>
      </c>
      <c r="L152" t="s">
        <v>524</v>
      </c>
      <c r="M152">
        <v>25</v>
      </c>
      <c r="N152" s="147">
        <v>44197</v>
      </c>
      <c r="O152" s="147"/>
      <c r="Q152" t="s">
        <v>306</v>
      </c>
      <c r="R152">
        <v>1</v>
      </c>
    </row>
    <row r="153" spans="1:18" x14ac:dyDescent="0.3">
      <c r="A153" t="str">
        <f>TableMCMMJRG[[#This Row],[Study Package Code]]</f>
        <v>COMS6004</v>
      </c>
      <c r="B153" s="1">
        <f>TableMCMMJRG[[#This Row],[Ver]]</f>
        <v>2</v>
      </c>
      <c r="D153" t="str">
        <f>TableMCMMJRG[[#This Row],[Structure Line]]</f>
        <v>Masters Professional or Creative Project</v>
      </c>
      <c r="E153" s="95">
        <f>TableMCMMJRG[[#This Row],[Credit Points]]</f>
        <v>50</v>
      </c>
      <c r="F153">
        <v>9</v>
      </c>
      <c r="G153" t="s">
        <v>706</v>
      </c>
      <c r="H153">
        <v>2</v>
      </c>
      <c r="I153" t="s">
        <v>719</v>
      </c>
      <c r="J153" t="s">
        <v>155</v>
      </c>
      <c r="K153">
        <v>2</v>
      </c>
      <c r="L153" t="s">
        <v>439</v>
      </c>
      <c r="M153">
        <v>50</v>
      </c>
      <c r="N153" s="147">
        <v>45292</v>
      </c>
      <c r="O153" s="147"/>
      <c r="Q153" t="s">
        <v>155</v>
      </c>
      <c r="R153">
        <v>2</v>
      </c>
    </row>
    <row r="154" spans="1:18" x14ac:dyDescent="0.3">
      <c r="A154" t="str">
        <f>TableMCMMJRG[[#This Row],[Study Package Code]]</f>
        <v>JOUR6004</v>
      </c>
      <c r="B154" s="1">
        <f>TableMCMMJRG[[#This Row],[Ver]]</f>
        <v>3</v>
      </c>
      <c r="D154" t="str">
        <f>TableMCMMJRG[[#This Row],[Structure Line]]</f>
        <v>Graduate Multimedia News Production</v>
      </c>
      <c r="E154" s="95">
        <f>TableMCMMJRG[[#This Row],[Credit Points]]</f>
        <v>25</v>
      </c>
      <c r="F154">
        <v>10</v>
      </c>
      <c r="G154" t="s">
        <v>706</v>
      </c>
      <c r="H154">
        <v>2</v>
      </c>
      <c r="I154" t="s">
        <v>719</v>
      </c>
      <c r="J154" t="s">
        <v>312</v>
      </c>
      <c r="K154">
        <v>3</v>
      </c>
      <c r="L154" t="s">
        <v>525</v>
      </c>
      <c r="M154">
        <v>25</v>
      </c>
      <c r="N154" s="147">
        <v>45658</v>
      </c>
      <c r="O154" s="147"/>
      <c r="Q154" t="s">
        <v>312</v>
      </c>
      <c r="R154">
        <v>2</v>
      </c>
    </row>
    <row r="155" spans="1:18" x14ac:dyDescent="0.3">
      <c r="A155" t="str">
        <f>TableMCMMJRG[[#This Row],[Study Package Code]]</f>
        <v>AC-MMJRG</v>
      </c>
      <c r="B155" s="1">
        <f>TableMCMMJRG[[#This Row],[Ver]]</f>
        <v>0</v>
      </c>
      <c r="D155" t="str">
        <f>TableMCMMJRG[[#This Row],[Structure Line]]</f>
        <v>Choose JOUR5006 or NETS5004</v>
      </c>
      <c r="E155" s="95">
        <f>TableMCMMJRG[[#This Row],[Credit Points]]</f>
        <v>25</v>
      </c>
      <c r="F155">
        <v>11</v>
      </c>
      <c r="G155" t="s">
        <v>702</v>
      </c>
      <c r="H155">
        <v>2</v>
      </c>
      <c r="I155" t="s">
        <v>719</v>
      </c>
      <c r="J155" t="s">
        <v>314</v>
      </c>
      <c r="K155">
        <v>0</v>
      </c>
      <c r="L155" t="s">
        <v>721</v>
      </c>
      <c r="M155">
        <v>25</v>
      </c>
      <c r="N155" s="147"/>
      <c r="O155" s="147"/>
      <c r="Q155" t="s">
        <v>314</v>
      </c>
      <c r="R155">
        <v>0</v>
      </c>
    </row>
    <row r="156" spans="1:18" x14ac:dyDescent="0.3">
      <c r="A156" t="str">
        <f>TableMCMMJRG[[#This Row],[Study Package Code]]</f>
        <v>Opt-MMJRG</v>
      </c>
      <c r="B156" s="1">
        <f>TableMCMMJRG[[#This Row],[Ver]]</f>
        <v>0</v>
      </c>
      <c r="D156" t="str">
        <f>TableMCMMJRG[[#This Row],[Structure Line]]</f>
        <v>Choose Options for Semester 2, Year 2</v>
      </c>
      <c r="E156" s="95">
        <f>TableMCMMJRG[[#This Row],[Credit Points]]</f>
        <v>100</v>
      </c>
      <c r="F156">
        <v>12</v>
      </c>
      <c r="G156" t="s">
        <v>708</v>
      </c>
      <c r="H156">
        <v>2</v>
      </c>
      <c r="I156" t="s">
        <v>720</v>
      </c>
      <c r="J156" t="s">
        <v>303</v>
      </c>
      <c r="K156">
        <v>0</v>
      </c>
      <c r="L156" t="s">
        <v>722</v>
      </c>
      <c r="M156">
        <v>100</v>
      </c>
      <c r="N156" s="147"/>
      <c r="O156" s="147"/>
      <c r="Q156" t="s">
        <v>303</v>
      </c>
      <c r="R156">
        <v>0</v>
      </c>
    </row>
    <row r="157" spans="1:18" x14ac:dyDescent="0.3">
      <c r="A157" t="str">
        <f>TableMCMMJRG[[#This Row],[Study Package Code]]</f>
        <v>JOUR5006</v>
      </c>
      <c r="B157" s="1">
        <f>TableMCMMJRG[[#This Row],[Ver]]</f>
        <v>4</v>
      </c>
      <c r="D157" t="str">
        <f>TableMCMMJRG[[#This Row],[Structure Line]]</f>
        <v>Graduate Journalism Industry Placement</v>
      </c>
      <c r="E157" s="95">
        <f>TableMCMMJRG[[#This Row],[Credit Points]]</f>
        <v>25</v>
      </c>
      <c r="F157">
        <v>11</v>
      </c>
      <c r="G157" t="s">
        <v>702</v>
      </c>
      <c r="H157">
        <v>2</v>
      </c>
      <c r="I157" t="s">
        <v>719</v>
      </c>
      <c r="J157" t="s">
        <v>318</v>
      </c>
      <c r="K157">
        <v>4</v>
      </c>
      <c r="L157" t="s">
        <v>516</v>
      </c>
      <c r="M157">
        <v>25</v>
      </c>
      <c r="N157" s="147">
        <v>45658</v>
      </c>
      <c r="O157" s="147"/>
      <c r="Q157" t="s">
        <v>318</v>
      </c>
      <c r="R157">
        <v>3</v>
      </c>
    </row>
    <row r="158" spans="1:18" x14ac:dyDescent="0.3">
      <c r="A158" t="str">
        <f>TableMCMMJRG[[#This Row],[Study Package Code]]</f>
        <v>NETS5004</v>
      </c>
      <c r="B158" s="1">
        <f>TableMCMMJRG[[#This Row],[Ver]]</f>
        <v>3</v>
      </c>
      <c r="D158" t="str">
        <f>TableMCMMJRG[[#This Row],[Structure Line]]</f>
        <v>Graduate Social Media, Communities and Networks</v>
      </c>
      <c r="E158" s="95">
        <f>TableMCMMJRG[[#This Row],[Credit Points]]</f>
        <v>25</v>
      </c>
      <c r="F158">
        <v>11</v>
      </c>
      <c r="G158" t="s">
        <v>702</v>
      </c>
      <c r="H158">
        <v>2</v>
      </c>
      <c r="I158" t="s">
        <v>719</v>
      </c>
      <c r="J158" t="s">
        <v>215</v>
      </c>
      <c r="K158">
        <v>3</v>
      </c>
      <c r="L158" t="s">
        <v>543</v>
      </c>
      <c r="M158">
        <v>25</v>
      </c>
      <c r="N158" s="147">
        <v>45658</v>
      </c>
      <c r="O158" s="147"/>
      <c r="Q158" t="s">
        <v>215</v>
      </c>
      <c r="R158">
        <v>2</v>
      </c>
    </row>
    <row r="159" spans="1:18" x14ac:dyDescent="0.3">
      <c r="A159" t="str">
        <f>TableMCMMJRG[[#This Row],[Study Package Code]]</f>
        <v>HRIG5002</v>
      </c>
      <c r="B159" s="1">
        <f>TableMCMMJRG[[#This Row],[Ver]]</f>
        <v>2</v>
      </c>
      <c r="D159" t="str">
        <f>TableMCMMJRG[[#This Row],[Structure Line]]</f>
        <v>International Human Rights Law and Practice</v>
      </c>
      <c r="E159" s="95">
        <f>TableMCMMJRG[[#This Row],[Credit Points]]</f>
        <v>25</v>
      </c>
      <c r="F159">
        <v>12</v>
      </c>
      <c r="G159" t="s">
        <v>708</v>
      </c>
      <c r="H159">
        <v>2</v>
      </c>
      <c r="I159" t="s">
        <v>720</v>
      </c>
      <c r="J159" t="s">
        <v>281</v>
      </c>
      <c r="K159">
        <v>2</v>
      </c>
      <c r="L159" t="s">
        <v>475</v>
      </c>
      <c r="M159">
        <v>25</v>
      </c>
      <c r="N159" s="147">
        <v>45292</v>
      </c>
      <c r="O159" s="147"/>
      <c r="Q159" t="s">
        <v>281</v>
      </c>
      <c r="R159">
        <v>2</v>
      </c>
    </row>
    <row r="160" spans="1:18" x14ac:dyDescent="0.3">
      <c r="A160" t="str">
        <f>TableMCMMJRG[[#This Row],[Study Package Code]]</f>
        <v>HRIG5003</v>
      </c>
      <c r="B160" s="1">
        <f>TableMCMMJRG[[#This Row],[Ver]]</f>
        <v>2</v>
      </c>
      <c r="D160" t="str">
        <f>TableMCMMJRG[[#This Row],[Structure Line]]</f>
        <v>Activism, Advocacy and Change</v>
      </c>
      <c r="E160" s="95">
        <f>TableMCMMJRG[[#This Row],[Credit Points]]</f>
        <v>25</v>
      </c>
      <c r="F160">
        <v>12</v>
      </c>
      <c r="G160" t="s">
        <v>708</v>
      </c>
      <c r="H160">
        <v>2</v>
      </c>
      <c r="I160" t="s">
        <v>720</v>
      </c>
      <c r="J160" t="s">
        <v>274</v>
      </c>
      <c r="K160">
        <v>2</v>
      </c>
      <c r="L160" t="s">
        <v>476</v>
      </c>
      <c r="M160">
        <v>25</v>
      </c>
      <c r="N160" s="147">
        <v>45292</v>
      </c>
      <c r="O160" s="147"/>
      <c r="Q160" t="s">
        <v>274</v>
      </c>
      <c r="R160">
        <v>2</v>
      </c>
    </row>
    <row r="161" spans="1:18" x14ac:dyDescent="0.3">
      <c r="A161" t="str">
        <f>TableMCMMJRG[[#This Row],[Study Package Code]]</f>
        <v>HRIG5005</v>
      </c>
      <c r="B161" s="1">
        <f>TableMCMMJRG[[#This Row],[Ver]]</f>
        <v>4</v>
      </c>
      <c r="D161" t="str">
        <f>TableMCMMJRG[[#This Row],[Structure Line]]</f>
        <v>Indigenous Rights</v>
      </c>
      <c r="E161" s="95">
        <f>TableMCMMJRG[[#This Row],[Credit Points]]</f>
        <v>25</v>
      </c>
      <c r="F161">
        <v>12</v>
      </c>
      <c r="G161" t="s">
        <v>708</v>
      </c>
      <c r="H161">
        <v>2</v>
      </c>
      <c r="I161" t="s">
        <v>720</v>
      </c>
      <c r="J161" t="s">
        <v>319</v>
      </c>
      <c r="K161">
        <v>4</v>
      </c>
      <c r="L161" t="s">
        <v>478</v>
      </c>
      <c r="M161">
        <v>25</v>
      </c>
      <c r="N161" s="147">
        <v>45292</v>
      </c>
      <c r="O161" s="147"/>
      <c r="Q161" t="s">
        <v>319</v>
      </c>
      <c r="R161">
        <v>4</v>
      </c>
    </row>
    <row r="162" spans="1:18" x14ac:dyDescent="0.3">
      <c r="A162" t="str">
        <f>TableMCMMJRG[[#This Row],[Study Package Code]]</f>
        <v>HRIG5014</v>
      </c>
      <c r="B162" s="1">
        <f>TableMCMMJRG[[#This Row],[Ver]]</f>
        <v>2</v>
      </c>
      <c r="D162" t="str">
        <f>TableMCMMJRG[[#This Row],[Structure Line]]</f>
        <v>Dialogue across Cultures and Religions</v>
      </c>
      <c r="E162" s="95">
        <f>TableMCMMJRG[[#This Row],[Credit Points]]</f>
        <v>25</v>
      </c>
      <c r="F162">
        <v>12</v>
      </c>
      <c r="G162" t="s">
        <v>708</v>
      </c>
      <c r="H162">
        <v>2</v>
      </c>
      <c r="I162" t="s">
        <v>720</v>
      </c>
      <c r="J162" t="s">
        <v>270</v>
      </c>
      <c r="K162">
        <v>2</v>
      </c>
      <c r="L162" t="s">
        <v>480</v>
      </c>
      <c r="M162">
        <v>25</v>
      </c>
      <c r="N162" s="147">
        <v>45292</v>
      </c>
      <c r="O162" s="147"/>
      <c r="Q162" t="s">
        <v>270</v>
      </c>
      <c r="R162">
        <v>2</v>
      </c>
    </row>
    <row r="163" spans="1:18" x14ac:dyDescent="0.3">
      <c r="A163" t="str">
        <f>TableMCMMJRG[[#This Row],[Study Package Code]]</f>
        <v>INTR5001</v>
      </c>
      <c r="B163" s="1">
        <f>TableMCMMJRG[[#This Row],[Ver]]</f>
        <v>2</v>
      </c>
      <c r="D163" t="str">
        <f>TableMCMMJRG[[#This Row],[Structure Line]]</f>
        <v>Women, Peace and Security</v>
      </c>
      <c r="E163" s="95">
        <f>TableMCMMJRG[[#This Row],[Credit Points]]</f>
        <v>25</v>
      </c>
      <c r="F163">
        <v>12</v>
      </c>
      <c r="G163" t="s">
        <v>708</v>
      </c>
      <c r="H163">
        <v>2</v>
      </c>
      <c r="I163" t="s">
        <v>720</v>
      </c>
      <c r="J163" t="s">
        <v>369</v>
      </c>
      <c r="K163">
        <v>2</v>
      </c>
      <c r="L163" t="s">
        <v>486</v>
      </c>
      <c r="M163">
        <v>25</v>
      </c>
      <c r="N163" s="147">
        <v>45658</v>
      </c>
      <c r="O163" s="147"/>
      <c r="Q163" t="s">
        <v>369</v>
      </c>
      <c r="R163">
        <v>1</v>
      </c>
    </row>
    <row r="164" spans="1:18" x14ac:dyDescent="0.3">
      <c r="A164" t="str">
        <f>TableMCMMJRG[[#This Row],[Study Package Code]]</f>
        <v>INTR5002</v>
      </c>
      <c r="B164" s="1">
        <f>TableMCMMJRG[[#This Row],[Ver]]</f>
        <v>2</v>
      </c>
      <c r="D164" t="str">
        <f>TableMCMMJRG[[#This Row],[Structure Line]]</f>
        <v>The Geopolitics of East Asia</v>
      </c>
      <c r="E164" s="95">
        <f>TableMCMMJRG[[#This Row],[Credit Points]]</f>
        <v>25</v>
      </c>
      <c r="F164">
        <v>12</v>
      </c>
      <c r="G164" t="s">
        <v>708</v>
      </c>
      <c r="H164">
        <v>2</v>
      </c>
      <c r="I164" t="s">
        <v>720</v>
      </c>
      <c r="J164" t="s">
        <v>320</v>
      </c>
      <c r="K164">
        <v>2</v>
      </c>
      <c r="L164" t="s">
        <v>487</v>
      </c>
      <c r="M164">
        <v>25</v>
      </c>
      <c r="N164" s="147">
        <v>45658</v>
      </c>
      <c r="O164" s="147"/>
      <c r="Q164" t="s">
        <v>320</v>
      </c>
      <c r="R164">
        <v>1</v>
      </c>
    </row>
    <row r="165" spans="1:18" x14ac:dyDescent="0.3">
      <c r="A165" t="str">
        <f>TableMCMMJRG[[#This Row],[Study Package Code]]</f>
        <v>INTR5006</v>
      </c>
      <c r="B165" s="1">
        <f>TableMCMMJRG[[#This Row],[Ver]]</f>
        <v>1</v>
      </c>
      <c r="D165" t="str">
        <f>TableMCMMJRG[[#This Row],[Structure Line]]</f>
        <v>Intelligence and Analysis</v>
      </c>
      <c r="E165" s="95">
        <f>TableMCMMJRG[[#This Row],[Credit Points]]</f>
        <v>25</v>
      </c>
      <c r="F165">
        <v>12</v>
      </c>
      <c r="G165" t="s">
        <v>708</v>
      </c>
      <c r="H165">
        <v>2</v>
      </c>
      <c r="I165" t="s">
        <v>720</v>
      </c>
      <c r="J165" t="s">
        <v>321</v>
      </c>
      <c r="K165">
        <v>1</v>
      </c>
      <c r="L165" t="s">
        <v>495</v>
      </c>
      <c r="M165">
        <v>25</v>
      </c>
      <c r="N165" s="147">
        <v>42005</v>
      </c>
      <c r="O165" s="147"/>
      <c r="Q165" t="s">
        <v>321</v>
      </c>
      <c r="R165">
        <v>1</v>
      </c>
    </row>
    <row r="166" spans="1:18" x14ac:dyDescent="0.3">
      <c r="A166" t="str">
        <f>TableMCMMJRG[[#This Row],[Study Package Code]]</f>
        <v>POLS5000</v>
      </c>
      <c r="B166" s="1">
        <f>TableMCMMJRG[[#This Row],[Ver]]</f>
        <v>3</v>
      </c>
      <c r="D166" t="str">
        <f>TableMCMMJRG[[#This Row],[Structure Line]]</f>
        <v>International Security in Theory and Practice</v>
      </c>
      <c r="E166" s="95">
        <f>TableMCMMJRG[[#This Row],[Credit Points]]</f>
        <v>25</v>
      </c>
      <c r="F166">
        <v>12</v>
      </c>
      <c r="G166" t="s">
        <v>708</v>
      </c>
      <c r="H166">
        <v>2</v>
      </c>
      <c r="I166" t="s">
        <v>720</v>
      </c>
      <c r="J166" t="s">
        <v>322</v>
      </c>
      <c r="K166">
        <v>3</v>
      </c>
      <c r="L166" t="s">
        <v>590</v>
      </c>
      <c r="M166">
        <v>25</v>
      </c>
      <c r="N166" s="147">
        <v>45658</v>
      </c>
      <c r="O166" s="147"/>
      <c r="Q166" t="s">
        <v>322</v>
      </c>
      <c r="R166">
        <v>2</v>
      </c>
    </row>
    <row r="167" spans="1:18" x14ac:dyDescent="0.3">
      <c r="A167" t="str">
        <f>TableMCMMJRG[[#This Row],[Study Package Code]]</f>
        <v>POLS5004</v>
      </c>
      <c r="B167" s="1">
        <f>TableMCMMJRG[[#This Row],[Ver]]</f>
        <v>2</v>
      </c>
      <c r="D167" t="str">
        <f>TableMCMMJRG[[#This Row],[Structure Line]]</f>
        <v>Environmental and Energy Security</v>
      </c>
      <c r="E167" s="95">
        <f>TableMCMMJRG[[#This Row],[Credit Points]]</f>
        <v>25</v>
      </c>
      <c r="F167">
        <v>12</v>
      </c>
      <c r="G167" t="s">
        <v>708</v>
      </c>
      <c r="H167">
        <v>2</v>
      </c>
      <c r="I167" t="s">
        <v>720</v>
      </c>
      <c r="J167" t="s">
        <v>323</v>
      </c>
      <c r="K167">
        <v>2</v>
      </c>
      <c r="L167" t="s">
        <v>599</v>
      </c>
      <c r="M167">
        <v>25</v>
      </c>
      <c r="N167" s="147">
        <v>45658</v>
      </c>
      <c r="O167" s="147"/>
      <c r="Q167" t="s">
        <v>323</v>
      </c>
      <c r="R167">
        <v>1</v>
      </c>
    </row>
    <row r="168" spans="1:18" x14ac:dyDescent="0.3">
      <c r="B168"/>
      <c r="E168"/>
      <c r="F168" s="93"/>
      <c r="G168" s="94" t="s">
        <v>689</v>
      </c>
      <c r="H168" s="233">
        <v>45292</v>
      </c>
      <c r="I168" s="146"/>
      <c r="J168" s="230" t="s">
        <v>82</v>
      </c>
      <c r="K168" s="234" t="s">
        <v>71</v>
      </c>
      <c r="L168" s="146" t="s">
        <v>81</v>
      </c>
      <c r="M168" s="146"/>
      <c r="N168" s="180" t="s">
        <v>690</v>
      </c>
      <c r="O168" s="147">
        <v>45580</v>
      </c>
    </row>
    <row r="169" spans="1:18" x14ac:dyDescent="0.3">
      <c r="A169" t="s">
        <v>0</v>
      </c>
      <c r="B169" s="1" t="s">
        <v>691</v>
      </c>
      <c r="C169" t="s">
        <v>692</v>
      </c>
      <c r="D169" t="s">
        <v>3</v>
      </c>
      <c r="E169" s="95" t="s">
        <v>693</v>
      </c>
      <c r="F169" t="s">
        <v>694</v>
      </c>
      <c r="G169" t="s">
        <v>695</v>
      </c>
      <c r="H169" t="s">
        <v>696</v>
      </c>
      <c r="I169" t="s">
        <v>22</v>
      </c>
      <c r="J169" t="s">
        <v>697</v>
      </c>
      <c r="K169" t="s">
        <v>1</v>
      </c>
      <c r="L169" t="s">
        <v>698</v>
      </c>
      <c r="M169" t="s">
        <v>53</v>
      </c>
      <c r="N169" t="s">
        <v>699</v>
      </c>
      <c r="O169" t="s">
        <v>700</v>
      </c>
      <c r="Q169" t="s">
        <v>701</v>
      </c>
      <c r="R169" t="s">
        <v>1</v>
      </c>
    </row>
    <row r="170" spans="1:18" x14ac:dyDescent="0.3">
      <c r="A170" t="str">
        <f>TableMCMMJRN[[#This Row],[Study Package Code]]</f>
        <v>JOUR5003</v>
      </c>
      <c r="B170" s="1">
        <f>TableMCMMJRN[[#This Row],[Ver]]</f>
        <v>4</v>
      </c>
      <c r="D170" t="str">
        <f>TableMCMMJRN[[#This Row],[Structure Line]]</f>
        <v>Graduate News Writing and Reporting</v>
      </c>
      <c r="E170" s="95">
        <f>TableMCMMJRN[[#This Row],[Credit Points]]</f>
        <v>25</v>
      </c>
      <c r="F170">
        <v>1</v>
      </c>
      <c r="G170" t="s">
        <v>706</v>
      </c>
      <c r="H170">
        <v>1</v>
      </c>
      <c r="I170" t="s">
        <v>719</v>
      </c>
      <c r="J170" t="s">
        <v>301</v>
      </c>
      <c r="K170">
        <v>4</v>
      </c>
      <c r="L170" t="s">
        <v>507</v>
      </c>
      <c r="M170">
        <v>25</v>
      </c>
      <c r="N170" s="147">
        <v>45658</v>
      </c>
      <c r="O170" s="147"/>
      <c r="Q170" t="s">
        <v>301</v>
      </c>
      <c r="R170">
        <v>3</v>
      </c>
    </row>
    <row r="171" spans="1:18" x14ac:dyDescent="0.3">
      <c r="A171" t="str">
        <f>TableMCMMJRN[[#This Row],[Study Package Code]]</f>
        <v>JOUR5002</v>
      </c>
      <c r="B171" s="1">
        <f>TableMCMMJRN[[#This Row],[Ver]]</f>
        <v>4</v>
      </c>
      <c r="D171" t="str">
        <f>TableMCMMJRN[[#This Row],[Structure Line]]</f>
        <v>Graduate Radio News</v>
      </c>
      <c r="E171" s="95">
        <f>TableMCMMJRN[[#This Row],[Credit Points]]</f>
        <v>25</v>
      </c>
      <c r="F171">
        <v>2</v>
      </c>
      <c r="G171" t="s">
        <v>706</v>
      </c>
      <c r="H171">
        <v>1</v>
      </c>
      <c r="I171" t="s">
        <v>719</v>
      </c>
      <c r="J171" t="s">
        <v>302</v>
      </c>
      <c r="K171">
        <v>4</v>
      </c>
      <c r="L171" t="s">
        <v>504</v>
      </c>
      <c r="M171">
        <v>25</v>
      </c>
      <c r="N171" s="147">
        <v>45658</v>
      </c>
      <c r="O171" s="147"/>
      <c r="Q171" t="s">
        <v>302</v>
      </c>
      <c r="R171">
        <v>3</v>
      </c>
    </row>
    <row r="172" spans="1:18" x14ac:dyDescent="0.3">
      <c r="A172" t="str">
        <f>TableMCMMJRN[[#This Row],[Study Package Code]]</f>
        <v>JOUR5012</v>
      </c>
      <c r="B172" s="1">
        <f>TableMCMMJRN[[#This Row],[Ver]]</f>
        <v>3</v>
      </c>
      <c r="D172" t="str">
        <f>TableMCMMJRN[[#This Row],[Structure Line]]</f>
        <v>Understanding Journalism</v>
      </c>
      <c r="E172" s="95">
        <f>TableMCMMJRN[[#This Row],[Credit Points]]</f>
        <v>25</v>
      </c>
      <c r="F172">
        <v>3</v>
      </c>
      <c r="G172" t="s">
        <v>706</v>
      </c>
      <c r="H172">
        <v>1</v>
      </c>
      <c r="I172" t="s">
        <v>719</v>
      </c>
      <c r="J172" t="s">
        <v>304</v>
      </c>
      <c r="K172">
        <v>3</v>
      </c>
      <c r="L172" t="s">
        <v>523</v>
      </c>
      <c r="M172">
        <v>25</v>
      </c>
      <c r="N172" s="147">
        <v>44197</v>
      </c>
      <c r="O172" s="147"/>
      <c r="Q172" t="s">
        <v>304</v>
      </c>
      <c r="R172">
        <v>3</v>
      </c>
    </row>
    <row r="173" spans="1:18" x14ac:dyDescent="0.3">
      <c r="A173" t="str">
        <f>TableMCMMJRN[[#This Row],[Study Package Code]]</f>
        <v>JOUR5005</v>
      </c>
      <c r="B173" s="1">
        <f>TableMCMMJRN[[#This Row],[Ver]]</f>
        <v>4</v>
      </c>
      <c r="D173" t="str">
        <f>TableMCMMJRN[[#This Row],[Structure Line]]</f>
        <v>Graduate Video News</v>
      </c>
      <c r="E173" s="95">
        <f>TableMCMMJRN[[#This Row],[Credit Points]]</f>
        <v>25</v>
      </c>
      <c r="F173">
        <v>4</v>
      </c>
      <c r="G173" t="s">
        <v>706</v>
      </c>
      <c r="H173">
        <v>1</v>
      </c>
      <c r="I173" t="s">
        <v>719</v>
      </c>
      <c r="J173" t="s">
        <v>210</v>
      </c>
      <c r="K173">
        <v>4</v>
      </c>
      <c r="L173" t="s">
        <v>513</v>
      </c>
      <c r="M173">
        <v>25</v>
      </c>
      <c r="N173" s="147">
        <v>45658</v>
      </c>
      <c r="O173" s="147"/>
      <c r="Q173" t="s">
        <v>210</v>
      </c>
      <c r="R173">
        <v>3</v>
      </c>
    </row>
    <row r="174" spans="1:18" x14ac:dyDescent="0.3">
      <c r="A174" t="str">
        <f>TableMCMMJRN[[#This Row],[Study Package Code]]</f>
        <v>JOUR5016</v>
      </c>
      <c r="B174" s="1">
        <f>TableMCMMJRN[[#This Row],[Ver]]</f>
        <v>1</v>
      </c>
      <c r="D174" t="str">
        <f>TableMCMMJRN[[#This Row],[Structure Line]]</f>
        <v>Entrepreneurial Journalism</v>
      </c>
      <c r="E174" s="95">
        <f>TableMCMMJRN[[#This Row],[Credit Points]]</f>
        <v>25</v>
      </c>
      <c r="F174">
        <v>5</v>
      </c>
      <c r="G174" t="s">
        <v>706</v>
      </c>
      <c r="H174">
        <v>1</v>
      </c>
      <c r="I174" t="s">
        <v>720</v>
      </c>
      <c r="J174" t="s">
        <v>306</v>
      </c>
      <c r="K174">
        <v>1</v>
      </c>
      <c r="L174" t="s">
        <v>524</v>
      </c>
      <c r="M174">
        <v>25</v>
      </c>
      <c r="N174" s="147">
        <v>44197</v>
      </c>
      <c r="O174" s="147"/>
      <c r="Q174" t="s">
        <v>306</v>
      </c>
      <c r="R174">
        <v>1</v>
      </c>
    </row>
    <row r="175" spans="1:18" x14ac:dyDescent="0.3">
      <c r="A175" t="str">
        <f>TableMCMMJRN[[#This Row],[Study Package Code]]</f>
        <v>JOUR5004</v>
      </c>
      <c r="B175" s="1">
        <f>TableMCMMJRN[[#This Row],[Ver]]</f>
        <v>3</v>
      </c>
      <c r="D175" t="str">
        <f>TableMCMMJRN[[#This Row],[Structure Line]]</f>
        <v>Graduate Feature Journalism</v>
      </c>
      <c r="E175" s="95">
        <f>TableMCMMJRN[[#This Row],[Credit Points]]</f>
        <v>25</v>
      </c>
      <c r="F175">
        <v>6</v>
      </c>
      <c r="G175" t="s">
        <v>706</v>
      </c>
      <c r="H175">
        <v>1</v>
      </c>
      <c r="I175" t="s">
        <v>720</v>
      </c>
      <c r="J175" t="s">
        <v>307</v>
      </c>
      <c r="K175">
        <v>3</v>
      </c>
      <c r="L175" t="s">
        <v>510</v>
      </c>
      <c r="M175">
        <v>25</v>
      </c>
      <c r="N175" s="147">
        <v>45658</v>
      </c>
      <c r="O175" s="147"/>
      <c r="Q175" t="s">
        <v>307</v>
      </c>
      <c r="R175">
        <v>2</v>
      </c>
    </row>
    <row r="176" spans="1:18" x14ac:dyDescent="0.3">
      <c r="A176" t="str">
        <f>TableMCMMJRN[[#This Row],[Study Package Code]]</f>
        <v>JOUR5000</v>
      </c>
      <c r="B176" s="1">
        <f>TableMCMMJRN[[#This Row],[Ver]]</f>
        <v>4</v>
      </c>
      <c r="D176" t="str">
        <f>TableMCMMJRN[[#This Row],[Structure Line]]</f>
        <v>Graduate Media Law and Ethics</v>
      </c>
      <c r="E176" s="95">
        <f>TableMCMMJRN[[#This Row],[Credit Points]]</f>
        <v>25</v>
      </c>
      <c r="F176">
        <v>7</v>
      </c>
      <c r="G176" t="s">
        <v>706</v>
      </c>
      <c r="H176">
        <v>1</v>
      </c>
      <c r="I176" t="s">
        <v>720</v>
      </c>
      <c r="J176" t="s">
        <v>305</v>
      </c>
      <c r="K176">
        <v>4</v>
      </c>
      <c r="L176" t="s">
        <v>501</v>
      </c>
      <c r="M176">
        <v>25</v>
      </c>
      <c r="N176" s="147">
        <v>45658</v>
      </c>
      <c r="O176" s="147"/>
      <c r="Q176" t="s">
        <v>305</v>
      </c>
      <c r="R176">
        <v>3</v>
      </c>
    </row>
    <row r="177" spans="1:18" x14ac:dyDescent="0.3">
      <c r="A177" t="str">
        <f>TableMCMMJRN[[#This Row],[Study Package Code]]</f>
        <v>JOUR5010</v>
      </c>
      <c r="B177" s="1">
        <f>TableMCMMJRN[[#This Row],[Ver]]</f>
        <v>4</v>
      </c>
      <c r="D177" t="str">
        <f>TableMCMMJRN[[#This Row],[Structure Line]]</f>
        <v>Graduate Presentation for Broadcast</v>
      </c>
      <c r="E177" s="95">
        <f>TableMCMMJRN[[#This Row],[Credit Points]]</f>
        <v>25</v>
      </c>
      <c r="F177">
        <v>8</v>
      </c>
      <c r="G177" t="s">
        <v>706</v>
      </c>
      <c r="H177">
        <v>1</v>
      </c>
      <c r="I177" t="s">
        <v>720</v>
      </c>
      <c r="J177" t="s">
        <v>309</v>
      </c>
      <c r="K177">
        <v>4</v>
      </c>
      <c r="L177" t="s">
        <v>520</v>
      </c>
      <c r="M177">
        <v>25</v>
      </c>
      <c r="N177" s="147">
        <v>45658</v>
      </c>
      <c r="O177" s="147"/>
      <c r="Q177" t="s">
        <v>309</v>
      </c>
      <c r="R177">
        <v>3</v>
      </c>
    </row>
    <row r="178" spans="1:18" x14ac:dyDescent="0.3">
      <c r="A178" t="str">
        <f>TableMCMMJRN[[#This Row],[Study Package Code]]</f>
        <v>COMS6004</v>
      </c>
      <c r="B178" s="1">
        <f>TableMCMMJRN[[#This Row],[Ver]]</f>
        <v>2</v>
      </c>
      <c r="D178" t="str">
        <f>TableMCMMJRN[[#This Row],[Structure Line]]</f>
        <v>Masters Professional or Creative Project</v>
      </c>
      <c r="E178" s="95">
        <f>TableMCMMJRN[[#This Row],[Credit Points]]</f>
        <v>50</v>
      </c>
      <c r="F178">
        <v>9</v>
      </c>
      <c r="G178" t="s">
        <v>706</v>
      </c>
      <c r="H178">
        <v>2</v>
      </c>
      <c r="I178" t="s">
        <v>719</v>
      </c>
      <c r="J178" t="s">
        <v>155</v>
      </c>
      <c r="K178">
        <v>2</v>
      </c>
      <c r="L178" t="s">
        <v>439</v>
      </c>
      <c r="M178">
        <v>50</v>
      </c>
      <c r="N178" s="147">
        <v>45292</v>
      </c>
      <c r="O178" s="147"/>
      <c r="Q178" t="s">
        <v>155</v>
      </c>
      <c r="R178">
        <v>2</v>
      </c>
    </row>
    <row r="179" spans="1:18" x14ac:dyDescent="0.3">
      <c r="A179" t="str">
        <f>TableMCMMJRN[[#This Row],[Study Package Code]]</f>
        <v>JOUR6004</v>
      </c>
      <c r="B179" s="1">
        <f>TableMCMMJRN[[#This Row],[Ver]]</f>
        <v>3</v>
      </c>
      <c r="D179" t="str">
        <f>TableMCMMJRN[[#This Row],[Structure Line]]</f>
        <v>Graduate Multimedia News Production</v>
      </c>
      <c r="E179" s="95">
        <f>TableMCMMJRN[[#This Row],[Credit Points]]</f>
        <v>25</v>
      </c>
      <c r="F179">
        <v>10</v>
      </c>
      <c r="G179" t="s">
        <v>706</v>
      </c>
      <c r="H179">
        <v>2</v>
      </c>
      <c r="I179" t="s">
        <v>719</v>
      </c>
      <c r="J179" t="s">
        <v>312</v>
      </c>
      <c r="K179">
        <v>3</v>
      </c>
      <c r="L179" t="s">
        <v>525</v>
      </c>
      <c r="M179">
        <v>25</v>
      </c>
      <c r="N179" s="147">
        <v>45658</v>
      </c>
      <c r="O179" s="147"/>
      <c r="Q179" t="s">
        <v>312</v>
      </c>
      <c r="R179">
        <v>2</v>
      </c>
    </row>
    <row r="180" spans="1:18" x14ac:dyDescent="0.3">
      <c r="A180" t="str">
        <f>TableMCMMJRN[[#This Row],[Study Package Code]]</f>
        <v>AC-MMJRN</v>
      </c>
      <c r="B180" s="1">
        <f>TableMCMMJRN[[#This Row],[Ver]]</f>
        <v>0</v>
      </c>
      <c r="D180" t="str">
        <f>TableMCMMJRN[[#This Row],[Structure Line]]</f>
        <v>Choose JOUR5006 or NETS5004</v>
      </c>
      <c r="E180" s="95" t="str">
        <f>TableMCMMJRN[[#This Row],[Credit Points]]</f>
        <v/>
      </c>
      <c r="F180">
        <v>11</v>
      </c>
      <c r="G180" t="s">
        <v>708</v>
      </c>
      <c r="H180">
        <v>2</v>
      </c>
      <c r="I180" t="s">
        <v>719</v>
      </c>
      <c r="J180" t="s">
        <v>313</v>
      </c>
      <c r="K180">
        <v>0</v>
      </c>
      <c r="L180" t="s">
        <v>721</v>
      </c>
      <c r="M180" t="s">
        <v>704</v>
      </c>
      <c r="N180" s="147"/>
      <c r="O180" s="147"/>
      <c r="Q180" t="s">
        <v>313</v>
      </c>
      <c r="R180">
        <v>0</v>
      </c>
    </row>
    <row r="181" spans="1:18" x14ac:dyDescent="0.3">
      <c r="A181" t="str">
        <f>TableMCMMJRN[[#This Row],[Study Package Code]]</f>
        <v>JOUR5006</v>
      </c>
      <c r="B181" s="1">
        <f>TableMCMMJRN[[#This Row],[Ver]]</f>
        <v>4</v>
      </c>
      <c r="D181" t="str">
        <f>TableMCMMJRN[[#This Row],[Structure Line]]</f>
        <v>Graduate Journalism Industry Placement</v>
      </c>
      <c r="E181" s="95">
        <f>TableMCMMJRN[[#This Row],[Credit Points]]</f>
        <v>25</v>
      </c>
      <c r="F181">
        <v>11</v>
      </c>
      <c r="G181" t="s">
        <v>708</v>
      </c>
      <c r="H181">
        <v>2</v>
      </c>
      <c r="I181" t="s">
        <v>719</v>
      </c>
      <c r="J181" t="s">
        <v>318</v>
      </c>
      <c r="K181">
        <v>4</v>
      </c>
      <c r="L181" t="s">
        <v>516</v>
      </c>
      <c r="M181">
        <v>25</v>
      </c>
      <c r="N181" s="147">
        <v>45658</v>
      </c>
      <c r="O181" s="147"/>
      <c r="Q181" t="s">
        <v>318</v>
      </c>
      <c r="R181">
        <v>3</v>
      </c>
    </row>
    <row r="182" spans="1:18" x14ac:dyDescent="0.3">
      <c r="A182" t="str">
        <f>TableMCMMJRN[[#This Row],[Study Package Code]]</f>
        <v>NETS5004</v>
      </c>
      <c r="B182" s="1">
        <f>TableMCMMJRN[[#This Row],[Ver]]</f>
        <v>3</v>
      </c>
      <c r="D182" t="str">
        <f>TableMCMMJRN[[#This Row],[Structure Line]]</f>
        <v>Graduate Social Media, Communities and Networks</v>
      </c>
      <c r="E182" s="95">
        <f>TableMCMMJRN[[#This Row],[Credit Points]]</f>
        <v>25</v>
      </c>
      <c r="F182">
        <v>11</v>
      </c>
      <c r="G182" t="s">
        <v>708</v>
      </c>
      <c r="H182">
        <v>2</v>
      </c>
      <c r="I182" t="s">
        <v>719</v>
      </c>
      <c r="J182" t="s">
        <v>215</v>
      </c>
      <c r="K182">
        <v>3</v>
      </c>
      <c r="L182" t="s">
        <v>543</v>
      </c>
      <c r="M182">
        <v>25</v>
      </c>
      <c r="N182" s="147">
        <v>45658</v>
      </c>
      <c r="O182" s="147"/>
      <c r="Q182" t="s">
        <v>215</v>
      </c>
      <c r="R182">
        <v>2</v>
      </c>
    </row>
    <row r="183" spans="1:18" x14ac:dyDescent="0.3">
      <c r="B183"/>
      <c r="E183"/>
      <c r="F183" s="93"/>
      <c r="G183" s="94" t="s">
        <v>689</v>
      </c>
      <c r="H183" s="233">
        <v>44562</v>
      </c>
      <c r="I183" s="146" t="s">
        <v>723</v>
      </c>
      <c r="J183" s="230" t="s">
        <v>77</v>
      </c>
      <c r="K183" s="234" t="s">
        <v>71</v>
      </c>
      <c r="L183" s="146" t="s">
        <v>76</v>
      </c>
      <c r="M183" s="146"/>
      <c r="N183" s="180" t="s">
        <v>690</v>
      </c>
      <c r="O183" s="147">
        <v>45580</v>
      </c>
    </row>
    <row r="184" spans="1:18" x14ac:dyDescent="0.3">
      <c r="A184" t="s">
        <v>0</v>
      </c>
      <c r="B184" s="1" t="s">
        <v>691</v>
      </c>
      <c r="C184" t="s">
        <v>692</v>
      </c>
      <c r="D184" t="s">
        <v>3</v>
      </c>
      <c r="E184" s="95" t="s">
        <v>693</v>
      </c>
      <c r="F184" t="s">
        <v>694</v>
      </c>
      <c r="G184" t="s">
        <v>695</v>
      </c>
      <c r="H184" t="s">
        <v>696</v>
      </c>
      <c r="I184" t="s">
        <v>22</v>
      </c>
      <c r="J184" t="s">
        <v>697</v>
      </c>
      <c r="K184" t="s">
        <v>1</v>
      </c>
      <c r="L184" t="s">
        <v>698</v>
      </c>
      <c r="M184" t="s">
        <v>53</v>
      </c>
      <c r="N184" t="s">
        <v>699</v>
      </c>
      <c r="O184" t="s">
        <v>700</v>
      </c>
      <c r="Q184" t="s">
        <v>701</v>
      </c>
      <c r="R184" t="s">
        <v>1</v>
      </c>
    </row>
    <row r="185" spans="1:18" x14ac:dyDescent="0.3">
      <c r="A185" t="str">
        <f>TableGDMMJRN[[#This Row],[Study Package Code]]</f>
        <v>JOUR5003</v>
      </c>
      <c r="B185" s="1">
        <f>TableGDMMJRN[[#This Row],[Ver]]</f>
        <v>4</v>
      </c>
      <c r="D185" t="str">
        <f>TableGDMMJRN[[#This Row],[Structure Line]]</f>
        <v>Graduate News Writing and Reporting</v>
      </c>
      <c r="E185" s="95">
        <f>TableGDMMJRN[[#This Row],[Credit Points]]</f>
        <v>25</v>
      </c>
      <c r="F185">
        <v>1</v>
      </c>
      <c r="G185" t="s">
        <v>706</v>
      </c>
      <c r="H185">
        <v>1</v>
      </c>
      <c r="I185" t="s">
        <v>719</v>
      </c>
      <c r="J185" t="s">
        <v>301</v>
      </c>
      <c r="K185">
        <v>4</v>
      </c>
      <c r="L185" t="s">
        <v>507</v>
      </c>
      <c r="M185">
        <v>25</v>
      </c>
      <c r="N185" s="147">
        <v>45658</v>
      </c>
      <c r="O185" s="147"/>
      <c r="Q185" t="s">
        <v>301</v>
      </c>
      <c r="R185">
        <v>3</v>
      </c>
    </row>
    <row r="186" spans="1:18" x14ac:dyDescent="0.3">
      <c r="A186" t="str">
        <f>TableGDMMJRN[[#This Row],[Study Package Code]]</f>
        <v>JOUR5002</v>
      </c>
      <c r="B186" s="1">
        <f>TableGDMMJRN[[#This Row],[Ver]]</f>
        <v>4</v>
      </c>
      <c r="D186" t="str">
        <f>TableGDMMJRN[[#This Row],[Structure Line]]</f>
        <v>Graduate Radio News</v>
      </c>
      <c r="E186" s="95">
        <f>TableGDMMJRN[[#This Row],[Credit Points]]</f>
        <v>25</v>
      </c>
      <c r="F186">
        <v>2</v>
      </c>
      <c r="G186" t="s">
        <v>706</v>
      </c>
      <c r="H186">
        <v>1</v>
      </c>
      <c r="I186" t="s">
        <v>719</v>
      </c>
      <c r="J186" t="s">
        <v>302</v>
      </c>
      <c r="K186">
        <v>4</v>
      </c>
      <c r="L186" t="s">
        <v>504</v>
      </c>
      <c r="M186">
        <v>25</v>
      </c>
      <c r="N186" s="147">
        <v>45658</v>
      </c>
      <c r="O186" s="147"/>
      <c r="Q186" t="s">
        <v>302</v>
      </c>
      <c r="R186">
        <v>3</v>
      </c>
    </row>
    <row r="187" spans="1:18" x14ac:dyDescent="0.3">
      <c r="A187" t="str">
        <f>TableGDMMJRN[[#This Row],[Study Package Code]]</f>
        <v>JOUR5012</v>
      </c>
      <c r="B187" s="1">
        <f>TableGDMMJRN[[#This Row],[Ver]]</f>
        <v>3</v>
      </c>
      <c r="D187" t="str">
        <f>TableGDMMJRN[[#This Row],[Structure Line]]</f>
        <v>Understanding Journalism</v>
      </c>
      <c r="E187" s="95">
        <f>TableGDMMJRN[[#This Row],[Credit Points]]</f>
        <v>25</v>
      </c>
      <c r="F187">
        <v>3</v>
      </c>
      <c r="G187" t="s">
        <v>706</v>
      </c>
      <c r="H187">
        <v>1</v>
      </c>
      <c r="I187" t="s">
        <v>719</v>
      </c>
      <c r="J187" t="s">
        <v>304</v>
      </c>
      <c r="K187">
        <v>3</v>
      </c>
      <c r="L187" t="s">
        <v>523</v>
      </c>
      <c r="M187">
        <v>25</v>
      </c>
      <c r="N187" s="147">
        <v>44197</v>
      </c>
      <c r="O187" s="147"/>
      <c r="Q187" t="s">
        <v>304</v>
      </c>
      <c r="R187">
        <v>3</v>
      </c>
    </row>
    <row r="188" spans="1:18" x14ac:dyDescent="0.3">
      <c r="A188" t="str">
        <f>TableGDMMJRN[[#This Row],[Study Package Code]]</f>
        <v>JOUR5005</v>
      </c>
      <c r="B188" s="1">
        <f>TableGDMMJRN[[#This Row],[Ver]]</f>
        <v>4</v>
      </c>
      <c r="D188" t="str">
        <f>TableGDMMJRN[[#This Row],[Structure Line]]</f>
        <v>Graduate Video News</v>
      </c>
      <c r="E188" s="95">
        <f>TableGDMMJRN[[#This Row],[Credit Points]]</f>
        <v>25</v>
      </c>
      <c r="F188">
        <v>4</v>
      </c>
      <c r="G188" t="s">
        <v>706</v>
      </c>
      <c r="H188">
        <v>1</v>
      </c>
      <c r="I188" t="s">
        <v>719</v>
      </c>
      <c r="J188" t="s">
        <v>210</v>
      </c>
      <c r="K188">
        <v>4</v>
      </c>
      <c r="L188" t="s">
        <v>513</v>
      </c>
      <c r="M188">
        <v>25</v>
      </c>
      <c r="N188" s="147">
        <v>45658</v>
      </c>
      <c r="O188" s="147"/>
      <c r="Q188" t="s">
        <v>210</v>
      </c>
      <c r="R188">
        <v>3</v>
      </c>
    </row>
    <row r="189" spans="1:18" x14ac:dyDescent="0.3">
      <c r="A189" t="str">
        <f>TableGDMMJRN[[#This Row],[Study Package Code]]</f>
        <v>JOUR5016</v>
      </c>
      <c r="B189" s="1">
        <f>TableGDMMJRN[[#This Row],[Ver]]</f>
        <v>1</v>
      </c>
      <c r="D189" t="str">
        <f>TableGDMMJRN[[#This Row],[Structure Line]]</f>
        <v>Entrepreneurial Journalism</v>
      </c>
      <c r="E189" s="95">
        <f>TableGDMMJRN[[#This Row],[Credit Points]]</f>
        <v>25</v>
      </c>
      <c r="F189">
        <v>5</v>
      </c>
      <c r="G189" t="s">
        <v>706</v>
      </c>
      <c r="H189">
        <v>1</v>
      </c>
      <c r="I189" t="s">
        <v>720</v>
      </c>
      <c r="J189" t="s">
        <v>306</v>
      </c>
      <c r="K189">
        <v>1</v>
      </c>
      <c r="L189" t="s">
        <v>524</v>
      </c>
      <c r="M189">
        <v>25</v>
      </c>
      <c r="N189" s="147">
        <v>44197</v>
      </c>
      <c r="O189" s="147"/>
      <c r="Q189" t="s">
        <v>306</v>
      </c>
      <c r="R189">
        <v>1</v>
      </c>
    </row>
    <row r="190" spans="1:18" x14ac:dyDescent="0.3">
      <c r="A190" t="str">
        <f>TableGDMMJRN[[#This Row],[Study Package Code]]</f>
        <v>JOUR5004</v>
      </c>
      <c r="B190" s="1">
        <f>TableGDMMJRN[[#This Row],[Ver]]</f>
        <v>3</v>
      </c>
      <c r="D190" t="str">
        <f>TableGDMMJRN[[#This Row],[Structure Line]]</f>
        <v>Graduate Feature Journalism</v>
      </c>
      <c r="E190" s="95">
        <f>TableGDMMJRN[[#This Row],[Credit Points]]</f>
        <v>25</v>
      </c>
      <c r="F190">
        <v>6</v>
      </c>
      <c r="G190" t="s">
        <v>706</v>
      </c>
      <c r="H190">
        <v>1</v>
      </c>
      <c r="I190" t="s">
        <v>720</v>
      </c>
      <c r="J190" t="s">
        <v>307</v>
      </c>
      <c r="K190">
        <v>3</v>
      </c>
      <c r="L190" t="s">
        <v>510</v>
      </c>
      <c r="M190">
        <v>25</v>
      </c>
      <c r="N190" s="147">
        <v>45658</v>
      </c>
      <c r="O190" s="147"/>
      <c r="Q190" t="s">
        <v>307</v>
      </c>
      <c r="R190">
        <v>2</v>
      </c>
    </row>
    <row r="191" spans="1:18" x14ac:dyDescent="0.3">
      <c r="A191" t="str">
        <f>TableGDMMJRN[[#This Row],[Study Package Code]]</f>
        <v>JOUR5000</v>
      </c>
      <c r="B191" s="1">
        <f>TableGDMMJRN[[#This Row],[Ver]]</f>
        <v>4</v>
      </c>
      <c r="D191" t="str">
        <f>TableGDMMJRN[[#This Row],[Structure Line]]</f>
        <v>Graduate Media Law and Ethics</v>
      </c>
      <c r="E191" s="95">
        <f>TableGDMMJRN[[#This Row],[Credit Points]]</f>
        <v>25</v>
      </c>
      <c r="F191">
        <v>7</v>
      </c>
      <c r="G191" t="s">
        <v>706</v>
      </c>
      <c r="H191">
        <v>1</v>
      </c>
      <c r="I191" t="s">
        <v>720</v>
      </c>
      <c r="J191" t="s">
        <v>305</v>
      </c>
      <c r="K191">
        <v>4</v>
      </c>
      <c r="L191" t="s">
        <v>501</v>
      </c>
      <c r="M191">
        <v>25</v>
      </c>
      <c r="N191" s="147">
        <v>45658</v>
      </c>
      <c r="O191" s="147"/>
      <c r="Q191" t="s">
        <v>305</v>
      </c>
      <c r="R191">
        <v>3</v>
      </c>
    </row>
    <row r="192" spans="1:18" x14ac:dyDescent="0.3">
      <c r="A192" t="str">
        <f>TableGDMMJRN[[#This Row],[Study Package Code]]</f>
        <v>JOUR5010</v>
      </c>
      <c r="B192" s="1">
        <f>TableGDMMJRN[[#This Row],[Ver]]</f>
        <v>4</v>
      </c>
      <c r="D192" t="str">
        <f>TableGDMMJRN[[#This Row],[Structure Line]]</f>
        <v>Graduate Presentation for Broadcast</v>
      </c>
      <c r="E192" s="95">
        <f>TableGDMMJRN[[#This Row],[Credit Points]]</f>
        <v>25</v>
      </c>
      <c r="F192">
        <v>8</v>
      </c>
      <c r="G192" t="s">
        <v>706</v>
      </c>
      <c r="H192">
        <v>1</v>
      </c>
      <c r="I192" t="s">
        <v>720</v>
      </c>
      <c r="J192" t="s">
        <v>309</v>
      </c>
      <c r="K192">
        <v>4</v>
      </c>
      <c r="L192" t="s">
        <v>520</v>
      </c>
      <c r="M192">
        <v>25</v>
      </c>
      <c r="N192" s="147">
        <v>45658</v>
      </c>
      <c r="O192" s="147"/>
      <c r="Q192" t="s">
        <v>309</v>
      </c>
      <c r="R192">
        <v>3</v>
      </c>
    </row>
    <row r="193" spans="1:18" x14ac:dyDescent="0.3">
      <c r="B193"/>
      <c r="E193"/>
      <c r="F193" s="93"/>
      <c r="G193" s="94" t="s">
        <v>689</v>
      </c>
      <c r="H193" s="233">
        <v>44562</v>
      </c>
      <c r="I193" s="146"/>
      <c r="J193" s="230" t="s">
        <v>70</v>
      </c>
      <c r="K193" s="234" t="s">
        <v>71</v>
      </c>
      <c r="L193" s="146" t="s">
        <v>69</v>
      </c>
      <c r="M193" s="146"/>
      <c r="N193" s="180" t="s">
        <v>690</v>
      </c>
      <c r="O193" s="147">
        <v>45580</v>
      </c>
    </row>
    <row r="194" spans="1:18" x14ac:dyDescent="0.3">
      <c r="A194" t="s">
        <v>0</v>
      </c>
      <c r="B194" s="1" t="s">
        <v>691</v>
      </c>
      <c r="C194" t="s">
        <v>692</v>
      </c>
      <c r="D194" t="s">
        <v>3</v>
      </c>
      <c r="E194" s="95" t="s">
        <v>693</v>
      </c>
      <c r="F194" t="s">
        <v>694</v>
      </c>
      <c r="G194" t="s">
        <v>695</v>
      </c>
      <c r="H194" t="s">
        <v>696</v>
      </c>
      <c r="I194" t="s">
        <v>22</v>
      </c>
      <c r="J194" t="s">
        <v>697</v>
      </c>
      <c r="K194" t="s">
        <v>1</v>
      </c>
      <c r="L194" t="s">
        <v>698</v>
      </c>
      <c r="M194" t="s">
        <v>53</v>
      </c>
      <c r="N194" t="s">
        <v>699</v>
      </c>
      <c r="O194" t="s">
        <v>700</v>
      </c>
      <c r="Q194" t="s">
        <v>701</v>
      </c>
      <c r="R194" t="s">
        <v>1</v>
      </c>
    </row>
    <row r="195" spans="1:18" x14ac:dyDescent="0.3">
      <c r="A195" t="str">
        <f>TableGCMMJRN[[#This Row],[Study Package Code]]</f>
        <v>JOUR5003</v>
      </c>
      <c r="B195" s="1">
        <f>TableGCMMJRN[[#This Row],[Ver]]</f>
        <v>4</v>
      </c>
      <c r="D195" t="str">
        <f>TableGCMMJRN[[#This Row],[Structure Line]]</f>
        <v>Graduate News Writing and Reporting</v>
      </c>
      <c r="E195" s="95">
        <f>TableGCMMJRN[[#This Row],[Credit Points]]</f>
        <v>25</v>
      </c>
      <c r="F195">
        <v>1</v>
      </c>
      <c r="G195" t="s">
        <v>706</v>
      </c>
      <c r="H195">
        <v>1</v>
      </c>
      <c r="I195" t="s">
        <v>719</v>
      </c>
      <c r="J195" t="s">
        <v>301</v>
      </c>
      <c r="K195">
        <v>4</v>
      </c>
      <c r="L195" t="s">
        <v>507</v>
      </c>
      <c r="M195">
        <v>25</v>
      </c>
      <c r="N195" s="147">
        <v>45658</v>
      </c>
      <c r="O195" s="147"/>
      <c r="Q195" t="s">
        <v>301</v>
      </c>
      <c r="R195">
        <v>3</v>
      </c>
    </row>
    <row r="196" spans="1:18" x14ac:dyDescent="0.3">
      <c r="A196" t="str">
        <f>TableGCMMJRN[[#This Row],[Study Package Code]]</f>
        <v>JOUR5002</v>
      </c>
      <c r="B196" s="1">
        <f>TableGCMMJRN[[#This Row],[Ver]]</f>
        <v>4</v>
      </c>
      <c r="D196" t="str">
        <f>TableGCMMJRN[[#This Row],[Structure Line]]</f>
        <v>Graduate Radio News</v>
      </c>
      <c r="E196" s="95">
        <f>TableGCMMJRN[[#This Row],[Credit Points]]</f>
        <v>25</v>
      </c>
      <c r="F196">
        <v>2</v>
      </c>
      <c r="G196" t="s">
        <v>706</v>
      </c>
      <c r="H196">
        <v>1</v>
      </c>
      <c r="I196" t="s">
        <v>719</v>
      </c>
      <c r="J196" t="s">
        <v>302</v>
      </c>
      <c r="K196">
        <v>4</v>
      </c>
      <c r="L196" t="s">
        <v>504</v>
      </c>
      <c r="M196">
        <v>25</v>
      </c>
      <c r="N196" s="147">
        <v>45658</v>
      </c>
      <c r="O196" s="147"/>
      <c r="Q196" t="s">
        <v>302</v>
      </c>
      <c r="R196">
        <v>3</v>
      </c>
    </row>
    <row r="197" spans="1:18" x14ac:dyDescent="0.3">
      <c r="A197" t="str">
        <f>TableGCMMJRN[[#This Row],[Study Package Code]]</f>
        <v>JOUR5012</v>
      </c>
      <c r="B197" s="1">
        <f>TableGCMMJRN[[#This Row],[Ver]]</f>
        <v>3</v>
      </c>
      <c r="D197" t="str">
        <f>TableGCMMJRN[[#This Row],[Structure Line]]</f>
        <v>Understanding Journalism</v>
      </c>
      <c r="E197" s="95">
        <f>TableGCMMJRN[[#This Row],[Credit Points]]</f>
        <v>25</v>
      </c>
      <c r="F197">
        <v>3</v>
      </c>
      <c r="G197" t="s">
        <v>706</v>
      </c>
      <c r="H197">
        <v>1</v>
      </c>
      <c r="I197" t="s">
        <v>719</v>
      </c>
      <c r="J197" t="s">
        <v>304</v>
      </c>
      <c r="K197">
        <v>3</v>
      </c>
      <c r="L197" t="s">
        <v>523</v>
      </c>
      <c r="M197">
        <v>25</v>
      </c>
      <c r="N197" s="147">
        <v>44197</v>
      </c>
      <c r="O197" s="147"/>
      <c r="Q197" t="s">
        <v>304</v>
      </c>
      <c r="R197">
        <v>3</v>
      </c>
    </row>
    <row r="198" spans="1:18" x14ac:dyDescent="0.3">
      <c r="A198" t="str">
        <f>TableGCMMJRN[[#This Row],[Study Package Code]]</f>
        <v>JOUR5005</v>
      </c>
      <c r="B198" s="1">
        <f>TableGCMMJRN[[#This Row],[Ver]]</f>
        <v>4</v>
      </c>
      <c r="D198" t="str">
        <f>TableGCMMJRN[[#This Row],[Structure Line]]</f>
        <v>Graduate Video News</v>
      </c>
      <c r="E198" s="95">
        <f>TableGCMMJRN[[#This Row],[Credit Points]]</f>
        <v>25</v>
      </c>
      <c r="F198">
        <v>4</v>
      </c>
      <c r="G198" t="s">
        <v>706</v>
      </c>
      <c r="H198">
        <v>1</v>
      </c>
      <c r="I198" t="s">
        <v>719</v>
      </c>
      <c r="J198" t="s">
        <v>210</v>
      </c>
      <c r="K198">
        <v>4</v>
      </c>
      <c r="L198" t="s">
        <v>513</v>
      </c>
      <c r="M198">
        <v>25</v>
      </c>
      <c r="N198" s="147">
        <v>45658</v>
      </c>
      <c r="O198" s="147"/>
      <c r="Q198" t="s">
        <v>210</v>
      </c>
      <c r="R198">
        <v>3</v>
      </c>
    </row>
    <row r="200" spans="1:18" x14ac:dyDescent="0.3">
      <c r="B200"/>
      <c r="E200"/>
      <c r="F200" s="93"/>
      <c r="G200" s="94" t="s">
        <v>689</v>
      </c>
      <c r="H200" s="233">
        <v>45292</v>
      </c>
      <c r="I200" s="146"/>
      <c r="J200" s="230" t="s">
        <v>104</v>
      </c>
      <c r="K200" s="234" t="s">
        <v>87</v>
      </c>
      <c r="L200" s="146" t="s">
        <v>103</v>
      </c>
      <c r="N200" s="180" t="s">
        <v>690</v>
      </c>
      <c r="O200" s="147">
        <v>45580</v>
      </c>
    </row>
    <row r="201" spans="1:18" x14ac:dyDescent="0.3">
      <c r="A201" t="s">
        <v>0</v>
      </c>
      <c r="B201" s="1" t="s">
        <v>691</v>
      </c>
      <c r="C201" t="s">
        <v>692</v>
      </c>
      <c r="D201" t="s">
        <v>3</v>
      </c>
      <c r="E201" s="95" t="s">
        <v>693</v>
      </c>
      <c r="F201" t="s">
        <v>694</v>
      </c>
      <c r="G201" t="s">
        <v>695</v>
      </c>
      <c r="H201" t="s">
        <v>696</v>
      </c>
      <c r="I201" t="s">
        <v>22</v>
      </c>
      <c r="J201" t="s">
        <v>697</v>
      </c>
      <c r="K201" t="s">
        <v>1</v>
      </c>
      <c r="L201" t="s">
        <v>698</v>
      </c>
      <c r="M201" t="s">
        <v>53</v>
      </c>
      <c r="N201" t="s">
        <v>699</v>
      </c>
      <c r="O201" t="s">
        <v>700</v>
      </c>
      <c r="Q201" t="s">
        <v>701</v>
      </c>
      <c r="R201" t="s">
        <v>1</v>
      </c>
    </row>
    <row r="202" spans="1:18" x14ac:dyDescent="0.3">
      <c r="A202" t="str">
        <f>TableMCHRIGLO[[#This Row],[Study Package Code]]</f>
        <v>HRIG5003</v>
      </c>
      <c r="B202" s="1">
        <f>TableMCHRIGLO[[#This Row],[Ver]]</f>
        <v>2</v>
      </c>
      <c r="D202" t="str">
        <f>TableMCHRIGLO[[#This Row],[Structure Line]]</f>
        <v>Activism, Advocacy and Change</v>
      </c>
      <c r="E202" s="95">
        <f>TableMCHRIGLO[[#This Row],[Credit Points]]</f>
        <v>25</v>
      </c>
      <c r="F202">
        <v>1</v>
      </c>
      <c r="G202" t="s">
        <v>706</v>
      </c>
      <c r="H202">
        <v>1</v>
      </c>
      <c r="I202" t="s">
        <v>703</v>
      </c>
      <c r="J202" t="s">
        <v>274</v>
      </c>
      <c r="K202">
        <v>2</v>
      </c>
      <c r="L202" t="s">
        <v>476</v>
      </c>
      <c r="M202">
        <v>25</v>
      </c>
      <c r="N202" s="147">
        <v>45292</v>
      </c>
      <c r="O202" s="147"/>
      <c r="Q202" t="s">
        <v>274</v>
      </c>
      <c r="R202">
        <v>2</v>
      </c>
    </row>
    <row r="203" spans="1:18" x14ac:dyDescent="0.3">
      <c r="A203" t="str">
        <f>TableMCHRIGLO[[#This Row],[Study Package Code]]</f>
        <v>HRIG5000</v>
      </c>
      <c r="B203" s="1">
        <f>TableMCHRIGLO[[#This Row],[Ver]]</f>
        <v>2</v>
      </c>
      <c r="D203" t="str">
        <f>TableMCHRIGLO[[#This Row],[Structure Line]]</f>
        <v>Human Rights Education in Practice</v>
      </c>
      <c r="E203" s="95">
        <f>TableMCHRIGLO[[#This Row],[Credit Points]]</f>
        <v>25</v>
      </c>
      <c r="F203">
        <v>2</v>
      </c>
      <c r="G203" t="s">
        <v>706</v>
      </c>
      <c r="H203">
        <v>1</v>
      </c>
      <c r="I203" t="s">
        <v>703</v>
      </c>
      <c r="J203" t="s">
        <v>272</v>
      </c>
      <c r="K203">
        <v>2</v>
      </c>
      <c r="L203" t="s">
        <v>473</v>
      </c>
      <c r="M203">
        <v>25</v>
      </c>
      <c r="N203" s="147">
        <v>45292</v>
      </c>
      <c r="O203" s="147"/>
      <c r="Q203" t="s">
        <v>272</v>
      </c>
      <c r="R203">
        <v>2</v>
      </c>
    </row>
    <row r="204" spans="1:18" x14ac:dyDescent="0.3">
      <c r="A204" t="str">
        <f>TableMCHRIGLO[[#This Row],[Study Package Code]]</f>
        <v>GLBL5000</v>
      </c>
      <c r="B204" s="1">
        <f>TableMCHRIGLO[[#This Row],[Ver]]</f>
        <v>1</v>
      </c>
      <c r="D204" t="str">
        <f>TableMCHRIGLO[[#This Row],[Structure Line]]</f>
        <v>Engaging Cultural Diversity</v>
      </c>
      <c r="E204" s="95">
        <f>TableMCHRIGLO[[#This Row],[Credit Points]]</f>
        <v>25</v>
      </c>
      <c r="F204">
        <v>3</v>
      </c>
      <c r="G204" t="s">
        <v>706</v>
      </c>
      <c r="H204">
        <v>1</v>
      </c>
      <c r="I204" t="s">
        <v>703</v>
      </c>
      <c r="J204" t="s">
        <v>275</v>
      </c>
      <c r="K204">
        <v>1</v>
      </c>
      <c r="L204" t="s">
        <v>466</v>
      </c>
      <c r="M204">
        <v>25</v>
      </c>
      <c r="N204" s="147">
        <v>45108</v>
      </c>
      <c r="O204" s="147"/>
      <c r="Q204" t="s">
        <v>275</v>
      </c>
      <c r="R204">
        <v>1</v>
      </c>
    </row>
    <row r="205" spans="1:18" x14ac:dyDescent="0.3">
      <c r="A205" t="str">
        <f>TableMCHRIGLO[[#This Row],[Study Package Code]]</f>
        <v>GLBL5001</v>
      </c>
      <c r="B205" s="1">
        <f>TableMCHRIGLO[[#This Row],[Ver]]</f>
        <v>1</v>
      </c>
      <c r="D205" t="str">
        <f>TableMCHRIGLO[[#This Row],[Structure Line]]</f>
        <v>Global Futures and Just Transformations</v>
      </c>
      <c r="E205" s="95">
        <f>TableMCHRIGLO[[#This Row],[Credit Points]]</f>
        <v>25</v>
      </c>
      <c r="F205">
        <v>4</v>
      </c>
      <c r="G205" t="s">
        <v>706</v>
      </c>
      <c r="H205">
        <v>1</v>
      </c>
      <c r="I205" t="s">
        <v>703</v>
      </c>
      <c r="J205" t="s">
        <v>277</v>
      </c>
      <c r="K205">
        <v>1</v>
      </c>
      <c r="L205" t="s">
        <v>467</v>
      </c>
      <c r="M205">
        <v>25</v>
      </c>
      <c r="N205" s="147">
        <v>45108</v>
      </c>
      <c r="O205" s="147"/>
      <c r="Q205" t="s">
        <v>277</v>
      </c>
      <c r="R205">
        <v>1</v>
      </c>
    </row>
    <row r="206" spans="1:18" x14ac:dyDescent="0.3">
      <c r="A206" t="str">
        <f>TableMCHRIGLO[[#This Row],[Study Package Code]]</f>
        <v>HRIG5014</v>
      </c>
      <c r="B206" s="1">
        <f>TableMCHRIGLO[[#This Row],[Ver]]</f>
        <v>2</v>
      </c>
      <c r="D206" t="str">
        <f>TableMCHRIGLO[[#This Row],[Structure Line]]</f>
        <v>Dialogue across Cultures and Religions</v>
      </c>
      <c r="E206" s="95">
        <f>TableMCHRIGLO[[#This Row],[Credit Points]]</f>
        <v>25</v>
      </c>
      <c r="F206">
        <v>5</v>
      </c>
      <c r="G206" t="s">
        <v>706</v>
      </c>
      <c r="H206">
        <v>1</v>
      </c>
      <c r="I206" t="s">
        <v>703</v>
      </c>
      <c r="J206" t="s">
        <v>270</v>
      </c>
      <c r="K206">
        <v>2</v>
      </c>
      <c r="L206" t="s">
        <v>480</v>
      </c>
      <c r="M206">
        <v>25</v>
      </c>
      <c r="N206" s="147">
        <v>45292</v>
      </c>
      <c r="O206" s="147"/>
      <c r="Q206" t="s">
        <v>270</v>
      </c>
      <c r="R206">
        <v>2</v>
      </c>
    </row>
    <row r="207" spans="1:18" x14ac:dyDescent="0.3">
      <c r="A207" t="str">
        <f>TableMCHRIGLO[[#This Row],[Study Package Code]]</f>
        <v>HRIG5013</v>
      </c>
      <c r="B207" s="1">
        <f>TableMCHRIGLO[[#This Row],[Ver]]</f>
        <v>2</v>
      </c>
      <c r="D207" t="str">
        <f>TableMCHRIGLO[[#This Row],[Structure Line]]</f>
        <v>Introduction to Human Rights and Social Justice</v>
      </c>
      <c r="E207" s="95">
        <f>TableMCHRIGLO[[#This Row],[Credit Points]]</f>
        <v>25</v>
      </c>
      <c r="F207">
        <v>6</v>
      </c>
      <c r="G207" t="s">
        <v>706</v>
      </c>
      <c r="H207">
        <v>1</v>
      </c>
      <c r="I207" t="s">
        <v>703</v>
      </c>
      <c r="J207" t="s">
        <v>271</v>
      </c>
      <c r="K207">
        <v>2</v>
      </c>
      <c r="L207" t="s">
        <v>479</v>
      </c>
      <c r="M207">
        <v>25</v>
      </c>
      <c r="N207" s="147">
        <v>45292</v>
      </c>
      <c r="O207" s="147"/>
      <c r="Q207" t="s">
        <v>271</v>
      </c>
      <c r="R207">
        <v>2</v>
      </c>
    </row>
    <row r="208" spans="1:18" x14ac:dyDescent="0.3">
      <c r="A208" t="str">
        <f>TableMCHRIGLO[[#This Row],[Study Package Code]]</f>
        <v>HRIG5001</v>
      </c>
      <c r="B208" s="1">
        <f>TableMCHRIGLO[[#This Row],[Ver]]</f>
        <v>2</v>
      </c>
      <c r="D208" t="str">
        <f>TableMCHRIGLO[[#This Row],[Structure Line]]</f>
        <v>Social Justice and Development</v>
      </c>
      <c r="E208" s="95">
        <f>TableMCHRIGLO[[#This Row],[Credit Points]]</f>
        <v>25</v>
      </c>
      <c r="F208">
        <v>7</v>
      </c>
      <c r="G208" t="s">
        <v>706</v>
      </c>
      <c r="H208">
        <v>1</v>
      </c>
      <c r="I208" t="s">
        <v>703</v>
      </c>
      <c r="J208" t="s">
        <v>273</v>
      </c>
      <c r="K208">
        <v>2</v>
      </c>
      <c r="L208" t="s">
        <v>474</v>
      </c>
      <c r="M208">
        <v>25</v>
      </c>
      <c r="N208" s="147">
        <v>45292</v>
      </c>
      <c r="O208" s="147"/>
      <c r="Q208" t="s">
        <v>273</v>
      </c>
      <c r="R208">
        <v>2</v>
      </c>
    </row>
    <row r="209" spans="1:18" x14ac:dyDescent="0.3">
      <c r="A209" t="str">
        <f>TableMCHRIGLO[[#This Row],[Study Package Code]]</f>
        <v>GLBL5002</v>
      </c>
      <c r="B209" s="1">
        <f>TableMCHRIGLO[[#This Row],[Ver]]</f>
        <v>1</v>
      </c>
      <c r="D209" t="str">
        <f>TableMCHRIGLO[[#This Row],[Structure Line]]</f>
        <v>Engaging Africa</v>
      </c>
      <c r="E209" s="95">
        <f>TableMCHRIGLO[[#This Row],[Credit Points]]</f>
        <v>25</v>
      </c>
      <c r="F209">
        <v>8</v>
      </c>
      <c r="G209" t="s">
        <v>706</v>
      </c>
      <c r="H209">
        <v>2</v>
      </c>
      <c r="I209" t="s">
        <v>703</v>
      </c>
      <c r="J209" t="s">
        <v>282</v>
      </c>
      <c r="K209">
        <v>1</v>
      </c>
      <c r="L209" t="s">
        <v>468</v>
      </c>
      <c r="M209">
        <v>25</v>
      </c>
      <c r="N209" s="147">
        <v>45108</v>
      </c>
      <c r="O209" s="147"/>
      <c r="Q209" t="s">
        <v>282</v>
      </c>
      <c r="R209">
        <v>1</v>
      </c>
    </row>
    <row r="210" spans="1:18" x14ac:dyDescent="0.3">
      <c r="A210" t="str">
        <f>TableMCHRIGLO[[#This Row],[Study Package Code]]</f>
        <v>GLBL5003</v>
      </c>
      <c r="B210" s="1">
        <f>TableMCHRIGLO[[#This Row],[Ver]]</f>
        <v>1</v>
      </c>
      <c r="D210" t="str">
        <f>TableMCHRIGLO[[#This Row],[Structure Line]]</f>
        <v>Engaging Asia</v>
      </c>
      <c r="E210" s="95">
        <f>TableMCHRIGLO[[#This Row],[Credit Points]]</f>
        <v>25</v>
      </c>
      <c r="F210">
        <v>9</v>
      </c>
      <c r="G210" t="s">
        <v>706</v>
      </c>
      <c r="H210">
        <v>2</v>
      </c>
      <c r="I210" t="s">
        <v>703</v>
      </c>
      <c r="J210" t="s">
        <v>283</v>
      </c>
      <c r="K210">
        <v>1</v>
      </c>
      <c r="L210" t="s">
        <v>469</v>
      </c>
      <c r="M210">
        <v>25</v>
      </c>
      <c r="N210" s="147">
        <v>45108</v>
      </c>
      <c r="O210" s="147"/>
      <c r="Q210" t="s">
        <v>283</v>
      </c>
      <c r="R210">
        <v>1</v>
      </c>
    </row>
    <row r="211" spans="1:18" x14ac:dyDescent="0.3">
      <c r="A211" t="str">
        <f>TableMCHRIGLO[[#This Row],[Study Package Code]]</f>
        <v>HRIG5002</v>
      </c>
      <c r="B211" s="1">
        <f>TableMCHRIGLO[[#This Row],[Ver]]</f>
        <v>2</v>
      </c>
      <c r="D211" t="str">
        <f>TableMCHRIGLO[[#This Row],[Structure Line]]</f>
        <v>International Human Rights Law and Practice</v>
      </c>
      <c r="E211" s="95">
        <f>TableMCHRIGLO[[#This Row],[Credit Points]]</f>
        <v>25</v>
      </c>
      <c r="F211">
        <v>10</v>
      </c>
      <c r="G211" t="s">
        <v>706</v>
      </c>
      <c r="H211">
        <v>2</v>
      </c>
      <c r="I211" t="s">
        <v>703</v>
      </c>
      <c r="J211" t="s">
        <v>281</v>
      </c>
      <c r="K211">
        <v>2</v>
      </c>
      <c r="L211" t="s">
        <v>475</v>
      </c>
      <c r="M211">
        <v>25</v>
      </c>
      <c r="N211" s="147">
        <v>45292</v>
      </c>
      <c r="O211" s="147"/>
      <c r="Q211" t="s">
        <v>281</v>
      </c>
      <c r="R211">
        <v>2</v>
      </c>
    </row>
    <row r="212" spans="1:18" x14ac:dyDescent="0.3">
      <c r="A212" t="str">
        <f>TableMCHRIGLO[[#This Row],[Study Package Code]]</f>
        <v>AC-HRIGLO1</v>
      </c>
      <c r="B212" s="1">
        <f>TableMCHRIGLO[[#This Row],[Ver]]</f>
        <v>0</v>
      </c>
      <c r="D212" t="str">
        <f>TableMCHRIGLO[[#This Row],[Structure Line]]</f>
        <v>Choose HUMN6001 or COMS6004</v>
      </c>
      <c r="E212" s="95">
        <f>TableMCHRIGLO[[#This Row],[Credit Points]]</f>
        <v>50</v>
      </c>
      <c r="F212">
        <v>11</v>
      </c>
      <c r="G212" t="s">
        <v>702</v>
      </c>
      <c r="H212">
        <v>2</v>
      </c>
      <c r="I212" t="s">
        <v>703</v>
      </c>
      <c r="J212" t="s">
        <v>285</v>
      </c>
      <c r="K212">
        <v>0</v>
      </c>
      <c r="L212" t="s">
        <v>724</v>
      </c>
      <c r="M212">
        <v>50</v>
      </c>
      <c r="N212" s="147"/>
      <c r="O212" s="147"/>
      <c r="Q212" t="s">
        <v>285</v>
      </c>
      <c r="R212">
        <v>0</v>
      </c>
    </row>
    <row r="213" spans="1:18" x14ac:dyDescent="0.3">
      <c r="A213" t="str">
        <f>TableMCHRIGLO[[#This Row],[Study Package Code]]</f>
        <v>AC-HRIGLO2</v>
      </c>
      <c r="B213" s="1">
        <f>TableMCHRIGLO[[#This Row],[Ver]]</f>
        <v>0</v>
      </c>
      <c r="D213" t="str">
        <f>TableMCHRIGLO[[#This Row],[Structure Line]]</f>
        <v>Choose HUMN6003 or COMS6002</v>
      </c>
      <c r="E213" s="95">
        <f>TableMCHRIGLO[[#This Row],[Credit Points]]</f>
        <v>50</v>
      </c>
      <c r="F213">
        <v>12</v>
      </c>
      <c r="G213" t="s">
        <v>702</v>
      </c>
      <c r="H213">
        <v>2</v>
      </c>
      <c r="I213" t="s">
        <v>703</v>
      </c>
      <c r="J213" t="s">
        <v>286</v>
      </c>
      <c r="K213">
        <v>0</v>
      </c>
      <c r="L213" t="s">
        <v>725</v>
      </c>
      <c r="M213">
        <v>50</v>
      </c>
      <c r="N213" s="147"/>
      <c r="O213" s="147"/>
      <c r="Q213" t="s">
        <v>286</v>
      </c>
      <c r="R213">
        <v>0</v>
      </c>
    </row>
    <row r="214" spans="1:18" x14ac:dyDescent="0.3">
      <c r="A214" t="str">
        <f>TableMCHRIGLO[[#This Row],[Study Package Code]]</f>
        <v>Elective</v>
      </c>
      <c r="B214" s="1">
        <f>TableMCHRIGLO[[#This Row],[Ver]]</f>
        <v>0</v>
      </c>
      <c r="D214" t="str">
        <f>TableMCHRIGLO[[#This Row],[Structure Line]]</f>
        <v>Choose Electives</v>
      </c>
      <c r="E214" s="95">
        <f>TableMCHRIGLO[[#This Row],[Credit Points]]</f>
        <v>50</v>
      </c>
      <c r="F214">
        <v>13</v>
      </c>
      <c r="G214" t="s">
        <v>276</v>
      </c>
      <c r="H214">
        <v>0</v>
      </c>
      <c r="I214" t="s">
        <v>703</v>
      </c>
      <c r="J214" t="s">
        <v>276</v>
      </c>
      <c r="K214">
        <v>0</v>
      </c>
      <c r="L214" t="s">
        <v>726</v>
      </c>
      <c r="M214">
        <v>50</v>
      </c>
      <c r="N214" s="147"/>
      <c r="O214" s="147"/>
      <c r="Q214" t="s">
        <v>276</v>
      </c>
      <c r="R214">
        <v>0</v>
      </c>
    </row>
    <row r="215" spans="1:18" x14ac:dyDescent="0.3">
      <c r="A215" t="str">
        <f>TableMCHRIGLO[[#This Row],[Study Package Code]]</f>
        <v>COMS6004</v>
      </c>
      <c r="B215" s="1">
        <f>TableMCHRIGLO[[#This Row],[Ver]]</f>
        <v>2</v>
      </c>
      <c r="D215" t="str">
        <f>TableMCHRIGLO[[#This Row],[Structure Line]]</f>
        <v>Masters Professional or Creative Project</v>
      </c>
      <c r="E215" s="95">
        <f>TableMCHRIGLO[[#This Row],[Credit Points]]</f>
        <v>50</v>
      </c>
      <c r="F215">
        <v>11</v>
      </c>
      <c r="G215" t="s">
        <v>706</v>
      </c>
      <c r="H215">
        <v>2</v>
      </c>
      <c r="I215" t="s">
        <v>703</v>
      </c>
      <c r="J215" t="s">
        <v>155</v>
      </c>
      <c r="K215">
        <v>2</v>
      </c>
      <c r="L215" t="s">
        <v>439</v>
      </c>
      <c r="M215">
        <v>50</v>
      </c>
      <c r="N215" s="147">
        <v>45292</v>
      </c>
      <c r="O215" s="147"/>
      <c r="Q215" t="s">
        <v>155</v>
      </c>
      <c r="R215">
        <v>2</v>
      </c>
    </row>
    <row r="216" spans="1:18" x14ac:dyDescent="0.3">
      <c r="A216" t="str">
        <f>TableMCHRIGLO[[#This Row],[Study Package Code]]</f>
        <v>HUMN6001</v>
      </c>
      <c r="B216" s="1">
        <f>TableMCHRIGLO[[#This Row],[Ver]]</f>
        <v>1</v>
      </c>
      <c r="D216" t="str">
        <f>TableMCHRIGLO[[#This Row],[Structure Line]]</f>
        <v>Masters Research Project 1</v>
      </c>
      <c r="E216" s="95">
        <f>TableMCHRIGLO[[#This Row],[Credit Points]]</f>
        <v>50</v>
      </c>
      <c r="F216">
        <v>11</v>
      </c>
      <c r="G216" t="s">
        <v>706</v>
      </c>
      <c r="H216">
        <v>2</v>
      </c>
      <c r="I216" t="s">
        <v>703</v>
      </c>
      <c r="J216" t="s">
        <v>181</v>
      </c>
      <c r="K216">
        <v>1</v>
      </c>
      <c r="L216" t="s">
        <v>711</v>
      </c>
      <c r="M216">
        <v>50</v>
      </c>
      <c r="N216" s="147">
        <v>45292</v>
      </c>
      <c r="O216" s="147"/>
      <c r="Q216" t="s">
        <v>181</v>
      </c>
      <c r="R216">
        <v>1</v>
      </c>
    </row>
    <row r="217" spans="1:18" x14ac:dyDescent="0.3">
      <c r="A217" t="str">
        <f>TableMCHRIGLO[[#This Row],[Study Package Code]]</f>
        <v>COMS6002</v>
      </c>
      <c r="B217" s="1">
        <f>TableMCHRIGLO[[#This Row],[Ver]]</f>
        <v>3</v>
      </c>
      <c r="D217" t="str">
        <f>TableMCHRIGLO[[#This Row],[Structure Line]]</f>
        <v>Masters Professional Experience</v>
      </c>
      <c r="E217" s="95">
        <f>TableMCHRIGLO[[#This Row],[Credit Points]]</f>
        <v>50</v>
      </c>
      <c r="F217">
        <v>12</v>
      </c>
      <c r="G217" t="s">
        <v>702</v>
      </c>
      <c r="H217">
        <v>2</v>
      </c>
      <c r="I217" t="s">
        <v>703</v>
      </c>
      <c r="J217" t="s">
        <v>177</v>
      </c>
      <c r="K217">
        <v>3</v>
      </c>
      <c r="L217" t="s">
        <v>437</v>
      </c>
      <c r="M217">
        <v>50</v>
      </c>
      <c r="N217" s="147">
        <v>45292</v>
      </c>
      <c r="O217" s="147"/>
      <c r="Q217" t="s">
        <v>177</v>
      </c>
      <c r="R217">
        <v>3</v>
      </c>
    </row>
    <row r="218" spans="1:18" x14ac:dyDescent="0.3">
      <c r="A218" t="str">
        <f>TableMCHRIGLO[[#This Row],[Study Package Code]]</f>
        <v>HUMN6003</v>
      </c>
      <c r="B218" s="1">
        <f>TableMCHRIGLO[[#This Row],[Ver]]</f>
        <v>1</v>
      </c>
      <c r="D218" t="str">
        <f>TableMCHRIGLO[[#This Row],[Structure Line]]</f>
        <v>Masters Research Project 2</v>
      </c>
      <c r="E218" s="95">
        <f>TableMCHRIGLO[[#This Row],[Credit Points]]</f>
        <v>50</v>
      </c>
      <c r="F218">
        <v>12</v>
      </c>
      <c r="G218" t="s">
        <v>702</v>
      </c>
      <c r="H218">
        <v>2</v>
      </c>
      <c r="I218" t="s">
        <v>703</v>
      </c>
      <c r="J218" t="s">
        <v>161</v>
      </c>
      <c r="K218">
        <v>1</v>
      </c>
      <c r="L218" t="s">
        <v>710</v>
      </c>
      <c r="M218">
        <v>50</v>
      </c>
      <c r="N218" s="147">
        <v>45292</v>
      </c>
      <c r="O218" s="147"/>
      <c r="Q218" t="s">
        <v>161</v>
      </c>
      <c r="R218">
        <v>1</v>
      </c>
    </row>
    <row r="219" spans="1:18" x14ac:dyDescent="0.3">
      <c r="B219"/>
      <c r="E219"/>
      <c r="F219" s="93"/>
      <c r="G219" s="94" t="s">
        <v>689</v>
      </c>
      <c r="H219" s="233">
        <v>45292</v>
      </c>
      <c r="I219" s="146"/>
      <c r="J219" s="230" t="s">
        <v>96</v>
      </c>
      <c r="K219" s="234" t="s">
        <v>71</v>
      </c>
      <c r="L219" s="146" t="s">
        <v>95</v>
      </c>
      <c r="N219" s="180" t="s">
        <v>690</v>
      </c>
      <c r="O219" s="147">
        <v>45580</v>
      </c>
    </row>
    <row r="220" spans="1:18" x14ac:dyDescent="0.3">
      <c r="A220" t="s">
        <v>0</v>
      </c>
      <c r="B220" s="1" t="s">
        <v>691</v>
      </c>
      <c r="C220" t="s">
        <v>692</v>
      </c>
      <c r="D220" t="s">
        <v>3</v>
      </c>
      <c r="E220" s="95" t="s">
        <v>693</v>
      </c>
      <c r="F220" t="s">
        <v>694</v>
      </c>
      <c r="G220" t="s">
        <v>695</v>
      </c>
      <c r="H220" t="s">
        <v>696</v>
      </c>
      <c r="I220" t="s">
        <v>22</v>
      </c>
      <c r="J220" t="s">
        <v>697</v>
      </c>
      <c r="K220" t="s">
        <v>1</v>
      </c>
      <c r="L220" t="s">
        <v>698</v>
      </c>
      <c r="M220" t="s">
        <v>53</v>
      </c>
      <c r="N220" t="s">
        <v>699</v>
      </c>
      <c r="O220" t="s">
        <v>700</v>
      </c>
      <c r="Q220" t="s">
        <v>701</v>
      </c>
      <c r="R220" t="s">
        <v>1</v>
      </c>
    </row>
    <row r="221" spans="1:18" x14ac:dyDescent="0.3">
      <c r="A221" t="str">
        <f>TableMCHRIGHT[[#This Row],[Study Package Code]]</f>
        <v>HRIG5003</v>
      </c>
      <c r="B221" s="1">
        <f>TableMCHRIGHT[[#This Row],[Ver]]</f>
        <v>2</v>
      </c>
      <c r="D221" t="str">
        <f>TableMCHRIGHT[[#This Row],[Structure Line]]</f>
        <v>Activism, Advocacy and Change</v>
      </c>
      <c r="E221" s="95">
        <f>TableMCHRIGHT[[#This Row],[Credit Points]]</f>
        <v>25</v>
      </c>
      <c r="F221">
        <v>1</v>
      </c>
      <c r="G221" t="s">
        <v>706</v>
      </c>
      <c r="H221">
        <v>1</v>
      </c>
      <c r="I221" t="s">
        <v>703</v>
      </c>
      <c r="J221" t="s">
        <v>274</v>
      </c>
      <c r="K221">
        <v>2</v>
      </c>
      <c r="L221" t="s">
        <v>476</v>
      </c>
      <c r="M221">
        <v>25</v>
      </c>
      <c r="N221" s="147">
        <v>45292</v>
      </c>
      <c r="O221" s="147"/>
      <c r="Q221" t="s">
        <v>274</v>
      </c>
      <c r="R221">
        <v>2</v>
      </c>
    </row>
    <row r="222" spans="1:18" x14ac:dyDescent="0.3">
      <c r="A222" t="str">
        <f>TableMCHRIGHT[[#This Row],[Study Package Code]]</f>
        <v>HRIG5000</v>
      </c>
      <c r="B222" s="1">
        <f>TableMCHRIGHT[[#This Row],[Ver]]</f>
        <v>2</v>
      </c>
      <c r="D222" t="str">
        <f>TableMCHRIGHT[[#This Row],[Structure Line]]</f>
        <v>Human Rights Education in Practice</v>
      </c>
      <c r="E222" s="95">
        <f>TableMCHRIGHT[[#This Row],[Credit Points]]</f>
        <v>25</v>
      </c>
      <c r="F222">
        <v>2</v>
      </c>
      <c r="G222" t="s">
        <v>706</v>
      </c>
      <c r="H222">
        <v>1</v>
      </c>
      <c r="I222" t="s">
        <v>703</v>
      </c>
      <c r="J222" t="s">
        <v>272</v>
      </c>
      <c r="K222">
        <v>2</v>
      </c>
      <c r="L222" t="s">
        <v>473</v>
      </c>
      <c r="M222">
        <v>25</v>
      </c>
      <c r="N222" s="147">
        <v>45292</v>
      </c>
      <c r="O222" s="147"/>
      <c r="Q222" t="s">
        <v>272</v>
      </c>
      <c r="R222">
        <v>2</v>
      </c>
    </row>
    <row r="223" spans="1:18" x14ac:dyDescent="0.3">
      <c r="A223" t="str">
        <f>TableMCHRIGHT[[#This Row],[Study Package Code]]</f>
        <v>HRIG5014</v>
      </c>
      <c r="B223" s="1">
        <f>TableMCHRIGHT[[#This Row],[Ver]]</f>
        <v>2</v>
      </c>
      <c r="D223" t="str">
        <f>TableMCHRIGHT[[#This Row],[Structure Line]]</f>
        <v>Dialogue across Cultures and Religions</v>
      </c>
      <c r="E223" s="95">
        <f>TableMCHRIGHT[[#This Row],[Credit Points]]</f>
        <v>25</v>
      </c>
      <c r="F223">
        <v>3</v>
      </c>
      <c r="G223" t="s">
        <v>706</v>
      </c>
      <c r="H223">
        <v>1</v>
      </c>
      <c r="I223" t="s">
        <v>703</v>
      </c>
      <c r="J223" t="s">
        <v>270</v>
      </c>
      <c r="K223">
        <v>2</v>
      </c>
      <c r="L223" t="s">
        <v>480</v>
      </c>
      <c r="M223">
        <v>25</v>
      </c>
      <c r="N223" s="147">
        <v>45292</v>
      </c>
      <c r="O223" s="147"/>
      <c r="Q223" t="s">
        <v>270</v>
      </c>
      <c r="R223">
        <v>2</v>
      </c>
    </row>
    <row r="224" spans="1:18" x14ac:dyDescent="0.3">
      <c r="A224" t="str">
        <f>TableMCHRIGHT[[#This Row],[Study Package Code]]</f>
        <v>HRIG5013</v>
      </c>
      <c r="B224" s="1">
        <f>TableMCHRIGHT[[#This Row],[Ver]]</f>
        <v>2</v>
      </c>
      <c r="D224" t="str">
        <f>TableMCHRIGHT[[#This Row],[Structure Line]]</f>
        <v>Introduction to Human Rights and Social Justice</v>
      </c>
      <c r="E224" s="95">
        <f>TableMCHRIGHT[[#This Row],[Credit Points]]</f>
        <v>25</v>
      </c>
      <c r="F224">
        <v>4</v>
      </c>
      <c r="G224" t="s">
        <v>706</v>
      </c>
      <c r="H224">
        <v>1</v>
      </c>
      <c r="I224" t="s">
        <v>703</v>
      </c>
      <c r="J224" t="s">
        <v>271</v>
      </c>
      <c r="K224">
        <v>2</v>
      </c>
      <c r="L224" t="s">
        <v>479</v>
      </c>
      <c r="M224">
        <v>25</v>
      </c>
      <c r="N224" s="147">
        <v>45292</v>
      </c>
      <c r="O224" s="147"/>
      <c r="Q224" t="s">
        <v>271</v>
      </c>
      <c r="R224">
        <v>2</v>
      </c>
    </row>
    <row r="225" spans="1:18" x14ac:dyDescent="0.3">
      <c r="A225" t="str">
        <f>TableMCHRIGHT[[#This Row],[Study Package Code]]</f>
        <v>HRIG5001</v>
      </c>
      <c r="B225" s="1">
        <f>TableMCHRIGHT[[#This Row],[Ver]]</f>
        <v>2</v>
      </c>
      <c r="D225" t="str">
        <f>TableMCHRIGHT[[#This Row],[Structure Line]]</f>
        <v>Social Justice and Development</v>
      </c>
      <c r="E225" s="95">
        <f>TableMCHRIGHT[[#This Row],[Credit Points]]</f>
        <v>25</v>
      </c>
      <c r="F225">
        <v>5</v>
      </c>
      <c r="G225" t="s">
        <v>706</v>
      </c>
      <c r="H225">
        <v>1</v>
      </c>
      <c r="I225" t="s">
        <v>703</v>
      </c>
      <c r="J225" t="s">
        <v>273</v>
      </c>
      <c r="K225">
        <v>2</v>
      </c>
      <c r="L225" t="s">
        <v>474</v>
      </c>
      <c r="M225">
        <v>25</v>
      </c>
      <c r="N225" s="147">
        <v>45292</v>
      </c>
      <c r="O225" s="147"/>
      <c r="Q225" t="s">
        <v>273</v>
      </c>
      <c r="R225">
        <v>2</v>
      </c>
    </row>
    <row r="226" spans="1:18" x14ac:dyDescent="0.3">
      <c r="A226" t="str">
        <f>TableMCHRIGHT[[#This Row],[Study Package Code]]</f>
        <v>AC-HRIGHT1</v>
      </c>
      <c r="B226" s="1">
        <f>TableMCHRIGHT[[#This Row],[Ver]]</f>
        <v>0</v>
      </c>
      <c r="D226" t="str">
        <f>TableMCHRIGHT[[#This Row],[Structure Line]]</f>
        <v>Choose HUMN6001 or COMS6004. Choose HUMN6001 to enrol if want to complete HUMN6003, as it is the pre-requisite to HUMN6003. Alternatively, students may choose to complete the Alternate Cores COMS6004 and COMS6002.</v>
      </c>
      <c r="E226" s="95">
        <f>TableMCHRIGHT[[#This Row],[Credit Points]]</f>
        <v>50</v>
      </c>
      <c r="F226">
        <v>6</v>
      </c>
      <c r="G226" t="s">
        <v>702</v>
      </c>
      <c r="H226">
        <v>1</v>
      </c>
      <c r="I226" t="s">
        <v>703</v>
      </c>
      <c r="J226" t="s">
        <v>280</v>
      </c>
      <c r="K226">
        <v>0</v>
      </c>
      <c r="L226" t="s">
        <v>727</v>
      </c>
      <c r="M226">
        <v>50</v>
      </c>
      <c r="N226" s="147"/>
      <c r="O226" s="147"/>
      <c r="Q226" t="s">
        <v>280</v>
      </c>
      <c r="R226">
        <v>0</v>
      </c>
    </row>
    <row r="227" spans="1:18" x14ac:dyDescent="0.3">
      <c r="A227" t="str">
        <f>TableMCHRIGHT[[#This Row],[Study Package Code]]</f>
        <v>HRIG5002</v>
      </c>
      <c r="B227" s="1">
        <f>TableMCHRIGHT[[#This Row],[Ver]]</f>
        <v>2</v>
      </c>
      <c r="D227" t="str">
        <f>TableMCHRIGHT[[#This Row],[Structure Line]]</f>
        <v>International Human Rights Law and Practice</v>
      </c>
      <c r="E227" s="95">
        <f>TableMCHRIGHT[[#This Row],[Credit Points]]</f>
        <v>25</v>
      </c>
      <c r="F227">
        <v>7</v>
      </c>
      <c r="G227" t="s">
        <v>706</v>
      </c>
      <c r="H227">
        <v>2</v>
      </c>
      <c r="I227" t="s">
        <v>703</v>
      </c>
      <c r="J227" t="s">
        <v>281</v>
      </c>
      <c r="K227">
        <v>2</v>
      </c>
      <c r="L227" t="s">
        <v>475</v>
      </c>
      <c r="M227">
        <v>25</v>
      </c>
      <c r="N227" s="147">
        <v>45292</v>
      </c>
      <c r="O227" s="147"/>
      <c r="Q227" t="s">
        <v>281</v>
      </c>
      <c r="R227">
        <v>2</v>
      </c>
    </row>
    <row r="228" spans="1:18" x14ac:dyDescent="0.3">
      <c r="A228" t="str">
        <f>TableMCHRIGHT[[#This Row],[Study Package Code]]</f>
        <v>AC-HRIGHT2</v>
      </c>
      <c r="B228" s="1">
        <f>TableMCHRIGHT[[#This Row],[Ver]]</f>
        <v>0</v>
      </c>
      <c r="D228" t="str">
        <f>TableMCHRIGHT[[#This Row],[Structure Line]]</f>
        <v>Choose HUMN6003 or COMS6002. HUMN6001 must be completed prior to enrolling into HUMN6003. Alternatively, students may choose to complete the Alternate Cores COMS6004 and COMS6002.</v>
      </c>
      <c r="E228" s="95">
        <f>TableMCHRIGHT[[#This Row],[Credit Points]]</f>
        <v>50</v>
      </c>
      <c r="F228">
        <v>8</v>
      </c>
      <c r="G228" t="s">
        <v>702</v>
      </c>
      <c r="H228">
        <v>2</v>
      </c>
      <c r="I228" t="s">
        <v>703</v>
      </c>
      <c r="J228" t="s">
        <v>284</v>
      </c>
      <c r="K228">
        <v>0</v>
      </c>
      <c r="L228" t="s">
        <v>728</v>
      </c>
      <c r="M228">
        <v>50</v>
      </c>
      <c r="N228" s="147"/>
      <c r="O228" s="147"/>
      <c r="Q228" t="s">
        <v>284</v>
      </c>
      <c r="R228">
        <v>0</v>
      </c>
    </row>
    <row r="229" spans="1:18" x14ac:dyDescent="0.3">
      <c r="A229" t="str">
        <f>TableMCHRIGHT[[#This Row],[Study Package Code]]</f>
        <v>Elective</v>
      </c>
      <c r="B229" s="1">
        <f>TableMCHRIGHT[[#This Row],[Ver]]</f>
        <v>0</v>
      </c>
      <c r="D229" t="str">
        <f>TableMCHRIGHT[[#This Row],[Structure Line]]</f>
        <v>Choose Electives</v>
      </c>
      <c r="E229" s="95">
        <f>TableMCHRIGHT[[#This Row],[Credit Points]]</f>
        <v>50</v>
      </c>
      <c r="F229">
        <v>9</v>
      </c>
      <c r="G229" t="s">
        <v>276</v>
      </c>
      <c r="H229">
        <v>0</v>
      </c>
      <c r="I229" t="s">
        <v>703</v>
      </c>
      <c r="J229" t="s">
        <v>276</v>
      </c>
      <c r="K229">
        <v>0</v>
      </c>
      <c r="L229" t="s">
        <v>726</v>
      </c>
      <c r="M229">
        <v>50</v>
      </c>
      <c r="N229" s="147"/>
      <c r="O229" s="147"/>
      <c r="Q229" t="s">
        <v>276</v>
      </c>
      <c r="R229">
        <v>0</v>
      </c>
    </row>
    <row r="230" spans="1:18" x14ac:dyDescent="0.3">
      <c r="A230" t="str">
        <f>TableMCHRIGHT[[#This Row],[Study Package Code]]</f>
        <v>COMS6004</v>
      </c>
      <c r="B230" s="1">
        <f>TableMCHRIGHT[[#This Row],[Ver]]</f>
        <v>2</v>
      </c>
      <c r="D230" t="str">
        <f>TableMCHRIGHT[[#This Row],[Structure Line]]</f>
        <v>Masters Professional or Creative Project</v>
      </c>
      <c r="E230" s="95">
        <f>TableMCHRIGHT[[#This Row],[Credit Points]]</f>
        <v>50</v>
      </c>
      <c r="F230">
        <v>6</v>
      </c>
      <c r="G230" t="s">
        <v>702</v>
      </c>
      <c r="H230">
        <v>1</v>
      </c>
      <c r="I230" t="s">
        <v>703</v>
      </c>
      <c r="J230" t="s">
        <v>155</v>
      </c>
      <c r="K230">
        <v>2</v>
      </c>
      <c r="L230" t="s">
        <v>439</v>
      </c>
      <c r="M230">
        <v>50</v>
      </c>
      <c r="N230" s="147">
        <v>45292</v>
      </c>
      <c r="O230" s="147"/>
      <c r="Q230" t="s">
        <v>155</v>
      </c>
      <c r="R230">
        <v>2</v>
      </c>
    </row>
    <row r="231" spans="1:18" x14ac:dyDescent="0.3">
      <c r="A231" t="str">
        <f>TableMCHRIGHT[[#This Row],[Study Package Code]]</f>
        <v>HUMN6001</v>
      </c>
      <c r="B231" s="1">
        <f>TableMCHRIGHT[[#This Row],[Ver]]</f>
        <v>1</v>
      </c>
      <c r="D231" t="str">
        <f>TableMCHRIGHT[[#This Row],[Structure Line]]</f>
        <v>Masters Research Project 1</v>
      </c>
      <c r="E231" s="95">
        <f>TableMCHRIGHT[[#This Row],[Credit Points]]</f>
        <v>50</v>
      </c>
      <c r="F231">
        <v>6</v>
      </c>
      <c r="G231" t="s">
        <v>702</v>
      </c>
      <c r="H231">
        <v>1</v>
      </c>
      <c r="I231" t="s">
        <v>703</v>
      </c>
      <c r="J231" t="s">
        <v>181</v>
      </c>
      <c r="K231">
        <v>1</v>
      </c>
      <c r="L231" t="s">
        <v>711</v>
      </c>
      <c r="M231">
        <v>50</v>
      </c>
      <c r="N231" s="147">
        <v>45292</v>
      </c>
      <c r="O231" s="147"/>
      <c r="Q231" t="s">
        <v>181</v>
      </c>
      <c r="R231">
        <v>1</v>
      </c>
    </row>
    <row r="232" spans="1:18" x14ac:dyDescent="0.3">
      <c r="A232" t="str">
        <f>TableMCHRIGHT[[#This Row],[Study Package Code]]</f>
        <v>COMS6002</v>
      </c>
      <c r="B232" s="1">
        <f>TableMCHRIGHT[[#This Row],[Ver]]</f>
        <v>3</v>
      </c>
      <c r="D232" t="str">
        <f>TableMCHRIGHT[[#This Row],[Structure Line]]</f>
        <v>Masters Professional Experience</v>
      </c>
      <c r="E232" s="95">
        <f>TableMCHRIGHT[[#This Row],[Credit Points]]</f>
        <v>50</v>
      </c>
      <c r="F232">
        <v>8</v>
      </c>
      <c r="G232" t="s">
        <v>702</v>
      </c>
      <c r="H232">
        <v>2</v>
      </c>
      <c r="I232" t="s">
        <v>703</v>
      </c>
      <c r="J232" t="s">
        <v>177</v>
      </c>
      <c r="K232">
        <v>3</v>
      </c>
      <c r="L232" t="s">
        <v>437</v>
      </c>
      <c r="M232">
        <v>50</v>
      </c>
      <c r="N232" s="147">
        <v>45292</v>
      </c>
      <c r="O232" s="147"/>
      <c r="Q232" t="s">
        <v>177</v>
      </c>
      <c r="R232">
        <v>3</v>
      </c>
    </row>
    <row r="233" spans="1:18" x14ac:dyDescent="0.3">
      <c r="A233" t="str">
        <f>TableMCHRIGHT[[#This Row],[Study Package Code]]</f>
        <v>HUMN6003</v>
      </c>
      <c r="B233" s="1">
        <f>TableMCHRIGHT[[#This Row],[Ver]]</f>
        <v>1</v>
      </c>
      <c r="D233" t="str">
        <f>TableMCHRIGHT[[#This Row],[Structure Line]]</f>
        <v>Masters Research Project 2</v>
      </c>
      <c r="E233" s="95">
        <f>TableMCHRIGHT[[#This Row],[Credit Points]]</f>
        <v>50</v>
      </c>
      <c r="F233">
        <v>8</v>
      </c>
      <c r="G233" t="s">
        <v>702</v>
      </c>
      <c r="H233">
        <v>2</v>
      </c>
      <c r="I233" t="s">
        <v>703</v>
      </c>
      <c r="J233" t="s">
        <v>161</v>
      </c>
      <c r="K233">
        <v>1</v>
      </c>
      <c r="L233" t="s">
        <v>710</v>
      </c>
      <c r="M233">
        <v>50</v>
      </c>
      <c r="N233" s="147">
        <v>45292</v>
      </c>
      <c r="O233" s="147"/>
      <c r="Q233" t="s">
        <v>161</v>
      </c>
      <c r="R233">
        <v>1</v>
      </c>
    </row>
    <row r="234" spans="1:18" x14ac:dyDescent="0.3">
      <c r="B234"/>
      <c r="E234"/>
      <c r="F234" s="93"/>
      <c r="G234" s="94" t="s">
        <v>689</v>
      </c>
      <c r="H234" s="233">
        <v>42005</v>
      </c>
      <c r="I234" s="146" t="s">
        <v>723</v>
      </c>
      <c r="J234" s="230" t="s">
        <v>93</v>
      </c>
      <c r="K234" s="234" t="s">
        <v>87</v>
      </c>
      <c r="L234" s="146" t="s">
        <v>92</v>
      </c>
      <c r="M234" s="146"/>
      <c r="N234" s="180" t="s">
        <v>690</v>
      </c>
      <c r="O234" s="147">
        <v>45338</v>
      </c>
    </row>
    <row r="235" spans="1:18" x14ac:dyDescent="0.3">
      <c r="A235" t="s">
        <v>0</v>
      </c>
      <c r="B235" s="1" t="s">
        <v>691</v>
      </c>
      <c r="C235" t="s">
        <v>692</v>
      </c>
      <c r="D235" t="s">
        <v>3</v>
      </c>
      <c r="E235" s="95" t="s">
        <v>693</v>
      </c>
      <c r="F235" t="s">
        <v>694</v>
      </c>
      <c r="G235" t="s">
        <v>695</v>
      </c>
      <c r="H235" t="s">
        <v>696</v>
      </c>
      <c r="I235" t="s">
        <v>22</v>
      </c>
      <c r="J235" t="s">
        <v>697</v>
      </c>
      <c r="K235" t="s">
        <v>1</v>
      </c>
      <c r="L235" t="s">
        <v>698</v>
      </c>
      <c r="M235" t="s">
        <v>53</v>
      </c>
      <c r="N235" t="s">
        <v>699</v>
      </c>
      <c r="O235" t="s">
        <v>700</v>
      </c>
      <c r="Q235" t="s">
        <v>701</v>
      </c>
      <c r="R235" t="s">
        <v>1</v>
      </c>
    </row>
    <row r="236" spans="1:18" x14ac:dyDescent="0.3">
      <c r="A236" t="str">
        <f>TableGDHRIGHT[[#This Row],[Study Package Code]]</f>
        <v>HRIG5013</v>
      </c>
      <c r="B236" s="1">
        <f>TableGDHRIGHT[[#This Row],[Ver]]</f>
        <v>2</v>
      </c>
      <c r="D236" t="str">
        <f>TableGDHRIGHT[[#This Row],[Structure Line]]</f>
        <v>Introduction to Human Rights and Social Justice</v>
      </c>
      <c r="E236" s="95">
        <f>TableGDHRIGHT[[#This Row],[Credit Points]]</f>
        <v>25</v>
      </c>
      <c r="F236">
        <v>1</v>
      </c>
      <c r="G236" t="s">
        <v>706</v>
      </c>
      <c r="H236">
        <v>1</v>
      </c>
      <c r="I236" t="s">
        <v>719</v>
      </c>
      <c r="J236" t="s">
        <v>271</v>
      </c>
      <c r="K236">
        <v>2</v>
      </c>
      <c r="L236" t="s">
        <v>479</v>
      </c>
      <c r="M236">
        <v>25</v>
      </c>
      <c r="N236" s="147">
        <v>45292</v>
      </c>
      <c r="O236" s="147"/>
      <c r="Q236" t="s">
        <v>271</v>
      </c>
      <c r="R236">
        <v>2</v>
      </c>
    </row>
    <row r="237" spans="1:18" x14ac:dyDescent="0.3">
      <c r="A237" t="str">
        <f>TableGDHRIGHT[[#This Row],[Study Package Code]]</f>
        <v>HRIG5000</v>
      </c>
      <c r="B237" s="1">
        <f>TableGDHRIGHT[[#This Row],[Ver]]</f>
        <v>2</v>
      </c>
      <c r="D237" t="str">
        <f>TableGDHRIGHT[[#This Row],[Structure Line]]</f>
        <v>Human Rights Education in Practice</v>
      </c>
      <c r="E237" s="95">
        <f>TableGDHRIGHT[[#This Row],[Credit Points]]</f>
        <v>25</v>
      </c>
      <c r="F237">
        <v>2</v>
      </c>
      <c r="G237" t="s">
        <v>706</v>
      </c>
      <c r="H237">
        <v>1</v>
      </c>
      <c r="I237" t="s">
        <v>719</v>
      </c>
      <c r="J237" t="s">
        <v>272</v>
      </c>
      <c r="K237">
        <v>2</v>
      </c>
      <c r="L237" t="s">
        <v>473</v>
      </c>
      <c r="M237">
        <v>25</v>
      </c>
      <c r="N237" s="147">
        <v>45292</v>
      </c>
      <c r="O237" s="147"/>
      <c r="Q237" t="s">
        <v>272</v>
      </c>
      <c r="R237">
        <v>2</v>
      </c>
    </row>
    <row r="238" spans="1:18" x14ac:dyDescent="0.3">
      <c r="A238" t="str">
        <f>TableGDHRIGHT[[#This Row],[Study Package Code]]</f>
        <v>HRIG5014</v>
      </c>
      <c r="B238" s="1">
        <f>TableGDHRIGHT[[#This Row],[Ver]]</f>
        <v>2</v>
      </c>
      <c r="D238" t="str">
        <f>TableGDHRIGHT[[#This Row],[Structure Line]]</f>
        <v>Dialogue across Cultures and Religions</v>
      </c>
      <c r="E238" s="95">
        <f>TableGDHRIGHT[[#This Row],[Credit Points]]</f>
        <v>25</v>
      </c>
      <c r="F238">
        <v>3</v>
      </c>
      <c r="G238" t="s">
        <v>706</v>
      </c>
      <c r="H238">
        <v>1</v>
      </c>
      <c r="I238" t="s">
        <v>720</v>
      </c>
      <c r="J238" t="s">
        <v>270</v>
      </c>
      <c r="K238">
        <v>2</v>
      </c>
      <c r="L238" t="s">
        <v>480</v>
      </c>
      <c r="M238">
        <v>25</v>
      </c>
      <c r="N238" s="147">
        <v>45292</v>
      </c>
      <c r="O238" s="147"/>
      <c r="Q238" t="s">
        <v>270</v>
      </c>
      <c r="R238">
        <v>2</v>
      </c>
    </row>
    <row r="239" spans="1:18" x14ac:dyDescent="0.3">
      <c r="A239" t="str">
        <f>TableGDHRIGHT[[#This Row],[Study Package Code]]</f>
        <v>HRIG5002</v>
      </c>
      <c r="B239" s="1">
        <f>TableGDHRIGHT[[#This Row],[Ver]]</f>
        <v>2</v>
      </c>
      <c r="D239" t="str">
        <f>TableGDHRIGHT[[#This Row],[Structure Line]]</f>
        <v>International Human Rights Law and Practice</v>
      </c>
      <c r="E239" s="95">
        <f>TableGDHRIGHT[[#This Row],[Credit Points]]</f>
        <v>25</v>
      </c>
      <c r="F239">
        <v>4</v>
      </c>
      <c r="G239" t="s">
        <v>706</v>
      </c>
      <c r="H239">
        <v>1</v>
      </c>
      <c r="I239" t="s">
        <v>720</v>
      </c>
      <c r="J239" t="s">
        <v>281</v>
      </c>
      <c r="K239">
        <v>2</v>
      </c>
      <c r="L239" t="s">
        <v>475</v>
      </c>
      <c r="M239">
        <v>25</v>
      </c>
      <c r="N239" s="147">
        <v>45292</v>
      </c>
      <c r="O239" s="147"/>
      <c r="Q239" t="s">
        <v>281</v>
      </c>
      <c r="R239">
        <v>2</v>
      </c>
    </row>
    <row r="240" spans="1:18" x14ac:dyDescent="0.3">
      <c r="A240" t="str">
        <f>TableGDHRIGHT[[#This Row],[Study Package Code]]</f>
        <v>HRIG5001</v>
      </c>
      <c r="B240" s="1">
        <f>TableGDHRIGHT[[#This Row],[Ver]]</f>
        <v>2</v>
      </c>
      <c r="D240" t="str">
        <f>TableGDHRIGHT[[#This Row],[Structure Line]]</f>
        <v>Social Justice and Development</v>
      </c>
      <c r="E240" s="95">
        <f>TableGDHRIGHT[[#This Row],[Credit Points]]</f>
        <v>25</v>
      </c>
      <c r="F240">
        <v>5</v>
      </c>
      <c r="G240" t="s">
        <v>706</v>
      </c>
      <c r="H240">
        <v>1</v>
      </c>
      <c r="I240" t="s">
        <v>719</v>
      </c>
      <c r="J240" t="s">
        <v>273</v>
      </c>
      <c r="K240">
        <v>2</v>
      </c>
      <c r="L240" t="s">
        <v>474</v>
      </c>
      <c r="M240">
        <v>25</v>
      </c>
      <c r="N240" s="147">
        <v>45292</v>
      </c>
      <c r="O240" s="147"/>
      <c r="Q240" t="s">
        <v>273</v>
      </c>
      <c r="R240">
        <v>2</v>
      </c>
    </row>
    <row r="241" spans="1:18" x14ac:dyDescent="0.3">
      <c r="A241" t="str">
        <f>TableGDHRIGHT[[#This Row],[Study Package Code]]</f>
        <v>HRIG5003</v>
      </c>
      <c r="B241" s="1">
        <f>TableGDHRIGHT[[#This Row],[Ver]]</f>
        <v>2</v>
      </c>
      <c r="D241" t="str">
        <f>TableGDHRIGHT[[#This Row],[Structure Line]]</f>
        <v>Activism, Advocacy and Change</v>
      </c>
      <c r="E241" s="95">
        <f>TableGDHRIGHT[[#This Row],[Credit Points]]</f>
        <v>25</v>
      </c>
      <c r="F241">
        <v>6</v>
      </c>
      <c r="G241" t="s">
        <v>706</v>
      </c>
      <c r="H241">
        <v>1</v>
      </c>
      <c r="I241" t="s">
        <v>720</v>
      </c>
      <c r="J241" t="s">
        <v>274</v>
      </c>
      <c r="K241">
        <v>2</v>
      </c>
      <c r="L241" t="s">
        <v>476</v>
      </c>
      <c r="M241">
        <v>25</v>
      </c>
      <c r="N241" s="147">
        <v>45292</v>
      </c>
      <c r="O241" s="147"/>
      <c r="Q241" t="s">
        <v>274</v>
      </c>
      <c r="R241">
        <v>2</v>
      </c>
    </row>
    <row r="242" spans="1:18" x14ac:dyDescent="0.3">
      <c r="A242" t="str">
        <f>TableGDHRIGHT[[#This Row],[Study Package Code]]</f>
        <v>Elective</v>
      </c>
      <c r="B242" s="1">
        <f>TableGDHRIGHT[[#This Row],[Ver]]</f>
        <v>0</v>
      </c>
      <c r="D242" t="str">
        <f>TableGDHRIGHT[[#This Row],[Structure Line]]</f>
        <v>Select postgraduate units to the total value of:</v>
      </c>
      <c r="E242" s="95">
        <f>TableGDHRIGHT[[#This Row],[Credit Points]]</f>
        <v>25</v>
      </c>
      <c r="F242">
        <v>7</v>
      </c>
      <c r="G242" t="s">
        <v>276</v>
      </c>
      <c r="H242">
        <v>1</v>
      </c>
      <c r="I242" t="s">
        <v>720</v>
      </c>
      <c r="J242" t="s">
        <v>276</v>
      </c>
      <c r="K242">
        <v>0</v>
      </c>
      <c r="L242" t="s">
        <v>729</v>
      </c>
      <c r="M242">
        <v>25</v>
      </c>
      <c r="N242" s="147"/>
      <c r="O242" s="147"/>
      <c r="Q242" t="s">
        <v>276</v>
      </c>
      <c r="R242">
        <v>0</v>
      </c>
    </row>
    <row r="243" spans="1:18" x14ac:dyDescent="0.3">
      <c r="A243" t="str">
        <f>TableGDHRIGHT[[#This Row],[Study Package Code]]</f>
        <v>Elective</v>
      </c>
      <c r="B243" s="1">
        <f>TableGDHRIGHT[[#This Row],[Ver]]</f>
        <v>0</v>
      </c>
      <c r="D243" t="str">
        <f>TableGDHRIGHT[[#This Row],[Structure Line]]</f>
        <v>Select postgraduate units to the total value of:</v>
      </c>
      <c r="E243" s="95">
        <f>TableGDHRIGHT[[#This Row],[Credit Points]]</f>
        <v>25</v>
      </c>
      <c r="F243">
        <v>8</v>
      </c>
      <c r="G243" t="s">
        <v>276</v>
      </c>
      <c r="H243">
        <v>1</v>
      </c>
      <c r="I243" t="s">
        <v>719</v>
      </c>
      <c r="J243" t="s">
        <v>276</v>
      </c>
      <c r="K243">
        <v>0</v>
      </c>
      <c r="L243" t="s">
        <v>729</v>
      </c>
      <c r="M243">
        <v>25</v>
      </c>
      <c r="N243" s="147"/>
      <c r="O243" s="147"/>
      <c r="Q243" t="s">
        <v>276</v>
      </c>
      <c r="R243">
        <v>0</v>
      </c>
    </row>
    <row r="244" spans="1:18" x14ac:dyDescent="0.3">
      <c r="B244"/>
      <c r="E244"/>
      <c r="F244" s="93"/>
      <c r="G244" s="94" t="s">
        <v>689</v>
      </c>
      <c r="H244" s="233">
        <v>42005</v>
      </c>
      <c r="I244" s="146"/>
      <c r="J244" s="230" t="s">
        <v>89</v>
      </c>
      <c r="K244" s="234" t="s">
        <v>87</v>
      </c>
      <c r="L244" s="146" t="s">
        <v>88</v>
      </c>
      <c r="M244" s="146"/>
      <c r="N244" s="180" t="s">
        <v>690</v>
      </c>
      <c r="O244" s="147">
        <v>45338</v>
      </c>
    </row>
    <row r="245" spans="1:18" x14ac:dyDescent="0.3">
      <c r="A245" t="s">
        <v>0</v>
      </c>
      <c r="B245" s="1" t="s">
        <v>691</v>
      </c>
      <c r="C245" t="s">
        <v>692</v>
      </c>
      <c r="D245" t="s">
        <v>3</v>
      </c>
      <c r="E245" s="95" t="s">
        <v>693</v>
      </c>
      <c r="F245" t="s">
        <v>694</v>
      </c>
      <c r="G245" t="s">
        <v>695</v>
      </c>
      <c r="H245" t="s">
        <v>696</v>
      </c>
      <c r="I245" t="s">
        <v>22</v>
      </c>
      <c r="J245" t="s">
        <v>697</v>
      </c>
      <c r="K245" t="s">
        <v>1</v>
      </c>
      <c r="L245" t="s">
        <v>698</v>
      </c>
      <c r="M245" t="s">
        <v>53</v>
      </c>
      <c r="N245" t="s">
        <v>699</v>
      </c>
      <c r="O245" t="s">
        <v>700</v>
      </c>
      <c r="Q245" t="s">
        <v>701</v>
      </c>
      <c r="R245" t="s">
        <v>1</v>
      </c>
    </row>
    <row r="246" spans="1:18" x14ac:dyDescent="0.3">
      <c r="A246" t="str">
        <f>TableGCHRIGHT[[#This Row],[Study Package Code]]</f>
        <v>Opt-HRIGHT</v>
      </c>
      <c r="B246" s="1">
        <f>TableGCHRIGHT[[#This Row],[Ver]]</f>
        <v>0</v>
      </c>
      <c r="D246" t="str">
        <f>TableGCHRIGHT[[#This Row],[Structure Line]]</f>
        <v>Choose Options</v>
      </c>
      <c r="E246" s="95">
        <f>TableGCHRIGHT[[#This Row],[Credit Points]]</f>
        <v>100</v>
      </c>
      <c r="F246">
        <v>1</v>
      </c>
      <c r="G246" t="s">
        <v>708</v>
      </c>
      <c r="H246">
        <v>0</v>
      </c>
      <c r="I246" t="s">
        <v>703</v>
      </c>
      <c r="J246" t="s">
        <v>572</v>
      </c>
      <c r="K246">
        <v>0</v>
      </c>
      <c r="L246" t="s">
        <v>709</v>
      </c>
      <c r="M246">
        <v>100</v>
      </c>
      <c r="N246" s="147"/>
      <c r="O246" s="147"/>
      <c r="Q246" t="s">
        <v>572</v>
      </c>
      <c r="R246">
        <v>0</v>
      </c>
    </row>
    <row r="247" spans="1:18" x14ac:dyDescent="0.3">
      <c r="A247" t="str">
        <f>TableGCHRIGHT[[#This Row],[Study Package Code]]</f>
        <v>HRIG5000</v>
      </c>
      <c r="B247" s="1">
        <f>TableGCHRIGHT[[#This Row],[Ver]]</f>
        <v>2</v>
      </c>
      <c r="D247" t="str">
        <f>TableGCHRIGHT[[#This Row],[Structure Line]]</f>
        <v>Human Rights Education in Practice</v>
      </c>
      <c r="E247" s="95">
        <f>TableGCHRIGHT[[#This Row],[Credit Points]]</f>
        <v>25</v>
      </c>
      <c r="F247">
        <v>1</v>
      </c>
      <c r="G247" t="s">
        <v>708</v>
      </c>
      <c r="H247">
        <v>0</v>
      </c>
      <c r="I247" t="s">
        <v>703</v>
      </c>
      <c r="J247" t="s">
        <v>272</v>
      </c>
      <c r="K247">
        <v>2</v>
      </c>
      <c r="L247" t="s">
        <v>473</v>
      </c>
      <c r="M247">
        <v>25</v>
      </c>
      <c r="N247" s="147">
        <v>45292</v>
      </c>
      <c r="O247" s="147"/>
      <c r="Q247" t="s">
        <v>272</v>
      </c>
      <c r="R247">
        <v>2</v>
      </c>
    </row>
    <row r="248" spans="1:18" x14ac:dyDescent="0.3">
      <c r="A248" t="str">
        <f>TableGCHRIGHT[[#This Row],[Study Package Code]]</f>
        <v>HRIG5001</v>
      </c>
      <c r="B248" s="1">
        <f>TableGCHRIGHT[[#This Row],[Ver]]</f>
        <v>2</v>
      </c>
      <c r="D248" t="str">
        <f>TableGCHRIGHT[[#This Row],[Structure Line]]</f>
        <v>Social Justice and Development</v>
      </c>
      <c r="E248" s="95">
        <f>TableGCHRIGHT[[#This Row],[Credit Points]]</f>
        <v>25</v>
      </c>
      <c r="F248">
        <v>1</v>
      </c>
      <c r="G248" t="s">
        <v>708</v>
      </c>
      <c r="H248">
        <v>0</v>
      </c>
      <c r="I248" t="s">
        <v>703</v>
      </c>
      <c r="J248" t="s">
        <v>273</v>
      </c>
      <c r="K248">
        <v>2</v>
      </c>
      <c r="L248" t="s">
        <v>474</v>
      </c>
      <c r="M248">
        <v>25</v>
      </c>
      <c r="N248" s="147">
        <v>45292</v>
      </c>
      <c r="O248" s="147"/>
      <c r="Q248" t="s">
        <v>273</v>
      </c>
      <c r="R248">
        <v>2</v>
      </c>
    </row>
    <row r="249" spans="1:18" x14ac:dyDescent="0.3">
      <c r="A249" t="str">
        <f>TableGCHRIGHT[[#This Row],[Study Package Code]]</f>
        <v>HRIG5002</v>
      </c>
      <c r="B249" s="1">
        <f>TableGCHRIGHT[[#This Row],[Ver]]</f>
        <v>2</v>
      </c>
      <c r="D249" t="str">
        <f>TableGCHRIGHT[[#This Row],[Structure Line]]</f>
        <v>International Human Rights Law and Practice</v>
      </c>
      <c r="E249" s="95">
        <f>TableGCHRIGHT[[#This Row],[Credit Points]]</f>
        <v>25</v>
      </c>
      <c r="F249">
        <v>1</v>
      </c>
      <c r="G249" t="s">
        <v>708</v>
      </c>
      <c r="H249">
        <v>0</v>
      </c>
      <c r="I249" t="s">
        <v>703</v>
      </c>
      <c r="J249" t="s">
        <v>281</v>
      </c>
      <c r="K249">
        <v>2</v>
      </c>
      <c r="L249" t="s">
        <v>475</v>
      </c>
      <c r="M249">
        <v>25</v>
      </c>
      <c r="N249" s="147">
        <v>45292</v>
      </c>
      <c r="O249" s="147"/>
      <c r="Q249" t="s">
        <v>281</v>
      </c>
      <c r="R249">
        <v>2</v>
      </c>
    </row>
    <row r="250" spans="1:18" x14ac:dyDescent="0.3">
      <c r="A250" t="str">
        <f>TableGCHRIGHT[[#This Row],[Study Package Code]]</f>
        <v>HRIG5003</v>
      </c>
      <c r="B250" s="1">
        <f>TableGCHRIGHT[[#This Row],[Ver]]</f>
        <v>2</v>
      </c>
      <c r="D250" t="str">
        <f>TableGCHRIGHT[[#This Row],[Structure Line]]</f>
        <v>Activism, Advocacy and Change</v>
      </c>
      <c r="E250" s="95">
        <f>TableGCHRIGHT[[#This Row],[Credit Points]]</f>
        <v>25</v>
      </c>
      <c r="F250">
        <v>1</v>
      </c>
      <c r="G250" t="s">
        <v>708</v>
      </c>
      <c r="H250">
        <v>0</v>
      </c>
      <c r="I250" t="s">
        <v>703</v>
      </c>
      <c r="J250" t="s">
        <v>274</v>
      </c>
      <c r="K250">
        <v>2</v>
      </c>
      <c r="L250" t="s">
        <v>476</v>
      </c>
      <c r="M250">
        <v>25</v>
      </c>
      <c r="N250" s="147">
        <v>45292</v>
      </c>
      <c r="O250" s="147"/>
      <c r="Q250" t="s">
        <v>274</v>
      </c>
      <c r="R250">
        <v>2</v>
      </c>
    </row>
    <row r="251" spans="1:18" x14ac:dyDescent="0.3">
      <c r="A251" t="str">
        <f>TableGCHRIGHT[[#This Row],[Study Package Code]]</f>
        <v>HRIG5004</v>
      </c>
      <c r="B251" s="1">
        <f>TableGCHRIGHT[[#This Row],[Ver]]</f>
        <v>3</v>
      </c>
      <c r="D251" t="str">
        <f>TableGCHRIGHT[[#This Row],[Structure Line]]</f>
        <v>Forced Migration and Refugee Rights</v>
      </c>
      <c r="E251" s="95">
        <f>TableGCHRIGHT[[#This Row],[Credit Points]]</f>
        <v>25</v>
      </c>
      <c r="F251">
        <v>1</v>
      </c>
      <c r="G251" t="s">
        <v>708</v>
      </c>
      <c r="H251">
        <v>0</v>
      </c>
      <c r="I251" t="s">
        <v>703</v>
      </c>
      <c r="J251" t="s">
        <v>290</v>
      </c>
      <c r="K251">
        <v>3</v>
      </c>
      <c r="L251" t="s">
        <v>477</v>
      </c>
      <c r="M251">
        <v>25</v>
      </c>
      <c r="N251" s="147">
        <v>45292</v>
      </c>
      <c r="O251" s="147"/>
      <c r="Q251" t="s">
        <v>290</v>
      </c>
      <c r="R251">
        <v>3</v>
      </c>
    </row>
    <row r="252" spans="1:18" x14ac:dyDescent="0.3">
      <c r="A252" t="str">
        <f>TableGCHRIGHT[[#This Row],[Study Package Code]]</f>
        <v>HRIG5014</v>
      </c>
      <c r="B252" s="1">
        <f>TableGCHRIGHT[[#This Row],[Ver]]</f>
        <v>2</v>
      </c>
      <c r="D252" t="str">
        <f>TableGCHRIGHT[[#This Row],[Structure Line]]</f>
        <v>Dialogue across Cultures and Religions</v>
      </c>
      <c r="E252" s="95">
        <f>TableGCHRIGHT[[#This Row],[Credit Points]]</f>
        <v>25</v>
      </c>
      <c r="F252">
        <v>1</v>
      </c>
      <c r="G252" t="s">
        <v>708</v>
      </c>
      <c r="H252">
        <v>0</v>
      </c>
      <c r="I252" t="s">
        <v>703</v>
      </c>
      <c r="J252" t="s">
        <v>270</v>
      </c>
      <c r="K252">
        <v>2</v>
      </c>
      <c r="L252" t="s">
        <v>480</v>
      </c>
      <c r="M252">
        <v>25</v>
      </c>
      <c r="N252" s="147">
        <v>45292</v>
      </c>
      <c r="O252" s="147"/>
      <c r="Q252" t="s">
        <v>270</v>
      </c>
      <c r="R252">
        <v>2</v>
      </c>
    </row>
    <row r="254" spans="1:18" x14ac:dyDescent="0.3">
      <c r="B254"/>
      <c r="E254"/>
      <c r="F254" s="93"/>
      <c r="G254" s="94" t="s">
        <v>689</v>
      </c>
      <c r="H254" s="228">
        <v>45658</v>
      </c>
      <c r="I254" s="146"/>
      <c r="J254" s="232" t="s">
        <v>143</v>
      </c>
      <c r="K254" s="229" t="s">
        <v>87</v>
      </c>
      <c r="L254" s="232" t="s">
        <v>142</v>
      </c>
      <c r="N254" s="180" t="s">
        <v>690</v>
      </c>
      <c r="O254" s="147">
        <v>45587</v>
      </c>
    </row>
    <row r="255" spans="1:18" x14ac:dyDescent="0.3">
      <c r="A255" t="s">
        <v>0</v>
      </c>
      <c r="B255" s="1" t="s">
        <v>691</v>
      </c>
      <c r="C255" t="s">
        <v>692</v>
      </c>
      <c r="D255" t="s">
        <v>3</v>
      </c>
      <c r="E255" s="95" t="s">
        <v>693</v>
      </c>
      <c r="F255" t="s">
        <v>694</v>
      </c>
      <c r="G255" t="s">
        <v>695</v>
      </c>
      <c r="H255" t="s">
        <v>696</v>
      </c>
      <c r="I255" t="s">
        <v>22</v>
      </c>
      <c r="J255" t="s">
        <v>697</v>
      </c>
      <c r="K255" t="s">
        <v>1</v>
      </c>
      <c r="L255" t="s">
        <v>698</v>
      </c>
      <c r="M255" t="s">
        <v>53</v>
      </c>
      <c r="N255" t="s">
        <v>699</v>
      </c>
      <c r="O255" t="s">
        <v>700</v>
      </c>
      <c r="Q255" t="s">
        <v>701</v>
      </c>
      <c r="R255" t="s">
        <v>1</v>
      </c>
    </row>
    <row r="256" spans="1:18" x14ac:dyDescent="0.3">
      <c r="A256" t="str">
        <f>TableMCINTREL[[#This Row],[Study Package Code]]</f>
        <v>GLBL5000</v>
      </c>
      <c r="B256" s="1">
        <f>TableMCINTREL[[#This Row],[Ver]]</f>
        <v>1</v>
      </c>
      <c r="D256" t="str">
        <f>TableMCINTREL[[#This Row],[Structure Line]]</f>
        <v>Engaging Cultural Diversity</v>
      </c>
      <c r="E256" s="95">
        <f>TableMCINTREL[[#This Row],[Credit Points]]</f>
        <v>25</v>
      </c>
      <c r="F256">
        <v>1</v>
      </c>
      <c r="G256" t="s">
        <v>706</v>
      </c>
      <c r="H256">
        <v>1</v>
      </c>
      <c r="I256" t="s">
        <v>703</v>
      </c>
      <c r="J256" t="s">
        <v>275</v>
      </c>
      <c r="K256">
        <v>1</v>
      </c>
      <c r="L256" t="s">
        <v>466</v>
      </c>
      <c r="M256">
        <v>25</v>
      </c>
      <c r="N256" s="147">
        <v>45108</v>
      </c>
      <c r="O256" s="147"/>
    </row>
    <row r="257" spans="1:15" x14ac:dyDescent="0.3">
      <c r="A257" t="str">
        <f>TableMCINTREL[[#This Row],[Study Package Code]]</f>
        <v>GLBL5001</v>
      </c>
      <c r="B257" s="1">
        <f>TableMCINTREL[[#This Row],[Ver]]</f>
        <v>1</v>
      </c>
      <c r="D257" t="str">
        <f>TableMCINTREL[[#This Row],[Structure Line]]</f>
        <v>Global Futures and Just Transformations</v>
      </c>
      <c r="E257" s="95">
        <f>TableMCINTREL[[#This Row],[Credit Points]]</f>
        <v>25</v>
      </c>
      <c r="F257">
        <v>2</v>
      </c>
      <c r="G257" t="s">
        <v>706</v>
      </c>
      <c r="H257">
        <v>1</v>
      </c>
      <c r="I257" t="s">
        <v>703</v>
      </c>
      <c r="J257" t="s">
        <v>277</v>
      </c>
      <c r="K257">
        <v>1</v>
      </c>
      <c r="L257" t="s">
        <v>467</v>
      </c>
      <c r="M257">
        <v>25</v>
      </c>
      <c r="N257" s="147">
        <v>45108</v>
      </c>
      <c r="O257" s="147"/>
    </row>
    <row r="258" spans="1:15" x14ac:dyDescent="0.3">
      <c r="A258" t="str">
        <f>TableMCINTREL[[#This Row],[Study Package Code]]</f>
        <v>POLS5000</v>
      </c>
      <c r="B258" s="1">
        <f>TableMCINTREL[[#This Row],[Ver]]</f>
        <v>3</v>
      </c>
      <c r="D258" t="str">
        <f>TableMCINTREL[[#This Row],[Structure Line]]</f>
        <v>International Security in Theory and Practice</v>
      </c>
      <c r="E258" s="95">
        <f>TableMCINTREL[[#This Row],[Credit Points]]</f>
        <v>25</v>
      </c>
      <c r="F258">
        <v>3</v>
      </c>
      <c r="G258" t="s">
        <v>706</v>
      </c>
      <c r="H258">
        <v>1</v>
      </c>
      <c r="I258" t="s">
        <v>703</v>
      </c>
      <c r="J258" t="s">
        <v>322</v>
      </c>
      <c r="K258">
        <v>3</v>
      </c>
      <c r="L258" t="s">
        <v>590</v>
      </c>
      <c r="M258">
        <v>25</v>
      </c>
      <c r="N258" s="147">
        <v>45658</v>
      </c>
      <c r="O258" s="147"/>
    </row>
    <row r="259" spans="1:15" x14ac:dyDescent="0.3">
      <c r="A259" t="str">
        <f>TableMCINTREL[[#This Row],[Study Package Code]]</f>
        <v>POLS5003</v>
      </c>
      <c r="B259" s="1">
        <f>TableMCINTREL[[#This Row],[Ver]]</f>
        <v>2</v>
      </c>
      <c r="D259" t="str">
        <f>TableMCINTREL[[#This Row],[Structure Line]]</f>
        <v>National Strategy and Security</v>
      </c>
      <c r="E259" s="95">
        <f>TableMCINTREL[[#This Row],[Credit Points]]</f>
        <v>25</v>
      </c>
      <c r="F259">
        <v>4</v>
      </c>
      <c r="G259" t="s">
        <v>706</v>
      </c>
      <c r="H259">
        <v>1</v>
      </c>
      <c r="I259" t="s">
        <v>703</v>
      </c>
      <c r="J259" t="s">
        <v>350</v>
      </c>
      <c r="K259">
        <v>2</v>
      </c>
      <c r="L259" t="s">
        <v>596</v>
      </c>
      <c r="M259">
        <v>25</v>
      </c>
      <c r="N259" s="147">
        <v>45658</v>
      </c>
      <c r="O259" s="147"/>
    </row>
    <row r="260" spans="1:15" x14ac:dyDescent="0.3">
      <c r="A260" t="str">
        <f>TableMCINTREL[[#This Row],[Study Package Code]]</f>
        <v>Opt-INTREL</v>
      </c>
      <c r="B260" s="1">
        <f>TableMCINTREL[[#This Row],[Ver]]</f>
        <v>0</v>
      </c>
      <c r="D260" t="str">
        <f>TableMCINTREL[[#This Row],[Structure Line]]</f>
        <v>Choose Options</v>
      </c>
      <c r="E260" s="95" t="str">
        <f>TableMCINTREL[[#This Row],[Credit Points]]</f>
        <v/>
      </c>
      <c r="F260">
        <v>5</v>
      </c>
      <c r="G260" t="s">
        <v>708</v>
      </c>
      <c r="H260">
        <v>0</v>
      </c>
      <c r="I260" t="s">
        <v>703</v>
      </c>
      <c r="J260" t="s">
        <v>355</v>
      </c>
      <c r="K260">
        <v>0</v>
      </c>
      <c r="L260" t="s">
        <v>709</v>
      </c>
      <c r="M260" t="s">
        <v>704</v>
      </c>
      <c r="N260" s="147"/>
      <c r="O260" s="147"/>
    </row>
    <row r="261" spans="1:15" x14ac:dyDescent="0.3">
      <c r="A261" t="str">
        <f>TableMCINTREL[[#This Row],[Study Package Code]]</f>
        <v>AC-INTREL2</v>
      </c>
      <c r="B261" s="1">
        <f>TableMCINTREL[[#This Row],[Ver]]</f>
        <v>0</v>
      </c>
      <c r="D261" t="str">
        <f>TableMCINTREL[[#This Row],[Structure Line]]</f>
        <v>Choose COMS6002 or HUMN6003</v>
      </c>
      <c r="E261" s="95">
        <f>TableMCINTREL[[#This Row],[Credit Points]]</f>
        <v>25</v>
      </c>
      <c r="F261">
        <v>6</v>
      </c>
      <c r="G261" t="s">
        <v>702</v>
      </c>
      <c r="H261">
        <v>2</v>
      </c>
      <c r="I261" t="s">
        <v>703</v>
      </c>
      <c r="J261" t="s">
        <v>359</v>
      </c>
      <c r="L261" t="s">
        <v>730</v>
      </c>
      <c r="M261">
        <v>25</v>
      </c>
      <c r="N261" s="147"/>
      <c r="O261" s="147"/>
    </row>
    <row r="262" spans="1:15" x14ac:dyDescent="0.3">
      <c r="A262" t="str">
        <f>TableMCINTREL[[#This Row],[Study Package Code]]</f>
        <v>AC-INTREL1</v>
      </c>
      <c r="B262" s="1">
        <f>TableMCINTREL[[#This Row],[Ver]]</f>
        <v>0</v>
      </c>
      <c r="D262" t="str">
        <f>TableMCINTREL[[#This Row],[Structure Line]]</f>
        <v>Choose COMS6004 or HUMN6001</v>
      </c>
      <c r="E262" s="95">
        <f>TableMCINTREL[[#This Row],[Credit Points]]</f>
        <v>25</v>
      </c>
      <c r="F262">
        <v>7</v>
      </c>
      <c r="G262" t="s">
        <v>702</v>
      </c>
      <c r="H262">
        <v>2</v>
      </c>
      <c r="I262" t="s">
        <v>703</v>
      </c>
      <c r="J262" t="s">
        <v>358</v>
      </c>
      <c r="K262">
        <v>0</v>
      </c>
      <c r="L262" t="s">
        <v>731</v>
      </c>
      <c r="M262">
        <v>25</v>
      </c>
      <c r="N262" s="147"/>
      <c r="O262" s="147"/>
    </row>
    <row r="263" spans="1:15" x14ac:dyDescent="0.3">
      <c r="A263" t="str">
        <f>TableMCINTREL[[#This Row],[Study Package Code]]</f>
        <v>GLBL5002</v>
      </c>
      <c r="B263" s="1">
        <f>TableMCINTREL[[#This Row],[Ver]]</f>
        <v>1</v>
      </c>
      <c r="D263" t="str">
        <f>TableMCINTREL[[#This Row],[Structure Line]]</f>
        <v>Engaging Africa</v>
      </c>
      <c r="E263" s="95">
        <f>TableMCINTREL[[#This Row],[Credit Points]]</f>
        <v>25</v>
      </c>
      <c r="F263">
        <v>8</v>
      </c>
      <c r="G263" t="s">
        <v>706</v>
      </c>
      <c r="H263">
        <v>2</v>
      </c>
      <c r="I263" t="s">
        <v>703</v>
      </c>
      <c r="J263" t="s">
        <v>282</v>
      </c>
      <c r="K263">
        <v>1</v>
      </c>
      <c r="L263" t="s">
        <v>468</v>
      </c>
      <c r="M263">
        <v>25</v>
      </c>
      <c r="N263" s="147">
        <v>45108</v>
      </c>
      <c r="O263" s="147"/>
    </row>
    <row r="264" spans="1:15" x14ac:dyDescent="0.3">
      <c r="A264" t="str">
        <f>TableMCINTREL[[#This Row],[Study Package Code]]</f>
        <v>GLBL5003</v>
      </c>
      <c r="B264" s="1">
        <f>TableMCINTREL[[#This Row],[Ver]]</f>
        <v>1</v>
      </c>
      <c r="D264" t="str">
        <f>TableMCINTREL[[#This Row],[Structure Line]]</f>
        <v>Engaging Asia</v>
      </c>
      <c r="E264" s="95">
        <f>TableMCINTREL[[#This Row],[Credit Points]]</f>
        <v>25</v>
      </c>
      <c r="F264">
        <v>9</v>
      </c>
      <c r="G264" t="s">
        <v>706</v>
      </c>
      <c r="H264">
        <v>2</v>
      </c>
      <c r="I264" t="s">
        <v>703</v>
      </c>
      <c r="J264" t="s">
        <v>283</v>
      </c>
      <c r="K264">
        <v>1</v>
      </c>
      <c r="L264" t="s">
        <v>469</v>
      </c>
      <c r="M264">
        <v>25</v>
      </c>
      <c r="N264" s="147">
        <v>45108</v>
      </c>
      <c r="O264" s="147"/>
    </row>
    <row r="265" spans="1:15" x14ac:dyDescent="0.3">
      <c r="A265" t="str">
        <f>TableMCINTREL[[#This Row],[Study Package Code]]</f>
        <v>INTR5001</v>
      </c>
      <c r="B265" s="1">
        <f>TableMCINTREL[[#This Row],[Ver]]</f>
        <v>2</v>
      </c>
      <c r="D265" t="str">
        <f>TableMCINTREL[[#This Row],[Structure Line]]</f>
        <v>Women, Peace and Security</v>
      </c>
      <c r="E265" s="95">
        <f>TableMCINTREL[[#This Row],[Credit Points]]</f>
        <v>25</v>
      </c>
      <c r="F265">
        <v>5</v>
      </c>
      <c r="G265" t="s">
        <v>708</v>
      </c>
      <c r="H265">
        <v>0</v>
      </c>
      <c r="I265" t="s">
        <v>703</v>
      </c>
      <c r="J265" t="s">
        <v>369</v>
      </c>
      <c r="K265">
        <v>2</v>
      </c>
      <c r="L265" t="s">
        <v>486</v>
      </c>
      <c r="M265">
        <v>25</v>
      </c>
      <c r="N265" s="147">
        <v>45658</v>
      </c>
      <c r="O265" s="147"/>
    </row>
    <row r="266" spans="1:15" x14ac:dyDescent="0.3">
      <c r="A266" t="str">
        <f>TableMCINTREL[[#This Row],[Study Package Code]]</f>
        <v>INTR5002</v>
      </c>
      <c r="B266" s="1">
        <f>TableMCINTREL[[#This Row],[Ver]]</f>
        <v>2</v>
      </c>
      <c r="D266" t="str">
        <f>TableMCINTREL[[#This Row],[Structure Line]]</f>
        <v>The Geopolitics of East Asia</v>
      </c>
      <c r="E266" s="95">
        <f>TableMCINTREL[[#This Row],[Credit Points]]</f>
        <v>25</v>
      </c>
      <c r="F266">
        <v>5</v>
      </c>
      <c r="G266" t="s">
        <v>708</v>
      </c>
      <c r="H266">
        <v>0</v>
      </c>
      <c r="I266" t="s">
        <v>703</v>
      </c>
      <c r="J266" t="s">
        <v>320</v>
      </c>
      <c r="K266">
        <v>2</v>
      </c>
      <c r="L266" t="s">
        <v>487</v>
      </c>
      <c r="M266">
        <v>25</v>
      </c>
      <c r="N266" s="147">
        <v>45658</v>
      </c>
      <c r="O266" s="147"/>
    </row>
    <row r="267" spans="1:15" x14ac:dyDescent="0.3">
      <c r="A267" t="str">
        <f>TableMCINTREL[[#This Row],[Study Package Code]]</f>
        <v>INTR5003</v>
      </c>
      <c r="B267" s="1">
        <f>TableMCINTREL[[#This Row],[Ver]]</f>
        <v>2</v>
      </c>
      <c r="D267" t="str">
        <f>TableMCINTREL[[#This Row],[Structure Line]]</f>
        <v>Strategic Geography, Planning and Decision-making</v>
      </c>
      <c r="E267" s="95">
        <f>TableMCINTREL[[#This Row],[Credit Points]]</f>
        <v>25</v>
      </c>
      <c r="F267">
        <v>5</v>
      </c>
      <c r="G267" t="s">
        <v>708</v>
      </c>
      <c r="H267">
        <v>0</v>
      </c>
      <c r="I267" t="s">
        <v>703</v>
      </c>
      <c r="J267" t="s">
        <v>372</v>
      </c>
      <c r="K267">
        <v>2</v>
      </c>
      <c r="L267" t="s">
        <v>490</v>
      </c>
      <c r="M267">
        <v>25</v>
      </c>
      <c r="N267" s="147">
        <v>45658</v>
      </c>
      <c r="O267" s="147"/>
    </row>
    <row r="268" spans="1:15" x14ac:dyDescent="0.3">
      <c r="A268" t="str">
        <f>TableMCINTREL[[#This Row],[Study Package Code]]</f>
        <v>INTR5004</v>
      </c>
      <c r="B268" s="1">
        <f>TableMCINTREL[[#This Row],[Ver]]</f>
        <v>1</v>
      </c>
      <c r="D268" t="str">
        <f>TableMCINTREL[[#This Row],[Structure Line]]</f>
        <v>Russian and Eurasian Studies</v>
      </c>
      <c r="E268" s="95">
        <f>TableMCINTREL[[#This Row],[Credit Points]]</f>
        <v>25</v>
      </c>
      <c r="F268">
        <v>5</v>
      </c>
      <c r="G268" t="s">
        <v>708</v>
      </c>
      <c r="H268">
        <v>0</v>
      </c>
      <c r="I268" t="s">
        <v>703</v>
      </c>
      <c r="J268" t="s">
        <v>352</v>
      </c>
      <c r="K268">
        <v>1</v>
      </c>
      <c r="L268" t="s">
        <v>493</v>
      </c>
      <c r="M268">
        <v>25</v>
      </c>
      <c r="N268" s="147">
        <v>42005</v>
      </c>
      <c r="O268" s="147"/>
    </row>
    <row r="269" spans="1:15" x14ac:dyDescent="0.3">
      <c r="A269" t="str">
        <f>TableMCINTREL[[#This Row],[Study Package Code]]</f>
        <v>INTR5005</v>
      </c>
      <c r="B269" s="1">
        <f>TableMCINTREL[[#This Row],[Ver]]</f>
        <v>1</v>
      </c>
      <c r="D269" t="str">
        <f>TableMCINTREL[[#This Row],[Structure Line]]</f>
        <v>Globalised Terrorism</v>
      </c>
      <c r="E269" s="95">
        <f>TableMCINTREL[[#This Row],[Credit Points]]</f>
        <v>25</v>
      </c>
      <c r="F269">
        <v>5</v>
      </c>
      <c r="G269" t="s">
        <v>708</v>
      </c>
      <c r="H269">
        <v>0</v>
      </c>
      <c r="I269" t="s">
        <v>703</v>
      </c>
      <c r="J269" t="s">
        <v>376</v>
      </c>
      <c r="K269">
        <v>1</v>
      </c>
      <c r="L269" t="s">
        <v>494</v>
      </c>
      <c r="M269">
        <v>25</v>
      </c>
      <c r="N269" s="147">
        <v>42005</v>
      </c>
      <c r="O269" s="147"/>
    </row>
    <row r="270" spans="1:15" x14ac:dyDescent="0.3">
      <c r="A270" t="str">
        <f>TableMCINTREL[[#This Row],[Study Package Code]]</f>
        <v>INTR5006</v>
      </c>
      <c r="B270" s="1">
        <f>TableMCINTREL[[#This Row],[Ver]]</f>
        <v>1</v>
      </c>
      <c r="D270" t="str">
        <f>TableMCINTREL[[#This Row],[Structure Line]]</f>
        <v>Intelligence and Analysis</v>
      </c>
      <c r="E270" s="95">
        <f>TableMCINTREL[[#This Row],[Credit Points]]</f>
        <v>25</v>
      </c>
      <c r="F270">
        <v>5</v>
      </c>
      <c r="G270" t="s">
        <v>708</v>
      </c>
      <c r="H270">
        <v>0</v>
      </c>
      <c r="I270" t="s">
        <v>703</v>
      </c>
      <c r="J270" t="s">
        <v>321</v>
      </c>
      <c r="K270">
        <v>1</v>
      </c>
      <c r="L270" t="s">
        <v>495</v>
      </c>
      <c r="M270">
        <v>25</v>
      </c>
      <c r="N270" s="147">
        <v>42005</v>
      </c>
      <c r="O270" s="147"/>
    </row>
    <row r="271" spans="1:15" x14ac:dyDescent="0.3">
      <c r="A271" t="str">
        <f>TableMCINTREL[[#This Row],[Study Package Code]]</f>
        <v>INTR5008</v>
      </c>
      <c r="B271" s="1">
        <f>TableMCINTREL[[#This Row],[Ver]]</f>
        <v>2</v>
      </c>
      <c r="D271" t="str">
        <f>TableMCINTREL[[#This Row],[Structure Line]]</f>
        <v>Cultures of Violence and Conflict</v>
      </c>
      <c r="E271" s="95">
        <f>TableMCINTREL[[#This Row],[Credit Points]]</f>
        <v>25</v>
      </c>
      <c r="F271">
        <v>5</v>
      </c>
      <c r="G271" t="s">
        <v>708</v>
      </c>
      <c r="H271">
        <v>0</v>
      </c>
      <c r="I271" t="s">
        <v>703</v>
      </c>
      <c r="J271" t="s">
        <v>378</v>
      </c>
      <c r="K271">
        <v>2</v>
      </c>
      <c r="L271" t="s">
        <v>496</v>
      </c>
      <c r="M271">
        <v>25</v>
      </c>
      <c r="N271" s="147">
        <v>44927</v>
      </c>
      <c r="O271" s="147"/>
    </row>
    <row r="272" spans="1:15" x14ac:dyDescent="0.3">
      <c r="A272" t="str">
        <f>TableMCINTREL[[#This Row],[Study Package Code]]</f>
        <v>INTR5009</v>
      </c>
      <c r="B272" s="1">
        <f>TableMCINTREL[[#This Row],[Ver]]</f>
        <v>2</v>
      </c>
      <c r="D272" t="str">
        <f>TableMCINTREL[[#This Row],[Structure Line]]</f>
        <v>Cyber Conflict, Information Operations and Espionage</v>
      </c>
      <c r="E272" s="95">
        <f>TableMCINTREL[[#This Row],[Credit Points]]</f>
        <v>25</v>
      </c>
      <c r="F272">
        <v>5</v>
      </c>
      <c r="G272" t="s">
        <v>708</v>
      </c>
      <c r="H272">
        <v>0</v>
      </c>
      <c r="I272" t="s">
        <v>703</v>
      </c>
      <c r="J272" t="s">
        <v>353</v>
      </c>
      <c r="K272">
        <v>2</v>
      </c>
      <c r="L272" t="s">
        <v>497</v>
      </c>
      <c r="M272">
        <v>25</v>
      </c>
      <c r="N272" s="147">
        <v>45658</v>
      </c>
      <c r="O272" s="147"/>
    </row>
    <row r="273" spans="1:18" x14ac:dyDescent="0.3">
      <c r="A273" t="str">
        <f>TableMCINTREL[[#This Row],[Study Package Code]]</f>
        <v>POLS5002</v>
      </c>
      <c r="B273" s="1">
        <f>TableMCINTREL[[#This Row],[Ver]]</f>
        <v>2</v>
      </c>
      <c r="D273" t="str">
        <f>TableMCINTREL[[#This Row],[Structure Line]]</f>
        <v>Security and Conflict in the Indian Ocean and the Middle East</v>
      </c>
      <c r="E273" s="95">
        <f>TableMCINTREL[[#This Row],[Credit Points]]</f>
        <v>25</v>
      </c>
      <c r="F273">
        <v>5</v>
      </c>
      <c r="G273" t="s">
        <v>708</v>
      </c>
      <c r="H273">
        <v>0</v>
      </c>
      <c r="I273" t="s">
        <v>703</v>
      </c>
      <c r="J273" t="s">
        <v>351</v>
      </c>
      <c r="K273">
        <v>2</v>
      </c>
      <c r="L273" t="s">
        <v>593</v>
      </c>
      <c r="M273">
        <v>25</v>
      </c>
      <c r="N273" s="147">
        <v>45658</v>
      </c>
      <c r="O273" s="147"/>
    </row>
    <row r="274" spans="1:18" x14ac:dyDescent="0.3">
      <c r="A274" t="str">
        <f>TableMCINTREL[[#This Row],[Study Package Code]]</f>
        <v>POLS5004</v>
      </c>
      <c r="B274" s="1">
        <f>TableMCINTREL[[#This Row],[Ver]]</f>
        <v>2</v>
      </c>
      <c r="D274" t="str">
        <f>TableMCINTREL[[#This Row],[Structure Line]]</f>
        <v>Environmental and Energy Security</v>
      </c>
      <c r="E274" s="95">
        <f>TableMCINTREL[[#This Row],[Credit Points]]</f>
        <v>25</v>
      </c>
      <c r="F274">
        <v>5</v>
      </c>
      <c r="G274" t="s">
        <v>708</v>
      </c>
      <c r="H274">
        <v>0</v>
      </c>
      <c r="I274" t="s">
        <v>703</v>
      </c>
      <c r="J274" t="s">
        <v>323</v>
      </c>
      <c r="K274">
        <v>2</v>
      </c>
      <c r="L274" t="s">
        <v>599</v>
      </c>
      <c r="M274">
        <v>25</v>
      </c>
      <c r="N274" s="147">
        <v>45658</v>
      </c>
      <c r="O274" s="147"/>
    </row>
    <row r="275" spans="1:18" x14ac:dyDescent="0.3">
      <c r="A275" t="str">
        <f>TableMCINTREL[[#This Row],[Study Package Code]]</f>
        <v>COMS6002</v>
      </c>
      <c r="B275" s="1">
        <f>TableMCINTREL[[#This Row],[Ver]]</f>
        <v>3</v>
      </c>
      <c r="D275" t="str">
        <f>TableMCINTREL[[#This Row],[Structure Line]]</f>
        <v>Masters Professional Experience</v>
      </c>
      <c r="E275" s="95">
        <f>TableMCINTREL[[#This Row],[Credit Points]]</f>
        <v>50</v>
      </c>
      <c r="F275">
        <v>6</v>
      </c>
      <c r="G275" t="s">
        <v>702</v>
      </c>
      <c r="H275">
        <v>2</v>
      </c>
      <c r="I275" t="s">
        <v>703</v>
      </c>
      <c r="J275" t="s">
        <v>177</v>
      </c>
      <c r="K275">
        <v>3</v>
      </c>
      <c r="L275" t="s">
        <v>437</v>
      </c>
      <c r="M275">
        <v>50</v>
      </c>
      <c r="N275" s="147">
        <v>45292</v>
      </c>
      <c r="O275" s="147"/>
    </row>
    <row r="276" spans="1:18" x14ac:dyDescent="0.3">
      <c r="A276" t="str">
        <f>TableMCINTREL[[#This Row],[Study Package Code]]</f>
        <v>HUMN6003</v>
      </c>
      <c r="B276" s="1">
        <f>TableMCINTREL[[#This Row],[Ver]]</f>
        <v>1</v>
      </c>
      <c r="D276" t="str">
        <f>TableMCINTREL[[#This Row],[Structure Line]]</f>
        <v>Masters Research Project 2</v>
      </c>
      <c r="E276" s="95">
        <f>TableMCINTREL[[#This Row],[Credit Points]]</f>
        <v>50</v>
      </c>
      <c r="F276">
        <v>6</v>
      </c>
      <c r="G276" t="s">
        <v>702</v>
      </c>
      <c r="H276">
        <v>2</v>
      </c>
      <c r="I276" t="s">
        <v>703</v>
      </c>
      <c r="J276" t="s">
        <v>161</v>
      </c>
      <c r="K276">
        <v>1</v>
      </c>
      <c r="L276" t="s">
        <v>710</v>
      </c>
      <c r="M276">
        <v>50</v>
      </c>
      <c r="N276" s="147">
        <v>45292</v>
      </c>
      <c r="O276" s="147"/>
    </row>
    <row r="277" spans="1:18" x14ac:dyDescent="0.3">
      <c r="A277" t="str">
        <f>TableMCINTREL[[#This Row],[Study Package Code]]</f>
        <v>COMS6004</v>
      </c>
      <c r="B277" s="1">
        <f>TableMCINTREL[[#This Row],[Ver]]</f>
        <v>2</v>
      </c>
      <c r="D277" t="str">
        <f>TableMCINTREL[[#This Row],[Structure Line]]</f>
        <v>Masters Professional or Creative Project</v>
      </c>
      <c r="E277" s="95">
        <f>TableMCINTREL[[#This Row],[Credit Points]]</f>
        <v>50</v>
      </c>
      <c r="F277">
        <v>7</v>
      </c>
      <c r="G277" t="s">
        <v>702</v>
      </c>
      <c r="H277">
        <v>2</v>
      </c>
      <c r="I277" t="s">
        <v>703</v>
      </c>
      <c r="J277" t="s">
        <v>155</v>
      </c>
      <c r="K277">
        <v>2</v>
      </c>
      <c r="L277" t="s">
        <v>439</v>
      </c>
      <c r="M277">
        <v>50</v>
      </c>
      <c r="N277" s="147">
        <v>45292</v>
      </c>
      <c r="O277" s="147"/>
    </row>
    <row r="278" spans="1:18" x14ac:dyDescent="0.3">
      <c r="A278" t="str">
        <f>TableMCINTREL[[#This Row],[Study Package Code]]</f>
        <v>HUMN6001</v>
      </c>
      <c r="B278" s="1">
        <f>TableMCINTREL[[#This Row],[Ver]]</f>
        <v>1</v>
      </c>
      <c r="D278" t="str">
        <f>TableMCINTREL[[#This Row],[Structure Line]]</f>
        <v>Masters Research Project 1</v>
      </c>
      <c r="E278" s="95">
        <f>TableMCINTREL[[#This Row],[Credit Points]]</f>
        <v>50</v>
      </c>
      <c r="F278">
        <v>7</v>
      </c>
      <c r="G278" t="s">
        <v>702</v>
      </c>
      <c r="H278">
        <v>2</v>
      </c>
      <c r="I278" t="s">
        <v>703</v>
      </c>
      <c r="J278" t="s">
        <v>181</v>
      </c>
      <c r="K278">
        <v>1</v>
      </c>
      <c r="L278" t="s">
        <v>711</v>
      </c>
      <c r="M278">
        <v>50</v>
      </c>
      <c r="N278" s="147">
        <v>45292</v>
      </c>
      <c r="O278" s="147"/>
    </row>
    <row r="279" spans="1:18" x14ac:dyDescent="0.3">
      <c r="B279"/>
      <c r="E279"/>
      <c r="F279" s="93"/>
      <c r="G279" s="94" t="s">
        <v>689</v>
      </c>
      <c r="H279" s="228">
        <v>45658</v>
      </c>
      <c r="I279" s="146"/>
      <c r="J279" s="232" t="s">
        <v>141</v>
      </c>
      <c r="K279" s="229" t="s">
        <v>87</v>
      </c>
      <c r="L279" s="232" t="s">
        <v>140</v>
      </c>
      <c r="N279" s="180" t="s">
        <v>690</v>
      </c>
      <c r="O279" s="147">
        <v>45580</v>
      </c>
    </row>
    <row r="280" spans="1:18" x14ac:dyDescent="0.3">
      <c r="A280" t="s">
        <v>0</v>
      </c>
      <c r="B280" s="1" t="s">
        <v>691</v>
      </c>
      <c r="C280" t="s">
        <v>692</v>
      </c>
      <c r="D280" t="s">
        <v>3</v>
      </c>
      <c r="E280" s="95" t="s">
        <v>693</v>
      </c>
      <c r="F280" t="s">
        <v>694</v>
      </c>
      <c r="G280" t="s">
        <v>695</v>
      </c>
      <c r="H280" t="s">
        <v>696</v>
      </c>
      <c r="I280" t="s">
        <v>22</v>
      </c>
      <c r="J280" t="s">
        <v>697</v>
      </c>
      <c r="K280" t="s">
        <v>1</v>
      </c>
      <c r="L280" t="s">
        <v>698</v>
      </c>
      <c r="M280" t="s">
        <v>53</v>
      </c>
      <c r="N280" t="s">
        <v>699</v>
      </c>
      <c r="O280" t="s">
        <v>700</v>
      </c>
      <c r="Q280" t="s">
        <v>701</v>
      </c>
      <c r="R280" t="s">
        <v>1</v>
      </c>
    </row>
    <row r="281" spans="1:18" x14ac:dyDescent="0.3">
      <c r="A281" t="str">
        <f>TableMCINTSEC[[#This Row],[Study Package Code]]</f>
        <v>POLS5000</v>
      </c>
      <c r="B281" s="1">
        <f>TableMCINTSEC[[#This Row],[Ver]]</f>
        <v>3</v>
      </c>
      <c r="D281" t="str">
        <f>TableMCINTSEC[[#This Row],[Structure Line]]</f>
        <v>International Security in Theory and Practice</v>
      </c>
      <c r="E281" s="95">
        <f>TableMCINTSEC[[#This Row],[Credit Points]]</f>
        <v>25</v>
      </c>
      <c r="F281">
        <v>1</v>
      </c>
      <c r="G281" t="s">
        <v>706</v>
      </c>
      <c r="H281">
        <v>1</v>
      </c>
      <c r="I281" t="s">
        <v>703</v>
      </c>
      <c r="J281" t="s">
        <v>322</v>
      </c>
      <c r="K281">
        <v>3</v>
      </c>
      <c r="L281" t="s">
        <v>590</v>
      </c>
      <c r="M281">
        <v>25</v>
      </c>
      <c r="N281" s="147">
        <v>45658</v>
      </c>
      <c r="O281" s="147"/>
    </row>
    <row r="282" spans="1:18" x14ac:dyDescent="0.3">
      <c r="A282" t="str">
        <f>TableMCINTSEC[[#This Row],[Study Package Code]]</f>
        <v>POLS5003</v>
      </c>
      <c r="B282" s="1">
        <f>TableMCINTSEC[[#This Row],[Ver]]</f>
        <v>2</v>
      </c>
      <c r="D282" t="str">
        <f>TableMCINTSEC[[#This Row],[Structure Line]]</f>
        <v>National Strategy and Security</v>
      </c>
      <c r="E282" s="95">
        <f>TableMCINTSEC[[#This Row],[Credit Points]]</f>
        <v>25</v>
      </c>
      <c r="F282">
        <v>2</v>
      </c>
      <c r="G282" t="s">
        <v>706</v>
      </c>
      <c r="H282">
        <v>1</v>
      </c>
      <c r="I282" t="s">
        <v>703</v>
      </c>
      <c r="J282" t="s">
        <v>350</v>
      </c>
      <c r="K282">
        <v>2</v>
      </c>
      <c r="L282" t="s">
        <v>596</v>
      </c>
      <c r="M282">
        <v>25</v>
      </c>
      <c r="N282" s="147">
        <v>45658</v>
      </c>
      <c r="O282" s="147"/>
    </row>
    <row r="283" spans="1:18" x14ac:dyDescent="0.3">
      <c r="A283" t="str">
        <f>TableMCINTSEC[[#This Row],[Study Package Code]]</f>
        <v>AC-INTSEC1</v>
      </c>
      <c r="B283" s="1">
        <f>TableMCINTSEC[[#This Row],[Ver]]</f>
        <v>0</v>
      </c>
      <c r="D283" t="str">
        <f>TableMCINTSEC[[#This Row],[Structure Line]]</f>
        <v>Choose COMS6004 or HUMN6001</v>
      </c>
      <c r="E283" s="95">
        <f>TableMCINTSEC[[#This Row],[Credit Points]]</f>
        <v>50</v>
      </c>
      <c r="F283">
        <v>3</v>
      </c>
      <c r="G283" t="s">
        <v>702</v>
      </c>
      <c r="H283">
        <v>1</v>
      </c>
      <c r="I283" t="s">
        <v>703</v>
      </c>
      <c r="J283" t="s">
        <v>356</v>
      </c>
      <c r="K283">
        <v>0</v>
      </c>
      <c r="L283" t="s">
        <v>731</v>
      </c>
      <c r="M283">
        <v>50</v>
      </c>
      <c r="N283" s="147"/>
      <c r="O283" s="147"/>
    </row>
    <row r="284" spans="1:18" x14ac:dyDescent="0.3">
      <c r="A284" t="str">
        <f>TableMCINTSEC[[#This Row],[Study Package Code]]</f>
        <v>AC-INTSEC2</v>
      </c>
      <c r="B284" s="1">
        <f>TableMCINTSEC[[#This Row],[Ver]]</f>
        <v>0</v>
      </c>
      <c r="D284" t="str">
        <f>TableMCINTSEC[[#This Row],[Structure Line]]</f>
        <v>Choose COMS6002 or HUMN6003</v>
      </c>
      <c r="E284" s="95">
        <f>TableMCINTSEC[[#This Row],[Credit Points]]</f>
        <v>50</v>
      </c>
      <c r="F284">
        <v>4</v>
      </c>
      <c r="G284" t="s">
        <v>702</v>
      </c>
      <c r="H284">
        <v>2</v>
      </c>
      <c r="I284" t="s">
        <v>703</v>
      </c>
      <c r="J284" t="s">
        <v>357</v>
      </c>
      <c r="K284">
        <v>0</v>
      </c>
      <c r="L284" t="s">
        <v>730</v>
      </c>
      <c r="M284">
        <v>50</v>
      </c>
      <c r="N284" s="147"/>
      <c r="O284" s="147"/>
    </row>
    <row r="285" spans="1:18" x14ac:dyDescent="0.3">
      <c r="A285" t="str">
        <f>TableMCINTSEC[[#This Row],[Study Package Code]]</f>
        <v>Opt-INTSEC</v>
      </c>
      <c r="B285" s="1">
        <f>TableMCINTSEC[[#This Row],[Ver]]</f>
        <v>0</v>
      </c>
      <c r="D285" t="str">
        <f>TableMCINTSEC[[#This Row],[Structure Line]]</f>
        <v>Choose Options</v>
      </c>
      <c r="E285" s="95">
        <f>TableMCINTSEC[[#This Row],[Credit Points]]</f>
        <v>150</v>
      </c>
      <c r="F285">
        <v>5</v>
      </c>
      <c r="G285" t="s">
        <v>708</v>
      </c>
      <c r="H285">
        <v>0</v>
      </c>
      <c r="I285" t="s">
        <v>703</v>
      </c>
      <c r="J285" t="s">
        <v>354</v>
      </c>
      <c r="K285">
        <v>0</v>
      </c>
      <c r="L285" t="s">
        <v>709</v>
      </c>
      <c r="M285">
        <v>150</v>
      </c>
      <c r="N285" s="147"/>
      <c r="O285" s="147"/>
    </row>
    <row r="286" spans="1:18" x14ac:dyDescent="0.3">
      <c r="A286" t="str">
        <f>TableMCINTSEC[[#This Row],[Study Package Code]]</f>
        <v>COMS6004</v>
      </c>
      <c r="B286" s="1">
        <f>TableMCINTSEC[[#This Row],[Ver]]</f>
        <v>2</v>
      </c>
      <c r="D286" t="str">
        <f>TableMCINTSEC[[#This Row],[Structure Line]]</f>
        <v>Masters Professional or Creative Project</v>
      </c>
      <c r="E286" s="95">
        <f>TableMCINTSEC[[#This Row],[Credit Points]]</f>
        <v>50</v>
      </c>
      <c r="F286">
        <v>3</v>
      </c>
      <c r="G286" t="s">
        <v>702</v>
      </c>
      <c r="H286">
        <v>1</v>
      </c>
      <c r="I286" t="s">
        <v>703</v>
      </c>
      <c r="J286" t="s">
        <v>155</v>
      </c>
      <c r="K286">
        <v>2</v>
      </c>
      <c r="L286" t="s">
        <v>439</v>
      </c>
      <c r="M286">
        <v>50</v>
      </c>
      <c r="N286" s="147">
        <v>45292</v>
      </c>
      <c r="O286" s="147"/>
    </row>
    <row r="287" spans="1:18" x14ac:dyDescent="0.3">
      <c r="A287" t="str">
        <f>TableMCINTSEC[[#This Row],[Study Package Code]]</f>
        <v>HUMN6001</v>
      </c>
      <c r="B287" s="1">
        <f>TableMCINTSEC[[#This Row],[Ver]]</f>
        <v>1</v>
      </c>
      <c r="D287" t="str">
        <f>TableMCINTSEC[[#This Row],[Structure Line]]</f>
        <v>Masters Research Project 1</v>
      </c>
      <c r="E287" s="95">
        <f>TableMCINTSEC[[#This Row],[Credit Points]]</f>
        <v>50</v>
      </c>
      <c r="F287">
        <v>3</v>
      </c>
      <c r="G287" t="s">
        <v>702</v>
      </c>
      <c r="H287">
        <v>1</v>
      </c>
      <c r="I287" t="s">
        <v>703</v>
      </c>
      <c r="J287" t="s">
        <v>181</v>
      </c>
      <c r="K287">
        <v>1</v>
      </c>
      <c r="L287" t="s">
        <v>711</v>
      </c>
      <c r="M287">
        <v>50</v>
      </c>
      <c r="N287" s="147">
        <v>45292</v>
      </c>
      <c r="O287" s="147"/>
    </row>
    <row r="288" spans="1:18" x14ac:dyDescent="0.3">
      <c r="A288" t="str">
        <f>TableMCINTSEC[[#This Row],[Study Package Code]]</f>
        <v>COMS6002</v>
      </c>
      <c r="B288" s="1">
        <f>TableMCINTSEC[[#This Row],[Ver]]</f>
        <v>3</v>
      </c>
      <c r="D288" t="str">
        <f>TableMCINTSEC[[#This Row],[Structure Line]]</f>
        <v>Masters Professional Experience</v>
      </c>
      <c r="E288" s="95">
        <f>TableMCINTSEC[[#This Row],[Credit Points]]</f>
        <v>50</v>
      </c>
      <c r="F288">
        <v>4</v>
      </c>
      <c r="G288" t="s">
        <v>702</v>
      </c>
      <c r="H288">
        <v>2</v>
      </c>
      <c r="I288" t="s">
        <v>703</v>
      </c>
      <c r="J288" t="s">
        <v>177</v>
      </c>
      <c r="K288">
        <v>3</v>
      </c>
      <c r="L288" t="s">
        <v>437</v>
      </c>
      <c r="M288">
        <v>50</v>
      </c>
      <c r="N288" s="147">
        <v>45292</v>
      </c>
      <c r="O288" s="147"/>
    </row>
    <row r="289" spans="1:18" x14ac:dyDescent="0.3">
      <c r="A289" t="str">
        <f>TableMCINTSEC[[#This Row],[Study Package Code]]</f>
        <v>HUMN6003</v>
      </c>
      <c r="B289" s="1">
        <f>TableMCINTSEC[[#This Row],[Ver]]</f>
        <v>1</v>
      </c>
      <c r="D289" t="str">
        <f>TableMCINTSEC[[#This Row],[Structure Line]]</f>
        <v>Masters Research Project 2</v>
      </c>
      <c r="E289" s="95">
        <f>TableMCINTSEC[[#This Row],[Credit Points]]</f>
        <v>50</v>
      </c>
      <c r="F289">
        <v>4</v>
      </c>
      <c r="G289" t="s">
        <v>702</v>
      </c>
      <c r="H289">
        <v>2</v>
      </c>
      <c r="I289" t="s">
        <v>703</v>
      </c>
      <c r="J289" t="s">
        <v>161</v>
      </c>
      <c r="K289">
        <v>1</v>
      </c>
      <c r="L289" t="s">
        <v>710</v>
      </c>
      <c r="M289">
        <v>50</v>
      </c>
      <c r="N289" s="147">
        <v>45292</v>
      </c>
      <c r="O289" s="147"/>
    </row>
    <row r="290" spans="1:18" x14ac:dyDescent="0.3">
      <c r="A290" t="str">
        <f>TableMCINTSEC[[#This Row],[Study Package Code]]</f>
        <v>INTR5001</v>
      </c>
      <c r="B290" s="1">
        <f>TableMCINTSEC[[#This Row],[Ver]]</f>
        <v>2</v>
      </c>
      <c r="D290" t="str">
        <f>TableMCINTSEC[[#This Row],[Structure Line]]</f>
        <v>Women, Peace and Security</v>
      </c>
      <c r="E290" s="95">
        <f>TableMCINTSEC[[#This Row],[Credit Points]]</f>
        <v>25</v>
      </c>
      <c r="F290">
        <v>5</v>
      </c>
      <c r="G290" t="s">
        <v>708</v>
      </c>
      <c r="H290">
        <v>0</v>
      </c>
      <c r="I290" t="s">
        <v>703</v>
      </c>
      <c r="J290" t="s">
        <v>369</v>
      </c>
      <c r="K290">
        <v>2</v>
      </c>
      <c r="L290" t="s">
        <v>486</v>
      </c>
      <c r="M290">
        <v>25</v>
      </c>
      <c r="N290" s="147">
        <v>45658</v>
      </c>
      <c r="O290" s="147"/>
    </row>
    <row r="291" spans="1:18" x14ac:dyDescent="0.3">
      <c r="A291" t="str">
        <f>TableMCINTSEC[[#This Row],[Study Package Code]]</f>
        <v>INTR5002</v>
      </c>
      <c r="B291" s="1">
        <f>TableMCINTSEC[[#This Row],[Ver]]</f>
        <v>2</v>
      </c>
      <c r="D291" t="str">
        <f>TableMCINTSEC[[#This Row],[Structure Line]]</f>
        <v>The Geopolitics of East Asia</v>
      </c>
      <c r="E291" s="95">
        <f>TableMCINTSEC[[#This Row],[Credit Points]]</f>
        <v>25</v>
      </c>
      <c r="F291">
        <v>5</v>
      </c>
      <c r="G291" t="s">
        <v>708</v>
      </c>
      <c r="H291">
        <v>0</v>
      </c>
      <c r="I291" t="s">
        <v>703</v>
      </c>
      <c r="J291" t="s">
        <v>320</v>
      </c>
      <c r="K291">
        <v>2</v>
      </c>
      <c r="L291" t="s">
        <v>487</v>
      </c>
      <c r="M291">
        <v>25</v>
      </c>
      <c r="N291" s="147">
        <v>45658</v>
      </c>
      <c r="O291" s="147"/>
    </row>
    <row r="292" spans="1:18" x14ac:dyDescent="0.3">
      <c r="A292" t="str">
        <f>TableMCINTSEC[[#This Row],[Study Package Code]]</f>
        <v>INTR5003</v>
      </c>
      <c r="B292" s="1">
        <f>TableMCINTSEC[[#This Row],[Ver]]</f>
        <v>2</v>
      </c>
      <c r="D292" t="str">
        <f>TableMCINTSEC[[#This Row],[Structure Line]]</f>
        <v>Strategic Geography, Planning and Decision-making</v>
      </c>
      <c r="E292" s="95">
        <f>TableMCINTSEC[[#This Row],[Credit Points]]</f>
        <v>25</v>
      </c>
      <c r="F292">
        <v>5</v>
      </c>
      <c r="G292" t="s">
        <v>708</v>
      </c>
      <c r="H292">
        <v>0</v>
      </c>
      <c r="I292" t="s">
        <v>703</v>
      </c>
      <c r="J292" t="s">
        <v>372</v>
      </c>
      <c r="K292">
        <v>2</v>
      </c>
      <c r="L292" t="s">
        <v>490</v>
      </c>
      <c r="M292">
        <v>25</v>
      </c>
      <c r="N292" s="147">
        <v>45658</v>
      </c>
      <c r="O292" s="147"/>
    </row>
    <row r="293" spans="1:18" x14ac:dyDescent="0.3">
      <c r="A293" t="str">
        <f>TableMCINTSEC[[#This Row],[Study Package Code]]</f>
        <v>INTR5004</v>
      </c>
      <c r="B293" s="1">
        <f>TableMCINTSEC[[#This Row],[Ver]]</f>
        <v>1</v>
      </c>
      <c r="D293" t="str">
        <f>TableMCINTSEC[[#This Row],[Structure Line]]</f>
        <v>Russian and Eurasian Studies</v>
      </c>
      <c r="E293" s="95">
        <f>TableMCINTSEC[[#This Row],[Credit Points]]</f>
        <v>25</v>
      </c>
      <c r="F293">
        <v>5</v>
      </c>
      <c r="G293" t="s">
        <v>708</v>
      </c>
      <c r="H293">
        <v>0</v>
      </c>
      <c r="I293" t="s">
        <v>703</v>
      </c>
      <c r="J293" t="s">
        <v>352</v>
      </c>
      <c r="K293">
        <v>1</v>
      </c>
      <c r="L293" t="s">
        <v>493</v>
      </c>
      <c r="M293">
        <v>25</v>
      </c>
      <c r="N293" s="147">
        <v>42005</v>
      </c>
      <c r="O293" s="147"/>
    </row>
    <row r="294" spans="1:18" x14ac:dyDescent="0.3">
      <c r="A294" t="str">
        <f>TableMCINTSEC[[#This Row],[Study Package Code]]</f>
        <v>INTR5005</v>
      </c>
      <c r="B294" s="1">
        <f>TableMCINTSEC[[#This Row],[Ver]]</f>
        <v>1</v>
      </c>
      <c r="D294" t="str">
        <f>TableMCINTSEC[[#This Row],[Structure Line]]</f>
        <v>Globalised Terrorism</v>
      </c>
      <c r="E294" s="95">
        <f>TableMCINTSEC[[#This Row],[Credit Points]]</f>
        <v>25</v>
      </c>
      <c r="F294">
        <v>5</v>
      </c>
      <c r="G294" t="s">
        <v>708</v>
      </c>
      <c r="H294">
        <v>0</v>
      </c>
      <c r="I294" t="s">
        <v>703</v>
      </c>
      <c r="J294" t="s">
        <v>376</v>
      </c>
      <c r="K294">
        <v>1</v>
      </c>
      <c r="L294" t="s">
        <v>494</v>
      </c>
      <c r="M294">
        <v>25</v>
      </c>
      <c r="N294" s="147">
        <v>42005</v>
      </c>
      <c r="O294" s="147"/>
    </row>
    <row r="295" spans="1:18" x14ac:dyDescent="0.3">
      <c r="A295" t="str">
        <f>TableMCINTSEC[[#This Row],[Study Package Code]]</f>
        <v>INTR5006</v>
      </c>
      <c r="B295" s="1">
        <f>TableMCINTSEC[[#This Row],[Ver]]</f>
        <v>1</v>
      </c>
      <c r="D295" t="str">
        <f>TableMCINTSEC[[#This Row],[Structure Line]]</f>
        <v>Intelligence and Analysis</v>
      </c>
      <c r="E295" s="95">
        <f>TableMCINTSEC[[#This Row],[Credit Points]]</f>
        <v>25</v>
      </c>
      <c r="F295">
        <v>5</v>
      </c>
      <c r="G295" t="s">
        <v>708</v>
      </c>
      <c r="H295">
        <v>0</v>
      </c>
      <c r="I295" t="s">
        <v>703</v>
      </c>
      <c r="J295" t="s">
        <v>321</v>
      </c>
      <c r="K295">
        <v>1</v>
      </c>
      <c r="L295" t="s">
        <v>495</v>
      </c>
      <c r="M295">
        <v>25</v>
      </c>
      <c r="N295" s="147">
        <v>42005</v>
      </c>
      <c r="O295" s="147"/>
    </row>
    <row r="296" spans="1:18" x14ac:dyDescent="0.3">
      <c r="A296" t="str">
        <f>TableMCINTSEC[[#This Row],[Study Package Code]]</f>
        <v>INTR5008</v>
      </c>
      <c r="B296" s="1">
        <f>TableMCINTSEC[[#This Row],[Ver]]</f>
        <v>2</v>
      </c>
      <c r="D296" t="str">
        <f>TableMCINTSEC[[#This Row],[Structure Line]]</f>
        <v>Cultures of Violence and Conflict</v>
      </c>
      <c r="E296" s="95">
        <f>TableMCINTSEC[[#This Row],[Credit Points]]</f>
        <v>25</v>
      </c>
      <c r="F296">
        <v>5</v>
      </c>
      <c r="G296" t="s">
        <v>708</v>
      </c>
      <c r="H296">
        <v>0</v>
      </c>
      <c r="I296" t="s">
        <v>703</v>
      </c>
      <c r="J296" t="s">
        <v>378</v>
      </c>
      <c r="K296">
        <v>2</v>
      </c>
      <c r="L296" t="s">
        <v>496</v>
      </c>
      <c r="M296">
        <v>25</v>
      </c>
      <c r="N296" s="147">
        <v>44927</v>
      </c>
      <c r="O296" s="147"/>
    </row>
    <row r="297" spans="1:18" x14ac:dyDescent="0.3">
      <c r="A297" t="str">
        <f>TableMCINTSEC[[#This Row],[Study Package Code]]</f>
        <v>INTR5009</v>
      </c>
      <c r="B297" s="1">
        <f>TableMCINTSEC[[#This Row],[Ver]]</f>
        <v>2</v>
      </c>
      <c r="D297" t="str">
        <f>TableMCINTSEC[[#This Row],[Structure Line]]</f>
        <v>Cyber Conflict, Information Operations and Espionage</v>
      </c>
      <c r="E297" s="95">
        <f>TableMCINTSEC[[#This Row],[Credit Points]]</f>
        <v>25</v>
      </c>
      <c r="F297">
        <v>5</v>
      </c>
      <c r="G297" t="s">
        <v>708</v>
      </c>
      <c r="H297">
        <v>0</v>
      </c>
      <c r="I297" t="s">
        <v>703</v>
      </c>
      <c r="J297" t="s">
        <v>353</v>
      </c>
      <c r="K297">
        <v>2</v>
      </c>
      <c r="L297" t="s">
        <v>497</v>
      </c>
      <c r="M297">
        <v>25</v>
      </c>
      <c r="N297" s="147">
        <v>45658</v>
      </c>
      <c r="O297" s="147"/>
    </row>
    <row r="298" spans="1:18" x14ac:dyDescent="0.3">
      <c r="A298" t="str">
        <f>TableMCINTSEC[[#This Row],[Study Package Code]]</f>
        <v>POLS5002</v>
      </c>
      <c r="B298" s="1">
        <f>TableMCINTSEC[[#This Row],[Ver]]</f>
        <v>2</v>
      </c>
      <c r="D298" t="str">
        <f>TableMCINTSEC[[#This Row],[Structure Line]]</f>
        <v>Security and Conflict in the Indian Ocean and the Middle East</v>
      </c>
      <c r="E298" s="95">
        <f>TableMCINTSEC[[#This Row],[Credit Points]]</f>
        <v>25</v>
      </c>
      <c r="F298">
        <v>5</v>
      </c>
      <c r="G298" t="s">
        <v>708</v>
      </c>
      <c r="H298">
        <v>0</v>
      </c>
      <c r="I298" t="s">
        <v>703</v>
      </c>
      <c r="J298" t="s">
        <v>351</v>
      </c>
      <c r="K298">
        <v>2</v>
      </c>
      <c r="L298" t="s">
        <v>593</v>
      </c>
      <c r="M298">
        <v>25</v>
      </c>
      <c r="N298" s="147">
        <v>45658</v>
      </c>
      <c r="O298" s="147"/>
    </row>
    <row r="299" spans="1:18" x14ac:dyDescent="0.3">
      <c r="A299" t="str">
        <f>TableMCINTSEC[[#This Row],[Study Package Code]]</f>
        <v>POLS5004</v>
      </c>
      <c r="B299" s="1">
        <f>TableMCINTSEC[[#This Row],[Ver]]</f>
        <v>2</v>
      </c>
      <c r="D299" t="str">
        <f>TableMCINTSEC[[#This Row],[Structure Line]]</f>
        <v>Environmental and Energy Security</v>
      </c>
      <c r="E299" s="95">
        <f>TableMCINTSEC[[#This Row],[Credit Points]]</f>
        <v>25</v>
      </c>
      <c r="F299">
        <v>5</v>
      </c>
      <c r="G299" t="s">
        <v>708</v>
      </c>
      <c r="H299">
        <v>0</v>
      </c>
      <c r="I299" t="s">
        <v>703</v>
      </c>
      <c r="J299" t="s">
        <v>323</v>
      </c>
      <c r="K299">
        <v>2</v>
      </c>
      <c r="L299" t="s">
        <v>599</v>
      </c>
      <c r="M299">
        <v>25</v>
      </c>
      <c r="N299" s="147">
        <v>45658</v>
      </c>
      <c r="O299" s="147"/>
    </row>
    <row r="300" spans="1:18" x14ac:dyDescent="0.3">
      <c r="B300"/>
      <c r="E300"/>
      <c r="F300" s="93"/>
      <c r="G300" s="94" t="s">
        <v>689</v>
      </c>
      <c r="H300" s="228">
        <v>45658</v>
      </c>
      <c r="I300" s="146"/>
      <c r="J300" s="232" t="s">
        <v>139</v>
      </c>
      <c r="K300" s="229" t="s">
        <v>87</v>
      </c>
      <c r="L300" s="232" t="s">
        <v>138</v>
      </c>
      <c r="M300" s="146"/>
      <c r="N300" s="180" t="s">
        <v>690</v>
      </c>
      <c r="O300" s="147">
        <v>45583</v>
      </c>
    </row>
    <row r="301" spans="1:18" x14ac:dyDescent="0.3">
      <c r="A301" t="s">
        <v>0</v>
      </c>
      <c r="B301" s="1" t="s">
        <v>691</v>
      </c>
      <c r="C301" t="s">
        <v>692</v>
      </c>
      <c r="D301" t="s">
        <v>3</v>
      </c>
      <c r="E301" s="95" t="s">
        <v>693</v>
      </c>
      <c r="F301" t="s">
        <v>694</v>
      </c>
      <c r="G301" t="s">
        <v>695</v>
      </c>
      <c r="H301" t="s">
        <v>696</v>
      </c>
      <c r="I301" t="s">
        <v>22</v>
      </c>
      <c r="J301" t="s">
        <v>697</v>
      </c>
      <c r="K301" t="s">
        <v>1</v>
      </c>
      <c r="L301" t="s">
        <v>698</v>
      </c>
      <c r="M301" t="s">
        <v>53</v>
      </c>
      <c r="N301" t="s">
        <v>699</v>
      </c>
      <c r="O301" t="s">
        <v>700</v>
      </c>
      <c r="Q301" t="s">
        <v>701</v>
      </c>
      <c r="R301" t="s">
        <v>1</v>
      </c>
    </row>
    <row r="302" spans="1:18" x14ac:dyDescent="0.3">
      <c r="A302" t="str">
        <f>TableGDINTSEC[[#This Row],[Study Package Code]]</f>
        <v>COMS6002</v>
      </c>
      <c r="B302" s="1">
        <f>TableGDINTSEC[[#This Row],[Ver]]</f>
        <v>3</v>
      </c>
      <c r="D302" t="str">
        <f>TableGDINTSEC[[#This Row],[Structure Line]]</f>
        <v>Masters Professional Experience</v>
      </c>
      <c r="E302" s="95">
        <f>TableGDINTSEC[[#This Row],[Credit Points]]</f>
        <v>50</v>
      </c>
      <c r="F302">
        <v>1</v>
      </c>
      <c r="G302" t="s">
        <v>706</v>
      </c>
      <c r="H302">
        <v>1</v>
      </c>
      <c r="I302" t="s">
        <v>703</v>
      </c>
      <c r="J302" t="s">
        <v>177</v>
      </c>
      <c r="K302">
        <v>3</v>
      </c>
      <c r="L302" t="s">
        <v>437</v>
      </c>
      <c r="M302">
        <v>50</v>
      </c>
      <c r="N302" s="147">
        <v>45292</v>
      </c>
      <c r="O302" s="147"/>
    </row>
    <row r="303" spans="1:18" x14ac:dyDescent="0.3">
      <c r="A303" t="str">
        <f>TableGDINTSEC[[#This Row],[Study Package Code]]</f>
        <v>COMS6004</v>
      </c>
      <c r="B303" s="1">
        <f>TableGDINTSEC[[#This Row],[Ver]]</f>
        <v>2</v>
      </c>
      <c r="D303" t="str">
        <f>TableGDINTSEC[[#This Row],[Structure Line]]</f>
        <v>Masters Professional or Creative Project</v>
      </c>
      <c r="E303" s="95">
        <f>TableGDINTSEC[[#This Row],[Credit Points]]</f>
        <v>50</v>
      </c>
      <c r="F303">
        <v>2</v>
      </c>
      <c r="G303" t="s">
        <v>706</v>
      </c>
      <c r="H303">
        <v>1</v>
      </c>
      <c r="I303" t="s">
        <v>703</v>
      </c>
      <c r="J303" t="s">
        <v>155</v>
      </c>
      <c r="K303">
        <v>2</v>
      </c>
      <c r="L303" t="s">
        <v>439</v>
      </c>
      <c r="M303">
        <v>50</v>
      </c>
      <c r="N303" s="147">
        <v>45292</v>
      </c>
      <c r="O303" s="147"/>
    </row>
    <row r="304" spans="1:18" x14ac:dyDescent="0.3">
      <c r="A304" t="str">
        <f>TableGDINTSEC[[#This Row],[Study Package Code]]</f>
        <v>AC-INTSEC3</v>
      </c>
      <c r="B304" s="1">
        <f>TableGDINTSEC[[#This Row],[Ver]]</f>
        <v>0</v>
      </c>
      <c r="D304" t="str">
        <f>TableGDINTSEC[[#This Row],[Structure Line]]</f>
        <v>Choose POLS5000 or POLS5003</v>
      </c>
      <c r="E304" s="95">
        <f>TableGDINTSEC[[#This Row],[Credit Points]]</f>
        <v>25</v>
      </c>
      <c r="F304">
        <v>3</v>
      </c>
      <c r="G304" t="s">
        <v>702</v>
      </c>
      <c r="H304">
        <v>1</v>
      </c>
      <c r="I304" t="s">
        <v>703</v>
      </c>
      <c r="J304" t="s">
        <v>363</v>
      </c>
      <c r="K304">
        <v>0</v>
      </c>
      <c r="L304" t="s">
        <v>732</v>
      </c>
      <c r="M304">
        <v>25</v>
      </c>
      <c r="N304" s="147"/>
      <c r="O304" s="147"/>
    </row>
    <row r="305" spans="1:18" x14ac:dyDescent="0.3">
      <c r="A305" t="str">
        <f>TableGDINTSEC[[#This Row],[Study Package Code]]</f>
        <v>Opt-INTSEC</v>
      </c>
      <c r="B305" s="1">
        <f>TableGDINTSEC[[#This Row],[Ver]]</f>
        <v>0</v>
      </c>
      <c r="D305" t="str">
        <f>TableGDINTSEC[[#This Row],[Structure Line]]</f>
        <v>Choose Options</v>
      </c>
      <c r="E305" s="95">
        <f>TableGDINTSEC[[#This Row],[Credit Points]]</f>
        <v>75</v>
      </c>
      <c r="F305">
        <v>4</v>
      </c>
      <c r="G305" t="s">
        <v>708</v>
      </c>
      <c r="H305">
        <v>0</v>
      </c>
      <c r="I305" t="s">
        <v>703</v>
      </c>
      <c r="J305" t="s">
        <v>354</v>
      </c>
      <c r="K305">
        <v>0</v>
      </c>
      <c r="L305" t="s">
        <v>709</v>
      </c>
      <c r="M305">
        <v>75</v>
      </c>
      <c r="N305" s="147"/>
      <c r="O305" s="147"/>
    </row>
    <row r="306" spans="1:18" x14ac:dyDescent="0.3">
      <c r="A306" t="str">
        <f>TableGDINTSEC[[#This Row],[Study Package Code]]</f>
        <v>POLS5000</v>
      </c>
      <c r="B306" s="1">
        <f>TableGDINTSEC[[#This Row],[Ver]]</f>
        <v>0</v>
      </c>
      <c r="D306" t="str">
        <f>TableGDINTSEC[[#This Row],[Structure Line]]</f>
        <v>International Security in Theory and Practice</v>
      </c>
      <c r="E306" s="95">
        <f>TableGDINTSEC[[#This Row],[Credit Points]]</f>
        <v>25</v>
      </c>
      <c r="F306">
        <v>3</v>
      </c>
      <c r="G306" t="s">
        <v>702</v>
      </c>
      <c r="H306">
        <v>1</v>
      </c>
      <c r="I306" t="s">
        <v>703</v>
      </c>
      <c r="J306" t="s">
        <v>322</v>
      </c>
      <c r="K306">
        <v>0</v>
      </c>
      <c r="L306" t="s">
        <v>590</v>
      </c>
      <c r="M306">
        <v>25</v>
      </c>
      <c r="N306" s="147">
        <v>45658</v>
      </c>
      <c r="O306" s="147"/>
    </row>
    <row r="307" spans="1:18" x14ac:dyDescent="0.3">
      <c r="A307" t="str">
        <f>TableGDINTSEC[[#This Row],[Study Package Code]]</f>
        <v>POLS5003</v>
      </c>
      <c r="B307" s="1">
        <f>TableGDINTSEC[[#This Row],[Ver]]</f>
        <v>2</v>
      </c>
      <c r="D307" t="str">
        <f>TableGDINTSEC[[#This Row],[Structure Line]]</f>
        <v>National Strategy and Security</v>
      </c>
      <c r="E307" s="95">
        <f>TableGDINTSEC[[#This Row],[Credit Points]]</f>
        <v>25</v>
      </c>
      <c r="F307">
        <v>3</v>
      </c>
      <c r="G307" t="s">
        <v>702</v>
      </c>
      <c r="H307">
        <v>1</v>
      </c>
      <c r="I307" t="s">
        <v>703</v>
      </c>
      <c r="J307" t="s">
        <v>350</v>
      </c>
      <c r="K307">
        <v>2</v>
      </c>
      <c r="L307" t="s">
        <v>596</v>
      </c>
      <c r="M307">
        <v>25</v>
      </c>
      <c r="N307" s="147">
        <v>45658</v>
      </c>
      <c r="O307" s="147"/>
    </row>
    <row r="308" spans="1:18" x14ac:dyDescent="0.3">
      <c r="A308" t="str">
        <f>TableGDINTSEC[[#This Row],[Study Package Code]]</f>
        <v>INTR5001</v>
      </c>
      <c r="B308" s="1">
        <f>TableGDINTSEC[[#This Row],[Ver]]</f>
        <v>2</v>
      </c>
      <c r="D308" t="str">
        <f>TableGDINTSEC[[#This Row],[Structure Line]]</f>
        <v>Women, Peace and Security</v>
      </c>
      <c r="E308" s="95">
        <f>TableGDINTSEC[[#This Row],[Credit Points]]</f>
        <v>25</v>
      </c>
      <c r="F308">
        <v>4</v>
      </c>
      <c r="G308" t="s">
        <v>708</v>
      </c>
      <c r="H308">
        <v>0</v>
      </c>
      <c r="I308" t="s">
        <v>703</v>
      </c>
      <c r="J308" t="s">
        <v>369</v>
      </c>
      <c r="K308">
        <v>2</v>
      </c>
      <c r="L308" t="s">
        <v>486</v>
      </c>
      <c r="M308">
        <v>25</v>
      </c>
      <c r="N308" s="147">
        <v>45658</v>
      </c>
      <c r="O308" s="147"/>
    </row>
    <row r="309" spans="1:18" x14ac:dyDescent="0.3">
      <c r="A309" t="str">
        <f>TableGDINTSEC[[#This Row],[Study Package Code]]</f>
        <v>INTR5002</v>
      </c>
      <c r="B309" s="1">
        <f>TableGDINTSEC[[#This Row],[Ver]]</f>
        <v>2</v>
      </c>
      <c r="D309" t="str">
        <f>TableGDINTSEC[[#This Row],[Structure Line]]</f>
        <v>The Geopolitics of East Asia</v>
      </c>
      <c r="E309" s="95">
        <f>TableGDINTSEC[[#This Row],[Credit Points]]</f>
        <v>25</v>
      </c>
      <c r="F309">
        <v>4</v>
      </c>
      <c r="G309" t="s">
        <v>708</v>
      </c>
      <c r="H309">
        <v>0</v>
      </c>
      <c r="I309" t="s">
        <v>703</v>
      </c>
      <c r="J309" t="s">
        <v>320</v>
      </c>
      <c r="K309">
        <v>2</v>
      </c>
      <c r="L309" t="s">
        <v>487</v>
      </c>
      <c r="M309">
        <v>25</v>
      </c>
      <c r="N309" s="147">
        <v>45658</v>
      </c>
      <c r="O309" s="147"/>
    </row>
    <row r="310" spans="1:18" x14ac:dyDescent="0.3">
      <c r="A310" t="str">
        <f>TableGDINTSEC[[#This Row],[Study Package Code]]</f>
        <v>INTR5003</v>
      </c>
      <c r="B310" s="1">
        <f>TableGDINTSEC[[#This Row],[Ver]]</f>
        <v>2</v>
      </c>
      <c r="D310" t="str">
        <f>TableGDINTSEC[[#This Row],[Structure Line]]</f>
        <v>Strategic Geography, Planning and Decision-making</v>
      </c>
      <c r="E310" s="95">
        <f>TableGDINTSEC[[#This Row],[Credit Points]]</f>
        <v>25</v>
      </c>
      <c r="F310">
        <v>4</v>
      </c>
      <c r="G310" t="s">
        <v>708</v>
      </c>
      <c r="H310">
        <v>0</v>
      </c>
      <c r="I310" t="s">
        <v>703</v>
      </c>
      <c r="J310" t="s">
        <v>372</v>
      </c>
      <c r="K310">
        <v>2</v>
      </c>
      <c r="L310" t="s">
        <v>490</v>
      </c>
      <c r="M310">
        <v>25</v>
      </c>
      <c r="N310" s="147">
        <v>45658</v>
      </c>
      <c r="O310" s="147"/>
    </row>
    <row r="311" spans="1:18" x14ac:dyDescent="0.3">
      <c r="A311" t="str">
        <f>TableGDINTSEC[[#This Row],[Study Package Code]]</f>
        <v>INTR5004</v>
      </c>
      <c r="B311" s="1">
        <f>TableGDINTSEC[[#This Row],[Ver]]</f>
        <v>1</v>
      </c>
      <c r="D311" t="str">
        <f>TableGDINTSEC[[#This Row],[Structure Line]]</f>
        <v>Russian and Eurasian Studies</v>
      </c>
      <c r="E311" s="95">
        <f>TableGDINTSEC[[#This Row],[Credit Points]]</f>
        <v>25</v>
      </c>
      <c r="F311">
        <v>4</v>
      </c>
      <c r="G311" t="s">
        <v>708</v>
      </c>
      <c r="H311">
        <v>0</v>
      </c>
      <c r="I311" t="s">
        <v>703</v>
      </c>
      <c r="J311" t="s">
        <v>352</v>
      </c>
      <c r="K311">
        <v>1</v>
      </c>
      <c r="L311" t="s">
        <v>493</v>
      </c>
      <c r="M311">
        <v>25</v>
      </c>
      <c r="N311" s="147">
        <v>42005</v>
      </c>
      <c r="O311" s="147"/>
    </row>
    <row r="312" spans="1:18" x14ac:dyDescent="0.3">
      <c r="A312" t="str">
        <f>TableGDINTSEC[[#This Row],[Study Package Code]]</f>
        <v>INTR5005</v>
      </c>
      <c r="B312" s="1">
        <f>TableGDINTSEC[[#This Row],[Ver]]</f>
        <v>1</v>
      </c>
      <c r="D312" t="str">
        <f>TableGDINTSEC[[#This Row],[Structure Line]]</f>
        <v>Globalised Terrorism</v>
      </c>
      <c r="E312" s="95">
        <f>TableGDINTSEC[[#This Row],[Credit Points]]</f>
        <v>25</v>
      </c>
      <c r="F312">
        <v>4</v>
      </c>
      <c r="G312" t="s">
        <v>708</v>
      </c>
      <c r="H312">
        <v>0</v>
      </c>
      <c r="I312" t="s">
        <v>703</v>
      </c>
      <c r="J312" t="s">
        <v>376</v>
      </c>
      <c r="K312">
        <v>1</v>
      </c>
      <c r="L312" t="s">
        <v>494</v>
      </c>
      <c r="M312">
        <v>25</v>
      </c>
      <c r="N312" s="147">
        <v>42005</v>
      </c>
      <c r="O312" s="147"/>
    </row>
    <row r="313" spans="1:18" x14ac:dyDescent="0.3">
      <c r="A313" t="str">
        <f>TableGDINTSEC[[#This Row],[Study Package Code]]</f>
        <v>INTR5006</v>
      </c>
      <c r="B313" s="1">
        <f>TableGDINTSEC[[#This Row],[Ver]]</f>
        <v>1</v>
      </c>
      <c r="D313" t="str">
        <f>TableGDINTSEC[[#This Row],[Structure Line]]</f>
        <v>Intelligence and Analysis</v>
      </c>
      <c r="E313" s="95">
        <f>TableGDINTSEC[[#This Row],[Credit Points]]</f>
        <v>25</v>
      </c>
      <c r="F313">
        <v>4</v>
      </c>
      <c r="G313" t="s">
        <v>708</v>
      </c>
      <c r="H313">
        <v>0</v>
      </c>
      <c r="I313" t="s">
        <v>703</v>
      </c>
      <c r="J313" t="s">
        <v>321</v>
      </c>
      <c r="K313">
        <v>1</v>
      </c>
      <c r="L313" t="s">
        <v>495</v>
      </c>
      <c r="M313">
        <v>25</v>
      </c>
      <c r="N313" s="147">
        <v>42005</v>
      </c>
      <c r="O313" s="147"/>
    </row>
    <row r="314" spans="1:18" x14ac:dyDescent="0.3">
      <c r="A314" t="str">
        <f>TableGDINTSEC[[#This Row],[Study Package Code]]</f>
        <v>INTR5008</v>
      </c>
      <c r="B314" s="1">
        <f>TableGDINTSEC[[#This Row],[Ver]]</f>
        <v>2</v>
      </c>
      <c r="D314" t="str">
        <f>TableGDINTSEC[[#This Row],[Structure Line]]</f>
        <v>Cultures of Violence and Conflict</v>
      </c>
      <c r="E314" s="95">
        <f>TableGDINTSEC[[#This Row],[Credit Points]]</f>
        <v>25</v>
      </c>
      <c r="F314">
        <v>4</v>
      </c>
      <c r="G314" t="s">
        <v>708</v>
      </c>
      <c r="H314">
        <v>0</v>
      </c>
      <c r="I314" t="s">
        <v>703</v>
      </c>
      <c r="J314" t="s">
        <v>378</v>
      </c>
      <c r="K314">
        <v>2</v>
      </c>
      <c r="L314" t="s">
        <v>496</v>
      </c>
      <c r="M314">
        <v>25</v>
      </c>
      <c r="N314" s="147">
        <v>44927</v>
      </c>
      <c r="O314" s="147"/>
    </row>
    <row r="315" spans="1:18" x14ac:dyDescent="0.3">
      <c r="A315" t="str">
        <f>TableGDINTSEC[[#This Row],[Study Package Code]]</f>
        <v>INTR5009</v>
      </c>
      <c r="B315" s="1">
        <f>TableGDINTSEC[[#This Row],[Ver]]</f>
        <v>2</v>
      </c>
      <c r="D315" t="str">
        <f>TableGDINTSEC[[#This Row],[Structure Line]]</f>
        <v>Cyber Conflict, Information Operations and Espionage</v>
      </c>
      <c r="E315" s="95">
        <f>TableGDINTSEC[[#This Row],[Credit Points]]</f>
        <v>25</v>
      </c>
      <c r="F315">
        <v>4</v>
      </c>
      <c r="G315" t="s">
        <v>708</v>
      </c>
      <c r="H315">
        <v>0</v>
      </c>
      <c r="I315" t="s">
        <v>703</v>
      </c>
      <c r="J315" t="s">
        <v>353</v>
      </c>
      <c r="K315">
        <v>2</v>
      </c>
      <c r="L315" t="s">
        <v>497</v>
      </c>
      <c r="M315">
        <v>25</v>
      </c>
      <c r="N315" s="147">
        <v>45658</v>
      </c>
      <c r="O315" s="147"/>
    </row>
    <row r="316" spans="1:18" x14ac:dyDescent="0.3">
      <c r="A316" t="str">
        <f>TableGDINTSEC[[#This Row],[Study Package Code]]</f>
        <v>POLS5002</v>
      </c>
      <c r="B316" s="1">
        <f>TableGDINTSEC[[#This Row],[Ver]]</f>
        <v>2</v>
      </c>
      <c r="D316" t="str">
        <f>TableGDINTSEC[[#This Row],[Structure Line]]</f>
        <v>Security and Conflict in the Indian Ocean and the Middle East</v>
      </c>
      <c r="E316" s="95">
        <f>TableGDINTSEC[[#This Row],[Credit Points]]</f>
        <v>25</v>
      </c>
      <c r="F316">
        <v>4</v>
      </c>
      <c r="G316" t="s">
        <v>708</v>
      </c>
      <c r="H316">
        <v>0</v>
      </c>
      <c r="I316" t="s">
        <v>703</v>
      </c>
      <c r="J316" t="s">
        <v>351</v>
      </c>
      <c r="K316">
        <v>2</v>
      </c>
      <c r="L316" t="s">
        <v>593</v>
      </c>
      <c r="M316">
        <v>25</v>
      </c>
      <c r="N316" s="147">
        <v>45658</v>
      </c>
      <c r="O316" s="147"/>
    </row>
    <row r="317" spans="1:18" x14ac:dyDescent="0.3">
      <c r="A317" t="str">
        <f>TableGDINTSEC[[#This Row],[Study Package Code]]</f>
        <v>POLS5004</v>
      </c>
      <c r="B317" s="1">
        <f>TableGDINTSEC[[#This Row],[Ver]]</f>
        <v>2</v>
      </c>
      <c r="D317" t="str">
        <f>TableGDINTSEC[[#This Row],[Structure Line]]</f>
        <v>Environmental and Energy Security</v>
      </c>
      <c r="E317" s="95">
        <f>TableGDINTSEC[[#This Row],[Credit Points]]</f>
        <v>25</v>
      </c>
      <c r="F317">
        <v>4</v>
      </c>
      <c r="G317" t="s">
        <v>708</v>
      </c>
      <c r="H317">
        <v>0</v>
      </c>
      <c r="I317" t="s">
        <v>703</v>
      </c>
      <c r="J317" t="s">
        <v>323</v>
      </c>
      <c r="K317">
        <v>2</v>
      </c>
      <c r="L317" t="s">
        <v>599</v>
      </c>
      <c r="M317">
        <v>25</v>
      </c>
      <c r="N317" s="147">
        <v>45658</v>
      </c>
      <c r="O317" s="147"/>
    </row>
    <row r="318" spans="1:18" x14ac:dyDescent="0.3">
      <c r="B318"/>
      <c r="E318"/>
      <c r="F318" s="93"/>
      <c r="G318" s="94" t="s">
        <v>689</v>
      </c>
      <c r="H318" s="228">
        <v>45658</v>
      </c>
      <c r="I318" s="146"/>
      <c r="J318" s="232" t="s">
        <v>133</v>
      </c>
      <c r="K318" s="229" t="s">
        <v>87</v>
      </c>
      <c r="L318" s="232" t="s">
        <v>132</v>
      </c>
      <c r="M318" s="146"/>
      <c r="N318" s="180" t="s">
        <v>690</v>
      </c>
      <c r="O318" s="147">
        <v>45583</v>
      </c>
    </row>
    <row r="319" spans="1:18" x14ac:dyDescent="0.3">
      <c r="A319" t="s">
        <v>0</v>
      </c>
      <c r="B319" s="1" t="s">
        <v>691</v>
      </c>
      <c r="C319" t="s">
        <v>692</v>
      </c>
      <c r="D319" t="s">
        <v>3</v>
      </c>
      <c r="E319" s="95" t="s">
        <v>693</v>
      </c>
      <c r="F319" t="s">
        <v>694</v>
      </c>
      <c r="G319" t="s">
        <v>695</v>
      </c>
      <c r="H319" t="s">
        <v>696</v>
      </c>
      <c r="I319" t="s">
        <v>22</v>
      </c>
      <c r="J319" t="s">
        <v>697</v>
      </c>
      <c r="K319" t="s">
        <v>1</v>
      </c>
      <c r="L319" t="s">
        <v>698</v>
      </c>
      <c r="M319" t="s">
        <v>53</v>
      </c>
      <c r="N319" t="s">
        <v>699</v>
      </c>
      <c r="O319" t="s">
        <v>700</v>
      </c>
      <c r="Q319" t="s">
        <v>701</v>
      </c>
      <c r="R319" t="s">
        <v>1</v>
      </c>
    </row>
    <row r="320" spans="1:18" x14ac:dyDescent="0.3">
      <c r="A320" t="str">
        <f>TableGCINTSEC[[#This Row],[Study Package Code]]</f>
        <v>Opt-INTSEC</v>
      </c>
      <c r="B320" s="1">
        <f>TableGCINTSEC[[#This Row],[Ver]]</f>
        <v>0</v>
      </c>
      <c r="D320" t="str">
        <f>TableGCINTSEC[[#This Row],[Structure Line]]</f>
        <v>Choose Options</v>
      </c>
      <c r="E320" s="95">
        <f>TableGCINTSEC[[#This Row],[Credit Points]]</f>
        <v>75</v>
      </c>
      <c r="F320">
        <v>1</v>
      </c>
      <c r="G320" t="s">
        <v>708</v>
      </c>
      <c r="H320">
        <v>0</v>
      </c>
      <c r="I320" t="s">
        <v>703</v>
      </c>
      <c r="J320" t="s">
        <v>354</v>
      </c>
      <c r="L320" t="s">
        <v>709</v>
      </c>
      <c r="M320">
        <v>75</v>
      </c>
      <c r="N320" s="147"/>
      <c r="O320" s="147"/>
    </row>
    <row r="321" spans="1:18" x14ac:dyDescent="0.3">
      <c r="A321" t="str">
        <f>TableGCINTSEC[[#This Row],[Study Package Code]]</f>
        <v>AC-INTSEC3</v>
      </c>
      <c r="B321" s="1">
        <f>TableGCINTSEC[[#This Row],[Ver]]</f>
        <v>0</v>
      </c>
      <c r="D321" t="str">
        <f>TableGCINTSEC[[#This Row],[Structure Line]]</f>
        <v>Choose POLS5000 or POLS5003</v>
      </c>
      <c r="E321" s="95">
        <f>TableGCINTSEC[[#This Row],[Credit Points]]</f>
        <v>25</v>
      </c>
      <c r="F321">
        <v>2</v>
      </c>
      <c r="G321" t="s">
        <v>702</v>
      </c>
      <c r="H321">
        <v>1</v>
      </c>
      <c r="I321" t="s">
        <v>703</v>
      </c>
      <c r="J321" t="s">
        <v>363</v>
      </c>
      <c r="K321">
        <v>0</v>
      </c>
      <c r="L321" t="s">
        <v>732</v>
      </c>
      <c r="M321">
        <v>25</v>
      </c>
      <c r="N321" s="147"/>
      <c r="O321" s="147"/>
    </row>
    <row r="322" spans="1:18" x14ac:dyDescent="0.3">
      <c r="A322" t="str">
        <f>TableGCINTSEC[[#This Row],[Study Package Code]]</f>
        <v>INTR5001</v>
      </c>
      <c r="B322" s="1">
        <f>TableGCINTSEC[[#This Row],[Ver]]</f>
        <v>2</v>
      </c>
      <c r="D322" t="str">
        <f>TableGCINTSEC[[#This Row],[Structure Line]]</f>
        <v>Women, Peace and Security</v>
      </c>
      <c r="E322" s="95">
        <f>TableGCINTSEC[[#This Row],[Credit Points]]</f>
        <v>25</v>
      </c>
      <c r="F322">
        <v>1</v>
      </c>
      <c r="G322" t="s">
        <v>708</v>
      </c>
      <c r="H322">
        <v>0</v>
      </c>
      <c r="I322" t="s">
        <v>703</v>
      </c>
      <c r="J322" t="s">
        <v>369</v>
      </c>
      <c r="K322">
        <v>2</v>
      </c>
      <c r="L322" t="s">
        <v>486</v>
      </c>
      <c r="M322">
        <v>25</v>
      </c>
      <c r="N322" s="147">
        <v>45658</v>
      </c>
      <c r="O322" s="147"/>
    </row>
    <row r="323" spans="1:18" x14ac:dyDescent="0.3">
      <c r="A323" t="str">
        <f>TableGCINTSEC[[#This Row],[Study Package Code]]</f>
        <v>INTR5002</v>
      </c>
      <c r="B323" s="1">
        <f>TableGCINTSEC[[#This Row],[Ver]]</f>
        <v>2</v>
      </c>
      <c r="D323" t="str">
        <f>TableGCINTSEC[[#This Row],[Structure Line]]</f>
        <v>The Geopolitics of East Asia</v>
      </c>
      <c r="E323" s="95">
        <f>TableGCINTSEC[[#This Row],[Credit Points]]</f>
        <v>25</v>
      </c>
      <c r="F323">
        <v>1</v>
      </c>
      <c r="G323" t="s">
        <v>708</v>
      </c>
      <c r="H323">
        <v>0</v>
      </c>
      <c r="I323" t="s">
        <v>703</v>
      </c>
      <c r="J323" t="s">
        <v>320</v>
      </c>
      <c r="K323">
        <v>2</v>
      </c>
      <c r="L323" t="s">
        <v>487</v>
      </c>
      <c r="M323">
        <v>25</v>
      </c>
      <c r="N323" s="147">
        <v>45658</v>
      </c>
      <c r="O323" s="147"/>
    </row>
    <row r="324" spans="1:18" x14ac:dyDescent="0.3">
      <c r="A324" t="str">
        <f>TableGCINTSEC[[#This Row],[Study Package Code]]</f>
        <v>INTR5003</v>
      </c>
      <c r="B324" s="1">
        <f>TableGCINTSEC[[#This Row],[Ver]]</f>
        <v>2</v>
      </c>
      <c r="D324" t="str">
        <f>TableGCINTSEC[[#This Row],[Structure Line]]</f>
        <v>Strategic Geography, Planning and Decision-making</v>
      </c>
      <c r="E324" s="95">
        <f>TableGCINTSEC[[#This Row],[Credit Points]]</f>
        <v>25</v>
      </c>
      <c r="F324">
        <v>1</v>
      </c>
      <c r="G324" t="s">
        <v>708</v>
      </c>
      <c r="H324">
        <v>0</v>
      </c>
      <c r="I324" t="s">
        <v>703</v>
      </c>
      <c r="J324" t="s">
        <v>372</v>
      </c>
      <c r="K324">
        <v>2</v>
      </c>
      <c r="L324" t="s">
        <v>490</v>
      </c>
      <c r="M324">
        <v>25</v>
      </c>
      <c r="N324" s="147">
        <v>45658</v>
      </c>
      <c r="O324" s="147"/>
    </row>
    <row r="325" spans="1:18" x14ac:dyDescent="0.3">
      <c r="A325" t="str">
        <f>TableGCINTSEC[[#This Row],[Study Package Code]]</f>
        <v>INTR5004</v>
      </c>
      <c r="B325" s="1">
        <f>TableGCINTSEC[[#This Row],[Ver]]</f>
        <v>1</v>
      </c>
      <c r="D325" t="str">
        <f>TableGCINTSEC[[#This Row],[Structure Line]]</f>
        <v>Russian and Eurasian Studies</v>
      </c>
      <c r="E325" s="95">
        <f>TableGCINTSEC[[#This Row],[Credit Points]]</f>
        <v>25</v>
      </c>
      <c r="F325">
        <v>1</v>
      </c>
      <c r="G325" t="s">
        <v>708</v>
      </c>
      <c r="H325">
        <v>0</v>
      </c>
      <c r="I325" t="s">
        <v>703</v>
      </c>
      <c r="J325" t="s">
        <v>352</v>
      </c>
      <c r="K325">
        <v>1</v>
      </c>
      <c r="L325" t="s">
        <v>493</v>
      </c>
      <c r="M325">
        <v>25</v>
      </c>
      <c r="N325" s="147">
        <v>42005</v>
      </c>
      <c r="O325" s="147"/>
    </row>
    <row r="326" spans="1:18" x14ac:dyDescent="0.3">
      <c r="A326" t="str">
        <f>TableGCINTSEC[[#This Row],[Study Package Code]]</f>
        <v>INTR5005</v>
      </c>
      <c r="B326" s="1">
        <f>TableGCINTSEC[[#This Row],[Ver]]</f>
        <v>1</v>
      </c>
      <c r="D326" t="str">
        <f>TableGCINTSEC[[#This Row],[Structure Line]]</f>
        <v>Globalised Terrorism</v>
      </c>
      <c r="E326" s="95">
        <f>TableGCINTSEC[[#This Row],[Credit Points]]</f>
        <v>25</v>
      </c>
      <c r="F326">
        <v>1</v>
      </c>
      <c r="G326" t="s">
        <v>708</v>
      </c>
      <c r="H326">
        <v>0</v>
      </c>
      <c r="I326" t="s">
        <v>703</v>
      </c>
      <c r="J326" t="s">
        <v>376</v>
      </c>
      <c r="K326">
        <v>1</v>
      </c>
      <c r="L326" t="s">
        <v>494</v>
      </c>
      <c r="M326">
        <v>25</v>
      </c>
      <c r="N326" s="147">
        <v>42005</v>
      </c>
      <c r="O326" s="147"/>
    </row>
    <row r="327" spans="1:18" x14ac:dyDescent="0.3">
      <c r="A327" t="str">
        <f>TableGCINTSEC[[#This Row],[Study Package Code]]</f>
        <v>INTR5006</v>
      </c>
      <c r="B327" s="1">
        <f>TableGCINTSEC[[#This Row],[Ver]]</f>
        <v>1</v>
      </c>
      <c r="D327" t="str">
        <f>TableGCINTSEC[[#This Row],[Structure Line]]</f>
        <v>Intelligence and Analysis</v>
      </c>
      <c r="E327" s="95">
        <f>TableGCINTSEC[[#This Row],[Credit Points]]</f>
        <v>25</v>
      </c>
      <c r="F327">
        <v>1</v>
      </c>
      <c r="G327" t="s">
        <v>708</v>
      </c>
      <c r="H327">
        <v>0</v>
      </c>
      <c r="I327" t="s">
        <v>703</v>
      </c>
      <c r="J327" t="s">
        <v>321</v>
      </c>
      <c r="K327">
        <v>1</v>
      </c>
      <c r="L327" t="s">
        <v>495</v>
      </c>
      <c r="M327">
        <v>25</v>
      </c>
      <c r="N327" s="147">
        <v>42005</v>
      </c>
      <c r="O327" s="147"/>
    </row>
    <row r="328" spans="1:18" x14ac:dyDescent="0.3">
      <c r="A328" t="str">
        <f>TableGCINTSEC[[#This Row],[Study Package Code]]</f>
        <v>INTR5008</v>
      </c>
      <c r="B328" s="1">
        <f>TableGCINTSEC[[#This Row],[Ver]]</f>
        <v>2</v>
      </c>
      <c r="D328" t="str">
        <f>TableGCINTSEC[[#This Row],[Structure Line]]</f>
        <v>Cultures of Violence and Conflict</v>
      </c>
      <c r="E328" s="95">
        <f>TableGCINTSEC[[#This Row],[Credit Points]]</f>
        <v>25</v>
      </c>
      <c r="F328">
        <v>1</v>
      </c>
      <c r="G328" t="s">
        <v>708</v>
      </c>
      <c r="H328">
        <v>0</v>
      </c>
      <c r="I328" t="s">
        <v>703</v>
      </c>
      <c r="J328" t="s">
        <v>378</v>
      </c>
      <c r="K328">
        <v>2</v>
      </c>
      <c r="L328" t="s">
        <v>496</v>
      </c>
      <c r="M328">
        <v>25</v>
      </c>
      <c r="N328" s="147">
        <v>44927</v>
      </c>
      <c r="O328" s="147"/>
    </row>
    <row r="329" spans="1:18" x14ac:dyDescent="0.3">
      <c r="A329" t="str">
        <f>TableGCINTSEC[[#This Row],[Study Package Code]]</f>
        <v>INTR5009</v>
      </c>
      <c r="B329" s="1">
        <f>TableGCINTSEC[[#This Row],[Ver]]</f>
        <v>2</v>
      </c>
      <c r="D329" t="str">
        <f>TableGCINTSEC[[#This Row],[Structure Line]]</f>
        <v>Cyber Conflict, Information Operations and Espionage</v>
      </c>
      <c r="E329" s="95">
        <f>TableGCINTSEC[[#This Row],[Credit Points]]</f>
        <v>25</v>
      </c>
      <c r="F329">
        <v>1</v>
      </c>
      <c r="G329" t="s">
        <v>708</v>
      </c>
      <c r="H329">
        <v>0</v>
      </c>
      <c r="I329" t="s">
        <v>703</v>
      </c>
      <c r="J329" t="s">
        <v>353</v>
      </c>
      <c r="K329">
        <v>2</v>
      </c>
      <c r="L329" t="s">
        <v>497</v>
      </c>
      <c r="M329">
        <v>25</v>
      </c>
      <c r="N329" s="147">
        <v>45658</v>
      </c>
      <c r="O329" s="147"/>
    </row>
    <row r="330" spans="1:18" x14ac:dyDescent="0.3">
      <c r="A330" t="str">
        <f>TableGCINTSEC[[#This Row],[Study Package Code]]</f>
        <v>POLS5002</v>
      </c>
      <c r="B330" s="1">
        <f>TableGCINTSEC[[#This Row],[Ver]]</f>
        <v>2</v>
      </c>
      <c r="D330" t="str">
        <f>TableGCINTSEC[[#This Row],[Structure Line]]</f>
        <v>Security and Conflict in the Indian Ocean and the Middle East</v>
      </c>
      <c r="E330" s="95">
        <f>TableGCINTSEC[[#This Row],[Credit Points]]</f>
        <v>25</v>
      </c>
      <c r="F330">
        <v>1</v>
      </c>
      <c r="G330" t="s">
        <v>708</v>
      </c>
      <c r="H330">
        <v>0</v>
      </c>
      <c r="I330" t="s">
        <v>703</v>
      </c>
      <c r="J330" t="s">
        <v>351</v>
      </c>
      <c r="K330">
        <v>2</v>
      </c>
      <c r="L330" t="s">
        <v>593</v>
      </c>
      <c r="M330">
        <v>25</v>
      </c>
      <c r="N330" s="147">
        <v>45658</v>
      </c>
      <c r="O330" s="147"/>
    </row>
    <row r="331" spans="1:18" x14ac:dyDescent="0.3">
      <c r="A331" t="str">
        <f>TableGCINTSEC[[#This Row],[Study Package Code]]</f>
        <v>POLS5004</v>
      </c>
      <c r="B331" s="1">
        <f>TableGCINTSEC[[#This Row],[Ver]]</f>
        <v>2</v>
      </c>
      <c r="D331" t="str">
        <f>TableGCINTSEC[[#This Row],[Structure Line]]</f>
        <v>Environmental and Energy Security</v>
      </c>
      <c r="E331" s="95">
        <f>TableGCINTSEC[[#This Row],[Credit Points]]</f>
        <v>25</v>
      </c>
      <c r="F331">
        <v>1</v>
      </c>
      <c r="G331" t="s">
        <v>708</v>
      </c>
      <c r="H331">
        <v>0</v>
      </c>
      <c r="I331" t="s">
        <v>703</v>
      </c>
      <c r="J331" t="s">
        <v>323</v>
      </c>
      <c r="K331">
        <v>2</v>
      </c>
      <c r="L331" t="s">
        <v>599</v>
      </c>
      <c r="M331">
        <v>25</v>
      </c>
      <c r="N331" s="147">
        <v>45658</v>
      </c>
      <c r="O331" s="147"/>
    </row>
    <row r="332" spans="1:18" x14ac:dyDescent="0.3">
      <c r="A332" t="str">
        <f>TableGCINTSEC[[#This Row],[Study Package Code]]</f>
        <v>POLS5000</v>
      </c>
      <c r="B332" s="1">
        <f>TableGCINTSEC[[#This Row],[Ver]]</f>
        <v>3</v>
      </c>
      <c r="D332" t="str">
        <f>TableGCINTSEC[[#This Row],[Structure Line]]</f>
        <v>International Security in Theory and Practice</v>
      </c>
      <c r="E332" s="95">
        <f>TableGCINTSEC[[#This Row],[Credit Points]]</f>
        <v>25</v>
      </c>
      <c r="F332">
        <v>2</v>
      </c>
      <c r="G332" t="s">
        <v>702</v>
      </c>
      <c r="H332">
        <v>1</v>
      </c>
      <c r="I332" t="s">
        <v>703</v>
      </c>
      <c r="J332" t="s">
        <v>322</v>
      </c>
      <c r="K332">
        <v>3</v>
      </c>
      <c r="L332" t="s">
        <v>590</v>
      </c>
      <c r="M332">
        <v>25</v>
      </c>
      <c r="N332" s="147">
        <v>45658</v>
      </c>
      <c r="O332" s="147"/>
    </row>
    <row r="333" spans="1:18" x14ac:dyDescent="0.3">
      <c r="A333" t="str">
        <f>TableGCINTSEC[[#This Row],[Study Package Code]]</f>
        <v>POLS5003</v>
      </c>
      <c r="B333" s="1">
        <f>TableGCINTSEC[[#This Row],[Ver]]</f>
        <v>2</v>
      </c>
      <c r="D333" t="str">
        <f>TableGCINTSEC[[#This Row],[Structure Line]]</f>
        <v>National Strategy and Security</v>
      </c>
      <c r="E333" s="95">
        <f>TableGCINTSEC[[#This Row],[Credit Points]]</f>
        <v>25</v>
      </c>
      <c r="F333">
        <v>2</v>
      </c>
      <c r="G333" t="s">
        <v>702</v>
      </c>
      <c r="H333">
        <v>1</v>
      </c>
      <c r="I333" t="s">
        <v>703</v>
      </c>
      <c r="J333" t="s">
        <v>350</v>
      </c>
      <c r="K333">
        <v>2</v>
      </c>
      <c r="L333" t="s">
        <v>596</v>
      </c>
      <c r="M333">
        <v>25</v>
      </c>
      <c r="N333" s="147">
        <v>45658</v>
      </c>
      <c r="O333" s="147"/>
    </row>
    <row r="334" spans="1:18" x14ac:dyDescent="0.3">
      <c r="B334"/>
      <c r="E334"/>
      <c r="F334" s="93"/>
      <c r="G334" s="94" t="s">
        <v>689</v>
      </c>
      <c r="H334" s="228">
        <v>45658</v>
      </c>
      <c r="I334" s="146"/>
      <c r="J334" s="232" t="s">
        <v>130</v>
      </c>
      <c r="K334" s="229" t="s">
        <v>87</v>
      </c>
      <c r="L334" s="232" t="s">
        <v>129</v>
      </c>
      <c r="M334" s="146"/>
      <c r="N334" s="180" t="s">
        <v>690</v>
      </c>
      <c r="O334" s="147">
        <v>45583</v>
      </c>
    </row>
    <row r="335" spans="1:18" x14ac:dyDescent="0.3">
      <c r="A335" t="s">
        <v>0</v>
      </c>
      <c r="B335" s="1" t="s">
        <v>691</v>
      </c>
      <c r="C335" t="s">
        <v>692</v>
      </c>
      <c r="D335" t="s">
        <v>3</v>
      </c>
      <c r="E335" s="95" t="s">
        <v>693</v>
      </c>
      <c r="F335" t="s">
        <v>694</v>
      </c>
      <c r="G335" t="s">
        <v>695</v>
      </c>
      <c r="H335" t="s">
        <v>696</v>
      </c>
      <c r="I335" t="s">
        <v>22</v>
      </c>
      <c r="J335" t="s">
        <v>697</v>
      </c>
      <c r="K335" t="s">
        <v>1</v>
      </c>
      <c r="L335" t="s">
        <v>698</v>
      </c>
      <c r="M335" t="s">
        <v>53</v>
      </c>
      <c r="N335" t="s">
        <v>699</v>
      </c>
      <c r="O335" t="s">
        <v>700</v>
      </c>
      <c r="Q335" t="s">
        <v>701</v>
      </c>
      <c r="R335" t="s">
        <v>1</v>
      </c>
    </row>
    <row r="336" spans="1:18" x14ac:dyDescent="0.3">
      <c r="A336" t="str">
        <f>TableGCINTELL[[#This Row],[Study Package Code]]</f>
        <v>INTR5009</v>
      </c>
      <c r="B336" s="1">
        <f>TableGCINTELL[[#This Row],[Ver]]</f>
        <v>2</v>
      </c>
      <c r="D336" t="str">
        <f>TableGCINTELL[[#This Row],[Structure Line]]</f>
        <v>Cyber Conflict, Information Operations and Espionage</v>
      </c>
      <c r="E336" s="95">
        <f>TableGCINTELL[[#This Row],[Credit Points]]</f>
        <v>25</v>
      </c>
      <c r="F336">
        <v>1</v>
      </c>
      <c r="G336" t="s">
        <v>706</v>
      </c>
      <c r="H336">
        <v>1</v>
      </c>
      <c r="I336" t="s">
        <v>703</v>
      </c>
      <c r="J336" t="s">
        <v>353</v>
      </c>
      <c r="K336">
        <v>2</v>
      </c>
      <c r="L336" t="s">
        <v>497</v>
      </c>
      <c r="M336">
        <v>25</v>
      </c>
      <c r="N336" s="147">
        <v>45658</v>
      </c>
      <c r="O336" s="147"/>
    </row>
    <row r="337" spans="1:18" x14ac:dyDescent="0.3">
      <c r="A337" t="str">
        <f>TableGCINTELL[[#This Row],[Study Package Code]]</f>
        <v>INTR5006</v>
      </c>
      <c r="B337" s="1">
        <f>TableGCINTELL[[#This Row],[Ver]]</f>
        <v>1</v>
      </c>
      <c r="D337" t="str">
        <f>TableGCINTELL[[#This Row],[Structure Line]]</f>
        <v>Intelligence and Analysis</v>
      </c>
      <c r="E337" s="95">
        <f>TableGCINTELL[[#This Row],[Credit Points]]</f>
        <v>25</v>
      </c>
      <c r="F337">
        <v>2</v>
      </c>
      <c r="G337" t="s">
        <v>706</v>
      </c>
      <c r="H337">
        <v>1</v>
      </c>
      <c r="I337" t="s">
        <v>703</v>
      </c>
      <c r="J337" t="s">
        <v>321</v>
      </c>
      <c r="K337">
        <v>1</v>
      </c>
      <c r="L337" t="s">
        <v>495</v>
      </c>
      <c r="M337">
        <v>25</v>
      </c>
      <c r="N337" s="147">
        <v>42005</v>
      </c>
      <c r="O337" s="147"/>
    </row>
    <row r="338" spans="1:18" x14ac:dyDescent="0.3">
      <c r="A338" t="str">
        <f>TableGCINTELL[[#This Row],[Study Package Code]]</f>
        <v>POLS5000</v>
      </c>
      <c r="B338" s="1">
        <f>TableGCINTELL[[#This Row],[Ver]]</f>
        <v>3</v>
      </c>
      <c r="D338" t="str">
        <f>TableGCINTELL[[#This Row],[Structure Line]]</f>
        <v>International Security in Theory and Practice</v>
      </c>
      <c r="E338" s="95">
        <f>TableGCINTELL[[#This Row],[Credit Points]]</f>
        <v>25</v>
      </c>
      <c r="F338">
        <v>3</v>
      </c>
      <c r="G338" t="s">
        <v>706</v>
      </c>
      <c r="H338">
        <v>1</v>
      </c>
      <c r="I338" t="s">
        <v>703</v>
      </c>
      <c r="J338" t="s">
        <v>322</v>
      </c>
      <c r="K338">
        <v>3</v>
      </c>
      <c r="L338" t="s">
        <v>590</v>
      </c>
      <c r="M338">
        <v>25</v>
      </c>
      <c r="N338" s="147">
        <v>45658</v>
      </c>
      <c r="O338" s="147"/>
    </row>
    <row r="339" spans="1:18" x14ac:dyDescent="0.3">
      <c r="A339" t="str">
        <f>TableGCINTELL[[#This Row],[Study Package Code]]</f>
        <v>POLS5003</v>
      </c>
      <c r="B339" s="1">
        <f>TableGCINTELL[[#This Row],[Ver]]</f>
        <v>2</v>
      </c>
      <c r="D339" t="str">
        <f>TableGCINTELL[[#This Row],[Structure Line]]</f>
        <v>National Strategy and Security</v>
      </c>
      <c r="E339" s="95">
        <f>TableGCINTELL[[#This Row],[Credit Points]]</f>
        <v>25</v>
      </c>
      <c r="F339">
        <v>4</v>
      </c>
      <c r="G339" t="s">
        <v>706</v>
      </c>
      <c r="H339">
        <v>1</v>
      </c>
      <c r="I339" t="s">
        <v>703</v>
      </c>
      <c r="J339" t="s">
        <v>350</v>
      </c>
      <c r="K339">
        <v>2</v>
      </c>
      <c r="L339" t="s">
        <v>596</v>
      </c>
      <c r="M339">
        <v>25</v>
      </c>
      <c r="N339" s="147">
        <v>45658</v>
      </c>
      <c r="O339" s="147"/>
    </row>
    <row r="340" spans="1:18" x14ac:dyDescent="0.3">
      <c r="B340"/>
      <c r="E340"/>
      <c r="F340" s="93"/>
      <c r="G340" s="94" t="s">
        <v>689</v>
      </c>
      <c r="H340" s="228">
        <v>45658</v>
      </c>
      <c r="I340" s="146"/>
      <c r="J340" s="232" t="s">
        <v>127</v>
      </c>
      <c r="K340" s="229" t="s">
        <v>87</v>
      </c>
      <c r="L340" s="232" t="s">
        <v>126</v>
      </c>
      <c r="M340" s="146"/>
      <c r="N340" s="180" t="s">
        <v>690</v>
      </c>
      <c r="O340" s="147">
        <v>45583</v>
      </c>
    </row>
    <row r="341" spans="1:18" x14ac:dyDescent="0.3">
      <c r="A341" t="s">
        <v>0</v>
      </c>
      <c r="B341" s="1" t="s">
        <v>691</v>
      </c>
      <c r="C341" t="s">
        <v>692</v>
      </c>
      <c r="D341" t="s">
        <v>3</v>
      </c>
      <c r="E341" s="95" t="s">
        <v>693</v>
      </c>
      <c r="F341" t="s">
        <v>694</v>
      </c>
      <c r="G341" t="s">
        <v>695</v>
      </c>
      <c r="H341" t="s">
        <v>696</v>
      </c>
      <c r="I341" t="s">
        <v>22</v>
      </c>
      <c r="J341" t="s">
        <v>697</v>
      </c>
      <c r="K341" t="s">
        <v>1</v>
      </c>
      <c r="L341" t="s">
        <v>698</v>
      </c>
      <c r="M341" t="s">
        <v>53</v>
      </c>
      <c r="N341" t="s">
        <v>699</v>
      </c>
      <c r="O341" t="s">
        <v>700</v>
      </c>
      <c r="Q341" t="s">
        <v>701</v>
      </c>
      <c r="R341" t="s">
        <v>1</v>
      </c>
    </row>
    <row r="342" spans="1:18" x14ac:dyDescent="0.3">
      <c r="A342" t="str">
        <f>TableGCIPCSEC[[#This Row],[Study Package Code]]</f>
        <v>POLS5000</v>
      </c>
      <c r="B342" s="1">
        <f>TableGCIPCSEC[[#This Row],[Ver]]</f>
        <v>3</v>
      </c>
      <c r="D342" t="str">
        <f>TableGCIPCSEC[[#This Row],[Structure Line]]</f>
        <v>International Security in Theory and Practice</v>
      </c>
      <c r="E342" s="95">
        <f>TableGCIPCSEC[[#This Row],[Credit Points]]</f>
        <v>25</v>
      </c>
      <c r="F342">
        <v>1</v>
      </c>
      <c r="G342" t="s">
        <v>706</v>
      </c>
      <c r="H342">
        <v>1</v>
      </c>
      <c r="I342" t="s">
        <v>703</v>
      </c>
      <c r="J342" t="s">
        <v>322</v>
      </c>
      <c r="K342">
        <v>3</v>
      </c>
      <c r="L342" t="s">
        <v>590</v>
      </c>
      <c r="M342">
        <v>25</v>
      </c>
      <c r="N342" s="147">
        <v>45658</v>
      </c>
      <c r="O342" s="147"/>
    </row>
    <row r="343" spans="1:18" x14ac:dyDescent="0.3">
      <c r="A343" t="str">
        <f>TableGCIPCSEC[[#This Row],[Study Package Code]]</f>
        <v>INTR5004</v>
      </c>
      <c r="B343" s="1">
        <f>TableGCIPCSEC[[#This Row],[Ver]]</f>
        <v>1</v>
      </c>
      <c r="D343" t="str">
        <f>TableGCIPCSEC[[#This Row],[Structure Line]]</f>
        <v>Russian and Eurasian Studies</v>
      </c>
      <c r="E343" s="95">
        <f>TableGCIPCSEC[[#This Row],[Credit Points]]</f>
        <v>25</v>
      </c>
      <c r="F343">
        <v>2</v>
      </c>
      <c r="G343" t="s">
        <v>706</v>
      </c>
      <c r="H343">
        <v>1</v>
      </c>
      <c r="I343" t="s">
        <v>703</v>
      </c>
      <c r="J343" t="s">
        <v>352</v>
      </c>
      <c r="K343">
        <v>1</v>
      </c>
      <c r="L343" t="s">
        <v>493</v>
      </c>
      <c r="M343">
        <v>25</v>
      </c>
      <c r="N343" s="147">
        <v>42005</v>
      </c>
      <c r="O343" s="147"/>
    </row>
    <row r="344" spans="1:18" x14ac:dyDescent="0.3">
      <c r="A344" t="str">
        <f>TableGCIPCSEC[[#This Row],[Study Package Code]]</f>
        <v>POLS5002</v>
      </c>
      <c r="B344" s="1">
        <f>TableGCIPCSEC[[#This Row],[Ver]]</f>
        <v>2</v>
      </c>
      <c r="D344" t="str">
        <f>TableGCIPCSEC[[#This Row],[Structure Line]]</f>
        <v>Security and Conflict in the Indian Ocean and the Middle East</v>
      </c>
      <c r="E344" s="95">
        <f>TableGCIPCSEC[[#This Row],[Credit Points]]</f>
        <v>25</v>
      </c>
      <c r="F344">
        <v>3</v>
      </c>
      <c r="G344" t="s">
        <v>706</v>
      </c>
      <c r="H344">
        <v>1</v>
      </c>
      <c r="I344" t="s">
        <v>703</v>
      </c>
      <c r="J344" t="s">
        <v>351</v>
      </c>
      <c r="K344">
        <v>2</v>
      </c>
      <c r="L344" t="s">
        <v>593</v>
      </c>
      <c r="M344">
        <v>25</v>
      </c>
      <c r="N344" s="147">
        <v>45658</v>
      </c>
      <c r="O344" s="147"/>
    </row>
    <row r="345" spans="1:18" x14ac:dyDescent="0.3">
      <c r="A345" t="str">
        <f>TableGCIPCSEC[[#This Row],[Study Package Code]]</f>
        <v>INTR5002</v>
      </c>
      <c r="B345" s="1">
        <f>TableGCIPCSEC[[#This Row],[Ver]]</f>
        <v>2</v>
      </c>
      <c r="D345" t="str">
        <f>TableGCIPCSEC[[#This Row],[Structure Line]]</f>
        <v>The Geopolitics of East Asia</v>
      </c>
      <c r="E345" s="95">
        <f>TableGCIPCSEC[[#This Row],[Credit Points]]</f>
        <v>25</v>
      </c>
      <c r="F345">
        <v>4</v>
      </c>
      <c r="G345" t="s">
        <v>706</v>
      </c>
      <c r="H345">
        <v>1</v>
      </c>
      <c r="I345" t="s">
        <v>703</v>
      </c>
      <c r="J345" t="s">
        <v>320</v>
      </c>
      <c r="K345">
        <v>2</v>
      </c>
      <c r="L345" t="s">
        <v>487</v>
      </c>
      <c r="M345">
        <v>25</v>
      </c>
      <c r="N345" s="147">
        <v>45658</v>
      </c>
      <c r="O345" s="147"/>
    </row>
    <row r="347" spans="1:18" x14ac:dyDescent="0.3">
      <c r="B347"/>
      <c r="E347"/>
      <c r="F347" s="93"/>
      <c r="G347" s="94" t="s">
        <v>689</v>
      </c>
      <c r="H347" s="233">
        <v>45108</v>
      </c>
      <c r="I347" s="146"/>
      <c r="J347" s="230" t="s">
        <v>151</v>
      </c>
      <c r="K347" s="234" t="s">
        <v>87</v>
      </c>
      <c r="L347" s="146" t="s">
        <v>150</v>
      </c>
      <c r="M347" s="146"/>
      <c r="N347" s="180" t="s">
        <v>690</v>
      </c>
      <c r="O347" s="147">
        <v>45583</v>
      </c>
    </row>
    <row r="348" spans="1:18" x14ac:dyDescent="0.3">
      <c r="A348" t="s">
        <v>0</v>
      </c>
      <c r="B348" s="1" t="s">
        <v>691</v>
      </c>
      <c r="C348" t="s">
        <v>692</v>
      </c>
      <c r="D348" t="s">
        <v>3</v>
      </c>
      <c r="E348" s="95" t="s">
        <v>693</v>
      </c>
      <c r="F348" t="s">
        <v>694</v>
      </c>
      <c r="G348" t="s">
        <v>695</v>
      </c>
      <c r="H348" t="s">
        <v>696</v>
      </c>
      <c r="I348" t="s">
        <v>22</v>
      </c>
      <c r="J348" t="s">
        <v>697</v>
      </c>
      <c r="K348" t="s">
        <v>1</v>
      </c>
      <c r="L348" t="s">
        <v>698</v>
      </c>
      <c r="M348" t="s">
        <v>53</v>
      </c>
      <c r="N348" t="s">
        <v>699</v>
      </c>
      <c r="O348" t="s">
        <v>700</v>
      </c>
      <c r="Q348" t="s">
        <v>701</v>
      </c>
      <c r="R348" t="s">
        <v>1</v>
      </c>
    </row>
    <row r="349" spans="1:18" x14ac:dyDescent="0.3">
      <c r="A349" t="str">
        <f>TableGCGLOBL[[#This Row],[Study Package Code]]</f>
        <v>GLBL5000</v>
      </c>
      <c r="B349" s="1">
        <f>TableGCGLOBL[[#This Row],[Ver]]</f>
        <v>1</v>
      </c>
      <c r="D349" t="str">
        <f>TableGCGLOBL[[#This Row],[Structure Line]]</f>
        <v>Engaging Cultural Diversity</v>
      </c>
      <c r="E349" s="95">
        <f>TableGCGLOBL[[#This Row],[Credit Points]]</f>
        <v>25</v>
      </c>
      <c r="F349">
        <v>1</v>
      </c>
      <c r="G349" t="s">
        <v>706</v>
      </c>
      <c r="H349">
        <v>1</v>
      </c>
      <c r="I349" t="s">
        <v>703</v>
      </c>
      <c r="J349" t="s">
        <v>275</v>
      </c>
      <c r="K349">
        <v>1</v>
      </c>
      <c r="L349" t="s">
        <v>466</v>
      </c>
      <c r="M349">
        <v>25</v>
      </c>
      <c r="N349" s="147">
        <v>45108</v>
      </c>
      <c r="O349" s="147"/>
      <c r="Q349" t="s">
        <v>275</v>
      </c>
      <c r="R349">
        <v>1</v>
      </c>
    </row>
    <row r="350" spans="1:18" x14ac:dyDescent="0.3">
      <c r="A350" t="str">
        <f>TableGCGLOBL[[#This Row],[Study Package Code]]</f>
        <v>GLBL5001</v>
      </c>
      <c r="B350" s="1">
        <f>TableGCGLOBL[[#This Row],[Ver]]</f>
        <v>1</v>
      </c>
      <c r="D350" t="str">
        <f>TableGCGLOBL[[#This Row],[Structure Line]]</f>
        <v>Global Futures and Just Transformations</v>
      </c>
      <c r="E350" s="95">
        <f>TableGCGLOBL[[#This Row],[Credit Points]]</f>
        <v>25</v>
      </c>
      <c r="F350">
        <v>2</v>
      </c>
      <c r="G350" t="s">
        <v>706</v>
      </c>
      <c r="H350">
        <v>1</v>
      </c>
      <c r="I350" t="s">
        <v>703</v>
      </c>
      <c r="J350" t="s">
        <v>277</v>
      </c>
      <c r="K350">
        <v>1</v>
      </c>
      <c r="L350" t="s">
        <v>467</v>
      </c>
      <c r="M350">
        <v>25</v>
      </c>
      <c r="N350" s="147">
        <v>45108</v>
      </c>
      <c r="O350" s="147"/>
      <c r="Q350" t="s">
        <v>277</v>
      </c>
      <c r="R350">
        <v>1</v>
      </c>
    </row>
    <row r="351" spans="1:18" x14ac:dyDescent="0.3">
      <c r="A351" t="str">
        <f>TableGCGLOBL[[#This Row],[Study Package Code]]</f>
        <v>GLBL5002</v>
      </c>
      <c r="B351" s="1">
        <f>TableGCGLOBL[[#This Row],[Ver]]</f>
        <v>1</v>
      </c>
      <c r="D351" t="str">
        <f>TableGCGLOBL[[#This Row],[Structure Line]]</f>
        <v>Engaging Africa</v>
      </c>
      <c r="E351" s="95">
        <f>TableGCGLOBL[[#This Row],[Credit Points]]</f>
        <v>25</v>
      </c>
      <c r="F351">
        <v>3</v>
      </c>
      <c r="G351" t="s">
        <v>706</v>
      </c>
      <c r="H351">
        <v>1</v>
      </c>
      <c r="I351" t="s">
        <v>703</v>
      </c>
      <c r="J351" t="s">
        <v>282</v>
      </c>
      <c r="K351">
        <v>1</v>
      </c>
      <c r="L351" t="s">
        <v>468</v>
      </c>
      <c r="M351">
        <v>25</v>
      </c>
      <c r="N351" s="147">
        <v>45108</v>
      </c>
      <c r="O351" s="147"/>
      <c r="Q351" t="s">
        <v>282</v>
      </c>
      <c r="R351">
        <v>1</v>
      </c>
    </row>
    <row r="352" spans="1:18" x14ac:dyDescent="0.3">
      <c r="A352" t="str">
        <f>TableGCGLOBL[[#This Row],[Study Package Code]]</f>
        <v>GLBL5003</v>
      </c>
      <c r="B352" s="1">
        <f>TableGCGLOBL[[#This Row],[Ver]]</f>
        <v>1</v>
      </c>
      <c r="D352" t="str">
        <f>TableGCGLOBL[[#This Row],[Structure Line]]</f>
        <v>Engaging Asia</v>
      </c>
      <c r="E352" s="95">
        <f>TableGCGLOBL[[#This Row],[Credit Points]]</f>
        <v>25</v>
      </c>
      <c r="F352">
        <v>4</v>
      </c>
      <c r="G352" t="s">
        <v>706</v>
      </c>
      <c r="H352">
        <v>1</v>
      </c>
      <c r="I352" t="s">
        <v>703</v>
      </c>
      <c r="J352" t="s">
        <v>283</v>
      </c>
      <c r="K352">
        <v>1</v>
      </c>
      <c r="L352" t="s">
        <v>469</v>
      </c>
      <c r="M352">
        <v>25</v>
      </c>
      <c r="N352" s="147">
        <v>45108</v>
      </c>
      <c r="O352" s="147"/>
      <c r="Q352" t="s">
        <v>283</v>
      </c>
      <c r="R352">
        <v>1</v>
      </c>
    </row>
    <row r="353" spans="1:18" x14ac:dyDescent="0.3">
      <c r="B353"/>
      <c r="E353"/>
      <c r="F353" s="93"/>
      <c r="G353" s="94" t="s">
        <v>689</v>
      </c>
      <c r="H353" s="233">
        <v>45292</v>
      </c>
      <c r="I353" s="146"/>
      <c r="J353" s="230" t="s">
        <v>394</v>
      </c>
      <c r="K353" s="234" t="s">
        <v>87</v>
      </c>
      <c r="L353" s="146" t="s">
        <v>733</v>
      </c>
      <c r="M353" s="146"/>
      <c r="N353" s="180" t="s">
        <v>690</v>
      </c>
      <c r="O353" s="147">
        <v>45583</v>
      </c>
    </row>
    <row r="354" spans="1:18" x14ac:dyDescent="0.3">
      <c r="A354" t="s">
        <v>0</v>
      </c>
      <c r="B354" s="1" t="s">
        <v>691</v>
      </c>
      <c r="C354" t="s">
        <v>692</v>
      </c>
      <c r="D354" t="s">
        <v>3</v>
      </c>
      <c r="E354" s="95" t="s">
        <v>693</v>
      </c>
      <c r="F354" t="s">
        <v>694</v>
      </c>
      <c r="G354" t="s">
        <v>695</v>
      </c>
      <c r="H354" t="s">
        <v>696</v>
      </c>
      <c r="I354" t="s">
        <v>22</v>
      </c>
      <c r="J354" t="s">
        <v>697</v>
      </c>
      <c r="K354" t="s">
        <v>1</v>
      </c>
      <c r="L354" t="s">
        <v>698</v>
      </c>
      <c r="M354" t="s">
        <v>53</v>
      </c>
      <c r="N354" t="s">
        <v>699</v>
      </c>
      <c r="O354" t="s">
        <v>700</v>
      </c>
      <c r="Q354" t="s">
        <v>701</v>
      </c>
      <c r="R354" t="s">
        <v>1</v>
      </c>
    </row>
    <row r="355" spans="1:18" x14ac:dyDescent="0.3">
      <c r="A355" t="str">
        <f>TableMCGLOBL[[#This Row],[Study Package Code]]</f>
        <v>Stream-GLOBL</v>
      </c>
      <c r="B355" s="1">
        <f>TableMCGLOBL[[#This Row],[Ver]]</f>
        <v>0</v>
      </c>
      <c r="D355" t="str">
        <f>TableMCGLOBL[[#This Row],[Structure Line]]</f>
        <v>Choose a Stream</v>
      </c>
      <c r="E355" s="95">
        <f>TableMCGLOBL[[#This Row],[Credit Points]]</f>
        <v>100</v>
      </c>
      <c r="F355">
        <v>1</v>
      </c>
      <c r="G355" t="s">
        <v>708</v>
      </c>
      <c r="H355">
        <v>0</v>
      </c>
      <c r="I355" t="s">
        <v>703</v>
      </c>
      <c r="J355" t="s">
        <v>659</v>
      </c>
      <c r="K355">
        <v>0</v>
      </c>
      <c r="L355" t="s">
        <v>660</v>
      </c>
      <c r="M355">
        <v>100</v>
      </c>
      <c r="N355" s="147"/>
      <c r="O355" s="147"/>
      <c r="Q355" t="s">
        <v>659</v>
      </c>
      <c r="R355">
        <v>0</v>
      </c>
    </row>
    <row r="356" spans="1:18" x14ac:dyDescent="0.3">
      <c r="A356" t="str">
        <f>TableMCGLOBL[[#This Row],[Study Package Code]]</f>
        <v>STRP-GLOBL</v>
      </c>
      <c r="B356" s="1">
        <f>TableMCGLOBL[[#This Row],[Ver]]</f>
        <v>1</v>
      </c>
      <c r="D356" t="str">
        <f>TableMCGLOBL[[#This Row],[Structure Line]]</f>
        <v>Global Engagement Stream (M Global Engagement)</v>
      </c>
      <c r="E356" s="95">
        <f>TableMCGLOBL[[#This Row],[Credit Points]]</f>
        <v>100</v>
      </c>
      <c r="F356">
        <v>2</v>
      </c>
      <c r="G356" t="s">
        <v>702</v>
      </c>
      <c r="H356">
        <v>1</v>
      </c>
      <c r="I356" t="s">
        <v>719</v>
      </c>
      <c r="J356" t="s">
        <v>207</v>
      </c>
      <c r="K356">
        <v>1</v>
      </c>
      <c r="L356" t="s">
        <v>206</v>
      </c>
      <c r="M356">
        <v>100</v>
      </c>
      <c r="N356" s="147">
        <v>45292</v>
      </c>
      <c r="O356" s="147"/>
      <c r="Q356" t="s">
        <v>734</v>
      </c>
      <c r="R356">
        <v>0</v>
      </c>
    </row>
    <row r="357" spans="1:18" x14ac:dyDescent="0.3">
      <c r="A357" t="str">
        <f>TableMCGLOBL[[#This Row],[Study Package Code]]</f>
        <v>AC-GLOBL1</v>
      </c>
      <c r="B357" s="1">
        <f>TableMCGLOBL[[#This Row],[Ver]]</f>
        <v>0</v>
      </c>
      <c r="D357" t="str">
        <f>TableMCGLOBL[[#This Row],[Structure Line]]</f>
        <v>Choose HUMN6001 or COMS6004</v>
      </c>
      <c r="E357" s="95">
        <f>TableMCGLOBL[[#This Row],[Credit Points]]</f>
        <v>50</v>
      </c>
      <c r="F357">
        <v>3</v>
      </c>
      <c r="G357" t="s">
        <v>702</v>
      </c>
      <c r="H357">
        <v>1</v>
      </c>
      <c r="I357" t="s">
        <v>703</v>
      </c>
      <c r="J357" t="s">
        <v>396</v>
      </c>
      <c r="K357">
        <v>0</v>
      </c>
      <c r="L357" t="s">
        <v>724</v>
      </c>
      <c r="M357">
        <v>50</v>
      </c>
      <c r="N357" s="147"/>
      <c r="O357" s="147"/>
      <c r="Q357" t="s">
        <v>396</v>
      </c>
      <c r="R357">
        <v>0</v>
      </c>
    </row>
    <row r="358" spans="1:18" x14ac:dyDescent="0.3">
      <c r="A358" t="str">
        <f>TableMCGLOBL[[#This Row],[Study Package Code]]</f>
        <v>AC-GLOBL2</v>
      </c>
      <c r="B358" s="1">
        <f>TableMCGLOBL[[#This Row],[Ver]]</f>
        <v>0</v>
      </c>
      <c r="D358" t="str">
        <f>TableMCGLOBL[[#This Row],[Structure Line]]</f>
        <v>Choose HUMN6003 or COMS6002</v>
      </c>
      <c r="E358" s="95">
        <f>TableMCGLOBL[[#This Row],[Credit Points]]</f>
        <v>50</v>
      </c>
      <c r="F358">
        <v>4</v>
      </c>
      <c r="G358" t="s">
        <v>702</v>
      </c>
      <c r="H358">
        <v>2</v>
      </c>
      <c r="I358" t="s">
        <v>703</v>
      </c>
      <c r="J358" t="s">
        <v>398</v>
      </c>
      <c r="K358">
        <v>0</v>
      </c>
      <c r="L358" t="s">
        <v>725</v>
      </c>
      <c r="M358">
        <v>50</v>
      </c>
      <c r="N358" s="147"/>
      <c r="O358" s="147"/>
      <c r="Q358" t="s">
        <v>398</v>
      </c>
      <c r="R358">
        <v>0</v>
      </c>
    </row>
    <row r="359" spans="1:18" x14ac:dyDescent="0.3">
      <c r="A359" t="str">
        <f>TableMCGLOBL[[#This Row],[Study Package Code]]</f>
        <v>STRP-HRIGT</v>
      </c>
      <c r="B359" s="1">
        <f>TableMCGLOBL[[#This Row],[Ver]]</f>
        <v>1</v>
      </c>
      <c r="D359" t="str">
        <f>TableMCGLOBL[[#This Row],[Structure Line]]</f>
        <v>Human Rights Stream (M Global Engagement)</v>
      </c>
      <c r="E359" s="95">
        <f>TableMCGLOBL[[#This Row],[Credit Points]]</f>
        <v>100</v>
      </c>
      <c r="F359">
        <v>1</v>
      </c>
      <c r="G359" t="s">
        <v>708</v>
      </c>
      <c r="H359">
        <v>0</v>
      </c>
      <c r="I359" t="s">
        <v>703</v>
      </c>
      <c r="J359" t="s">
        <v>194</v>
      </c>
      <c r="K359">
        <v>1</v>
      </c>
      <c r="L359" t="s">
        <v>193</v>
      </c>
      <c r="M359">
        <v>100</v>
      </c>
      <c r="N359" s="147">
        <v>45292</v>
      </c>
      <c r="O359" s="147"/>
      <c r="Q359" t="s">
        <v>194</v>
      </c>
      <c r="R359">
        <v>1</v>
      </c>
    </row>
    <row r="360" spans="1:18" x14ac:dyDescent="0.3">
      <c r="A360" t="str">
        <f>TableMCGLOBL[[#This Row],[Study Package Code]]</f>
        <v>STRP-INTRN</v>
      </c>
      <c r="B360" s="1">
        <f>TableMCGLOBL[[#This Row],[Ver]]</f>
        <v>1</v>
      </c>
      <c r="D360" t="str">
        <f>TableMCGLOBL[[#This Row],[Structure Line]]</f>
        <v>International Relations and National Security Stream (M Global Engagement)</v>
      </c>
      <c r="E360" s="95">
        <f>TableMCGLOBL[[#This Row],[Credit Points]]</f>
        <v>100</v>
      </c>
      <c r="F360">
        <v>1</v>
      </c>
      <c r="G360" t="s">
        <v>708</v>
      </c>
      <c r="H360">
        <v>0</v>
      </c>
      <c r="I360" t="s">
        <v>703</v>
      </c>
      <c r="J360" t="s">
        <v>201</v>
      </c>
      <c r="K360">
        <v>1</v>
      </c>
      <c r="L360" t="s">
        <v>200</v>
      </c>
      <c r="M360">
        <v>100</v>
      </c>
      <c r="N360" s="147">
        <v>45292</v>
      </c>
      <c r="O360" s="147"/>
      <c r="Q360" t="s">
        <v>201</v>
      </c>
      <c r="R360">
        <v>1</v>
      </c>
    </row>
    <row r="361" spans="1:18" x14ac:dyDescent="0.3">
      <c r="A361" t="str">
        <f>TableMCGLOBL[[#This Row],[Study Package Code]]</f>
        <v>COMS6004</v>
      </c>
      <c r="B361" s="1">
        <f>TableMCGLOBL[[#This Row],[Ver]]</f>
        <v>2</v>
      </c>
      <c r="D361" t="str">
        <f>TableMCGLOBL[[#This Row],[Structure Line]]</f>
        <v>Masters Professional or Creative Project</v>
      </c>
      <c r="E361" s="95">
        <f>TableMCGLOBL[[#This Row],[Credit Points]]</f>
        <v>50</v>
      </c>
      <c r="F361">
        <v>3</v>
      </c>
      <c r="G361" t="s">
        <v>702</v>
      </c>
      <c r="H361">
        <v>1</v>
      </c>
      <c r="I361" t="s">
        <v>703</v>
      </c>
      <c r="J361" t="s">
        <v>155</v>
      </c>
      <c r="K361">
        <v>2</v>
      </c>
      <c r="L361" t="s">
        <v>439</v>
      </c>
      <c r="M361">
        <v>50</v>
      </c>
      <c r="N361" s="147">
        <v>45292</v>
      </c>
      <c r="O361" s="147"/>
      <c r="Q361" t="s">
        <v>155</v>
      </c>
      <c r="R361">
        <v>2</v>
      </c>
    </row>
    <row r="362" spans="1:18" x14ac:dyDescent="0.3">
      <c r="A362" t="str">
        <f>TableMCGLOBL[[#This Row],[Study Package Code]]</f>
        <v>HUMN6001</v>
      </c>
      <c r="B362" s="1">
        <f>TableMCGLOBL[[#This Row],[Ver]]</f>
        <v>1</v>
      </c>
      <c r="D362" t="str">
        <f>TableMCGLOBL[[#This Row],[Structure Line]]</f>
        <v>Masters Research Project 1</v>
      </c>
      <c r="E362" s="95">
        <f>TableMCGLOBL[[#This Row],[Credit Points]]</f>
        <v>50</v>
      </c>
      <c r="F362">
        <v>3</v>
      </c>
      <c r="G362" t="s">
        <v>702</v>
      </c>
      <c r="H362">
        <v>1</v>
      </c>
      <c r="I362" t="s">
        <v>703</v>
      </c>
      <c r="J362" t="s">
        <v>181</v>
      </c>
      <c r="K362">
        <v>1</v>
      </c>
      <c r="L362" t="s">
        <v>711</v>
      </c>
      <c r="M362">
        <v>50</v>
      </c>
      <c r="N362" s="147">
        <v>45292</v>
      </c>
      <c r="O362" s="147"/>
      <c r="Q362" t="s">
        <v>181</v>
      </c>
      <c r="R362">
        <v>1</v>
      </c>
    </row>
    <row r="363" spans="1:18" x14ac:dyDescent="0.3">
      <c r="A363" t="str">
        <f>TableMCGLOBL[[#This Row],[Study Package Code]]</f>
        <v>COMS6002</v>
      </c>
      <c r="B363" s="1">
        <f>TableMCGLOBL[[#This Row],[Ver]]</f>
        <v>3</v>
      </c>
      <c r="D363" t="str">
        <f>TableMCGLOBL[[#This Row],[Structure Line]]</f>
        <v>Masters Professional Experience</v>
      </c>
      <c r="E363" s="95">
        <f>TableMCGLOBL[[#This Row],[Credit Points]]</f>
        <v>50</v>
      </c>
      <c r="F363">
        <v>4</v>
      </c>
      <c r="G363" t="s">
        <v>702</v>
      </c>
      <c r="H363">
        <v>2</v>
      </c>
      <c r="I363" t="s">
        <v>703</v>
      </c>
      <c r="J363" t="s">
        <v>177</v>
      </c>
      <c r="K363">
        <v>3</v>
      </c>
      <c r="L363" t="s">
        <v>437</v>
      </c>
      <c r="M363">
        <v>50</v>
      </c>
      <c r="N363" s="147">
        <v>45292</v>
      </c>
      <c r="O363" s="147"/>
      <c r="Q363" t="s">
        <v>177</v>
      </c>
      <c r="R363">
        <v>3</v>
      </c>
    </row>
    <row r="364" spans="1:18" x14ac:dyDescent="0.3">
      <c r="A364" t="str">
        <f>TableMCGLOBL[[#This Row],[Study Package Code]]</f>
        <v>HUMN6003</v>
      </c>
      <c r="B364" s="1">
        <f>TableMCGLOBL[[#This Row],[Ver]]</f>
        <v>1</v>
      </c>
      <c r="D364" t="str">
        <f>TableMCGLOBL[[#This Row],[Structure Line]]</f>
        <v>Masters Research Project 2</v>
      </c>
      <c r="E364" s="95">
        <f>TableMCGLOBL[[#This Row],[Credit Points]]</f>
        <v>50</v>
      </c>
      <c r="F364">
        <v>4</v>
      </c>
      <c r="G364" t="s">
        <v>702</v>
      </c>
      <c r="H364">
        <v>2</v>
      </c>
      <c r="I364" t="s">
        <v>703</v>
      </c>
      <c r="J364" t="s">
        <v>161</v>
      </c>
      <c r="K364">
        <v>1</v>
      </c>
      <c r="L364" t="s">
        <v>710</v>
      </c>
      <c r="M364">
        <v>50</v>
      </c>
      <c r="N364" s="147">
        <v>45292</v>
      </c>
      <c r="O364" s="147"/>
      <c r="Q364" t="s">
        <v>161</v>
      </c>
      <c r="R364">
        <v>1</v>
      </c>
    </row>
    <row r="365" spans="1:18" x14ac:dyDescent="0.3">
      <c r="A365">
        <f>TableMCGLOBL[[#This Row],[Study Package Code]]</f>
        <v>0</v>
      </c>
      <c r="B365" s="1">
        <f>TableMCGLOBL[[#This Row],[Ver]]</f>
        <v>0</v>
      </c>
      <c r="D365">
        <f>TableMCGLOBL[[#This Row],[Structure Line]]</f>
        <v>0</v>
      </c>
      <c r="E365" s="95">
        <f>TableMCGLOBL[[#This Row],[Credit Points]]</f>
        <v>0</v>
      </c>
      <c r="N365" s="147"/>
      <c r="O365" s="147"/>
      <c r="Q365" t="s">
        <v>207</v>
      </c>
      <c r="R365">
        <v>1</v>
      </c>
    </row>
    <row r="366" spans="1:18" x14ac:dyDescent="0.3">
      <c r="B366"/>
      <c r="E366"/>
      <c r="F366" s="93"/>
      <c r="G366" s="94" t="s">
        <v>689</v>
      </c>
      <c r="H366" s="233">
        <v>45292</v>
      </c>
      <c r="I366" s="146"/>
      <c r="J366" s="230" t="s">
        <v>207</v>
      </c>
      <c r="K366" s="234">
        <v>1</v>
      </c>
      <c r="L366" s="146" t="s">
        <v>206</v>
      </c>
      <c r="M366" s="146"/>
      <c r="N366" s="180" t="s">
        <v>690</v>
      </c>
      <c r="O366" s="147">
        <v>45583</v>
      </c>
    </row>
    <row r="367" spans="1:18" x14ac:dyDescent="0.3">
      <c r="A367" t="s">
        <v>0</v>
      </c>
      <c r="B367" s="1" t="s">
        <v>691</v>
      </c>
      <c r="C367" t="s">
        <v>692</v>
      </c>
      <c r="D367" t="s">
        <v>3</v>
      </c>
      <c r="E367" s="95" t="s">
        <v>693</v>
      </c>
      <c r="F367" t="s">
        <v>694</v>
      </c>
      <c r="G367" t="s">
        <v>695</v>
      </c>
      <c r="H367" t="s">
        <v>696</v>
      </c>
      <c r="I367" t="s">
        <v>22</v>
      </c>
      <c r="J367" t="s">
        <v>697</v>
      </c>
      <c r="K367" t="s">
        <v>1</v>
      </c>
      <c r="L367" t="s">
        <v>698</v>
      </c>
      <c r="M367" t="s">
        <v>53</v>
      </c>
      <c r="N367" t="s">
        <v>699</v>
      </c>
      <c r="O367" t="s">
        <v>700</v>
      </c>
      <c r="Q367" t="s">
        <v>701</v>
      </c>
      <c r="R367" t="s">
        <v>1</v>
      </c>
    </row>
    <row r="368" spans="1:18" x14ac:dyDescent="0.3">
      <c r="A368" t="str">
        <f>TableSTRPGLOBL[[#This Row],[Study Package Code]]</f>
        <v>GLBL5002</v>
      </c>
      <c r="B368" s="1">
        <f>TableSTRPGLOBL[[#This Row],[Ver]]</f>
        <v>1</v>
      </c>
      <c r="D368" t="str">
        <f>TableSTRPGLOBL[[#This Row],[Structure Line]]</f>
        <v>Engaging Africa</v>
      </c>
      <c r="E368" s="95">
        <f>TableSTRPGLOBL[[#This Row],[Credit Points]]</f>
        <v>25</v>
      </c>
      <c r="F368">
        <v>1</v>
      </c>
      <c r="G368" t="s">
        <v>706</v>
      </c>
      <c r="H368">
        <v>1</v>
      </c>
      <c r="I368" t="s">
        <v>719</v>
      </c>
      <c r="J368" t="s">
        <v>282</v>
      </c>
      <c r="K368">
        <v>1</v>
      </c>
      <c r="L368" t="s">
        <v>468</v>
      </c>
      <c r="M368">
        <v>25</v>
      </c>
      <c r="N368" s="147">
        <v>45108</v>
      </c>
      <c r="O368" s="147"/>
      <c r="Q368" t="s">
        <v>282</v>
      </c>
      <c r="R368">
        <v>1</v>
      </c>
    </row>
    <row r="369" spans="1:18" x14ac:dyDescent="0.3">
      <c r="A369" t="str">
        <f>TableSTRPGLOBL[[#This Row],[Study Package Code]]</f>
        <v>GLBL5003</v>
      </c>
      <c r="B369" s="1">
        <f>TableSTRPGLOBL[[#This Row],[Ver]]</f>
        <v>1</v>
      </c>
      <c r="D369" t="str">
        <f>TableSTRPGLOBL[[#This Row],[Structure Line]]</f>
        <v>Engaging Asia</v>
      </c>
      <c r="E369" s="95">
        <f>TableSTRPGLOBL[[#This Row],[Credit Points]]</f>
        <v>25</v>
      </c>
      <c r="F369">
        <v>2</v>
      </c>
      <c r="G369" t="s">
        <v>706</v>
      </c>
      <c r="H369">
        <v>1</v>
      </c>
      <c r="I369" t="s">
        <v>719</v>
      </c>
      <c r="J369" t="s">
        <v>283</v>
      </c>
      <c r="K369">
        <v>1</v>
      </c>
      <c r="L369" t="s">
        <v>469</v>
      </c>
      <c r="M369">
        <v>25</v>
      </c>
      <c r="N369" s="147">
        <v>45108</v>
      </c>
      <c r="O369" s="147"/>
      <c r="Q369" t="s">
        <v>283</v>
      </c>
      <c r="R369">
        <v>1</v>
      </c>
    </row>
    <row r="370" spans="1:18" x14ac:dyDescent="0.3">
      <c r="A370" t="str">
        <f>TableSTRPGLOBL[[#This Row],[Study Package Code]]</f>
        <v>GLBL5000</v>
      </c>
      <c r="B370" s="1">
        <f>TableSTRPGLOBL[[#This Row],[Ver]]</f>
        <v>1</v>
      </c>
      <c r="D370" t="str">
        <f>TableSTRPGLOBL[[#This Row],[Structure Line]]</f>
        <v>Engaging Cultural Diversity</v>
      </c>
      <c r="E370" s="95">
        <f>TableSTRPGLOBL[[#This Row],[Credit Points]]</f>
        <v>25</v>
      </c>
      <c r="F370">
        <v>3</v>
      </c>
      <c r="G370" t="s">
        <v>706</v>
      </c>
      <c r="H370">
        <v>1</v>
      </c>
      <c r="I370" t="s">
        <v>719</v>
      </c>
      <c r="J370" t="s">
        <v>275</v>
      </c>
      <c r="K370">
        <v>1</v>
      </c>
      <c r="L370" t="s">
        <v>466</v>
      </c>
      <c r="M370">
        <v>25</v>
      </c>
      <c r="N370" s="147">
        <v>45108</v>
      </c>
      <c r="O370" s="147"/>
      <c r="Q370" t="s">
        <v>275</v>
      </c>
      <c r="R370">
        <v>1</v>
      </c>
    </row>
    <row r="371" spans="1:18" x14ac:dyDescent="0.3">
      <c r="A371" t="str">
        <f>TableSTRPGLOBL[[#This Row],[Study Package Code]]</f>
        <v>GLBL5001</v>
      </c>
      <c r="B371" s="1">
        <f>TableSTRPGLOBL[[#This Row],[Ver]]</f>
        <v>1</v>
      </c>
      <c r="D371" t="str">
        <f>TableSTRPGLOBL[[#This Row],[Structure Line]]</f>
        <v>Global Futures and Just Transformations</v>
      </c>
      <c r="E371" s="95">
        <f>TableSTRPGLOBL[[#This Row],[Credit Points]]</f>
        <v>25</v>
      </c>
      <c r="F371">
        <v>4</v>
      </c>
      <c r="G371" t="s">
        <v>706</v>
      </c>
      <c r="H371">
        <v>1</v>
      </c>
      <c r="I371" t="s">
        <v>719</v>
      </c>
      <c r="J371" t="s">
        <v>277</v>
      </c>
      <c r="K371">
        <v>1</v>
      </c>
      <c r="L371" t="s">
        <v>467</v>
      </c>
      <c r="M371">
        <v>25</v>
      </c>
      <c r="N371" s="147">
        <v>45108</v>
      </c>
      <c r="O371" s="147"/>
      <c r="Q371" t="s">
        <v>277</v>
      </c>
      <c r="R371">
        <v>1</v>
      </c>
    </row>
    <row r="372" spans="1:18" x14ac:dyDescent="0.3">
      <c r="B372"/>
      <c r="E372"/>
      <c r="F372" s="93"/>
      <c r="G372" s="94" t="s">
        <v>689</v>
      </c>
      <c r="H372" s="233">
        <v>45292</v>
      </c>
      <c r="I372" s="146"/>
      <c r="J372" s="230" t="s">
        <v>194</v>
      </c>
      <c r="K372" s="234">
        <v>1</v>
      </c>
      <c r="L372" s="146" t="s">
        <v>193</v>
      </c>
      <c r="M372" s="146"/>
      <c r="N372" s="180" t="s">
        <v>690</v>
      </c>
      <c r="O372" s="147">
        <v>45583</v>
      </c>
    </row>
    <row r="373" spans="1:18" x14ac:dyDescent="0.3">
      <c r="A373" t="s">
        <v>0</v>
      </c>
      <c r="B373" s="1" t="s">
        <v>691</v>
      </c>
      <c r="C373" t="s">
        <v>692</v>
      </c>
      <c r="D373" t="s">
        <v>3</v>
      </c>
      <c r="E373" s="95" t="s">
        <v>693</v>
      </c>
      <c r="F373" t="s">
        <v>694</v>
      </c>
      <c r="G373" t="s">
        <v>695</v>
      </c>
      <c r="H373" t="s">
        <v>696</v>
      </c>
      <c r="I373" t="s">
        <v>22</v>
      </c>
      <c r="J373" t="s">
        <v>697</v>
      </c>
      <c r="K373" t="s">
        <v>1</v>
      </c>
      <c r="L373" t="s">
        <v>698</v>
      </c>
      <c r="M373" t="s">
        <v>53</v>
      </c>
      <c r="N373" t="s">
        <v>699</v>
      </c>
      <c r="O373" t="s">
        <v>700</v>
      </c>
      <c r="Q373" t="s">
        <v>701</v>
      </c>
      <c r="R373" t="s">
        <v>1</v>
      </c>
    </row>
    <row r="374" spans="1:18" x14ac:dyDescent="0.3">
      <c r="A374" t="str">
        <f>TableSTRPHRIGT[[#This Row],[Study Package Code]]</f>
        <v>Opt-HRIGTSt</v>
      </c>
      <c r="B374" s="1">
        <f>TableSTRPHRIGT[[#This Row],[Ver]]</f>
        <v>0</v>
      </c>
      <c r="D374" t="str">
        <f>TableSTRPHRIGT[[#This Row],[Structure Line]]</f>
        <v>Choose Options</v>
      </c>
      <c r="E374" s="95">
        <f>TableSTRPHRIGT[[#This Row],[Credit Points]]</f>
        <v>100</v>
      </c>
      <c r="F374">
        <v>1</v>
      </c>
      <c r="G374" t="s">
        <v>708</v>
      </c>
      <c r="H374">
        <v>1</v>
      </c>
      <c r="I374" t="s">
        <v>703</v>
      </c>
      <c r="J374" t="s">
        <v>395</v>
      </c>
      <c r="K374">
        <v>0</v>
      </c>
      <c r="L374" t="s">
        <v>709</v>
      </c>
      <c r="M374">
        <v>100</v>
      </c>
      <c r="N374" s="147"/>
      <c r="O374" s="147"/>
      <c r="Q374" t="s">
        <v>395</v>
      </c>
      <c r="R374">
        <v>0</v>
      </c>
    </row>
    <row r="375" spans="1:18" x14ac:dyDescent="0.3">
      <c r="A375" t="str">
        <f>TableSTRPHRIGT[[#This Row],[Study Package Code]]</f>
        <v>HRIG5000</v>
      </c>
      <c r="B375" s="1">
        <f>TableSTRPHRIGT[[#This Row],[Ver]]</f>
        <v>2</v>
      </c>
      <c r="D375" t="str">
        <f>TableSTRPHRIGT[[#This Row],[Structure Line]]</f>
        <v>Human Rights Education in Practice</v>
      </c>
      <c r="E375" s="95">
        <f>TableSTRPHRIGT[[#This Row],[Credit Points]]</f>
        <v>25</v>
      </c>
      <c r="F375">
        <v>1</v>
      </c>
      <c r="G375" t="s">
        <v>708</v>
      </c>
      <c r="H375">
        <v>1</v>
      </c>
      <c r="I375" t="s">
        <v>703</v>
      </c>
      <c r="J375" t="s">
        <v>272</v>
      </c>
      <c r="K375">
        <v>2</v>
      </c>
      <c r="L375" t="s">
        <v>473</v>
      </c>
      <c r="M375">
        <v>25</v>
      </c>
      <c r="N375" s="147">
        <v>45292</v>
      </c>
      <c r="O375" s="147"/>
      <c r="Q375" t="s">
        <v>272</v>
      </c>
      <c r="R375">
        <v>2</v>
      </c>
    </row>
    <row r="376" spans="1:18" x14ac:dyDescent="0.3">
      <c r="A376" t="str">
        <f>TableSTRPHRIGT[[#This Row],[Study Package Code]]</f>
        <v>HRIG5001</v>
      </c>
      <c r="B376" s="1">
        <f>TableSTRPHRIGT[[#This Row],[Ver]]</f>
        <v>2</v>
      </c>
      <c r="D376" t="str">
        <f>TableSTRPHRIGT[[#This Row],[Structure Line]]</f>
        <v>Social Justice and Development</v>
      </c>
      <c r="E376" s="95">
        <f>TableSTRPHRIGT[[#This Row],[Credit Points]]</f>
        <v>25</v>
      </c>
      <c r="F376">
        <v>1</v>
      </c>
      <c r="G376" t="s">
        <v>708</v>
      </c>
      <c r="H376">
        <v>1</v>
      </c>
      <c r="I376" t="s">
        <v>703</v>
      </c>
      <c r="J376" t="s">
        <v>273</v>
      </c>
      <c r="K376">
        <v>2</v>
      </c>
      <c r="L376" t="s">
        <v>474</v>
      </c>
      <c r="M376">
        <v>25</v>
      </c>
      <c r="N376" s="147">
        <v>45292</v>
      </c>
      <c r="O376" s="147"/>
      <c r="Q376" t="s">
        <v>273</v>
      </c>
      <c r="R376">
        <v>2</v>
      </c>
    </row>
    <row r="377" spans="1:18" x14ac:dyDescent="0.3">
      <c r="A377" t="str">
        <f>TableSTRPHRIGT[[#This Row],[Study Package Code]]</f>
        <v>HRIG5002</v>
      </c>
      <c r="B377" s="1">
        <f>TableSTRPHRIGT[[#This Row],[Ver]]</f>
        <v>2</v>
      </c>
      <c r="D377" t="str">
        <f>TableSTRPHRIGT[[#This Row],[Structure Line]]</f>
        <v>International Human Rights Law and Practice</v>
      </c>
      <c r="E377" s="95">
        <f>TableSTRPHRIGT[[#This Row],[Credit Points]]</f>
        <v>25</v>
      </c>
      <c r="F377">
        <v>1</v>
      </c>
      <c r="G377" t="s">
        <v>708</v>
      </c>
      <c r="H377">
        <v>1</v>
      </c>
      <c r="I377" t="s">
        <v>703</v>
      </c>
      <c r="J377" t="s">
        <v>281</v>
      </c>
      <c r="K377">
        <v>2</v>
      </c>
      <c r="L377" t="s">
        <v>475</v>
      </c>
      <c r="M377">
        <v>25</v>
      </c>
      <c r="N377" s="147">
        <v>45292</v>
      </c>
      <c r="O377" s="147"/>
      <c r="Q377" t="s">
        <v>281</v>
      </c>
      <c r="R377">
        <v>2</v>
      </c>
    </row>
    <row r="378" spans="1:18" x14ac:dyDescent="0.3">
      <c r="A378" t="str">
        <f>TableSTRPHRIGT[[#This Row],[Study Package Code]]</f>
        <v>HRIG5003</v>
      </c>
      <c r="B378" s="1">
        <f>TableSTRPHRIGT[[#This Row],[Ver]]</f>
        <v>2</v>
      </c>
      <c r="D378" t="str">
        <f>TableSTRPHRIGT[[#This Row],[Structure Line]]</f>
        <v>Activism, Advocacy and Change</v>
      </c>
      <c r="E378" s="95">
        <f>TableSTRPHRIGT[[#This Row],[Credit Points]]</f>
        <v>25</v>
      </c>
      <c r="F378">
        <v>1</v>
      </c>
      <c r="G378" t="s">
        <v>708</v>
      </c>
      <c r="H378">
        <v>1</v>
      </c>
      <c r="I378" t="s">
        <v>703</v>
      </c>
      <c r="J378" t="s">
        <v>274</v>
      </c>
      <c r="K378">
        <v>2</v>
      </c>
      <c r="L378" t="s">
        <v>476</v>
      </c>
      <c r="M378">
        <v>25</v>
      </c>
      <c r="N378" s="147">
        <v>45292</v>
      </c>
      <c r="O378" s="147"/>
      <c r="Q378" t="s">
        <v>274</v>
      </c>
      <c r="R378">
        <v>2</v>
      </c>
    </row>
    <row r="379" spans="1:18" x14ac:dyDescent="0.3">
      <c r="A379" t="str">
        <f>TableSTRPHRIGT[[#This Row],[Study Package Code]]</f>
        <v>HRIG5004</v>
      </c>
      <c r="B379" s="1">
        <f>TableSTRPHRIGT[[#This Row],[Ver]]</f>
        <v>3</v>
      </c>
      <c r="D379" t="str">
        <f>TableSTRPHRIGT[[#This Row],[Structure Line]]</f>
        <v>Forced Migration and Refugee Rights</v>
      </c>
      <c r="E379" s="95">
        <f>TableSTRPHRIGT[[#This Row],[Credit Points]]</f>
        <v>25</v>
      </c>
      <c r="F379">
        <v>1</v>
      </c>
      <c r="G379" t="s">
        <v>708</v>
      </c>
      <c r="H379">
        <v>1</v>
      </c>
      <c r="I379" t="s">
        <v>703</v>
      </c>
      <c r="J379" t="s">
        <v>290</v>
      </c>
      <c r="K379">
        <v>3</v>
      </c>
      <c r="L379" t="s">
        <v>477</v>
      </c>
      <c r="M379">
        <v>25</v>
      </c>
      <c r="N379" s="147">
        <v>45292</v>
      </c>
      <c r="O379" s="147"/>
      <c r="Q379" t="s">
        <v>290</v>
      </c>
      <c r="R379">
        <v>3</v>
      </c>
    </row>
    <row r="380" spans="1:18" x14ac:dyDescent="0.3">
      <c r="A380" t="str">
        <f>TableSTRPHRIGT[[#This Row],[Study Package Code]]</f>
        <v>HRIG5014</v>
      </c>
      <c r="B380" s="1">
        <f>TableSTRPHRIGT[[#This Row],[Ver]]</f>
        <v>2</v>
      </c>
      <c r="D380" t="str">
        <f>TableSTRPHRIGT[[#This Row],[Structure Line]]</f>
        <v>Dialogue across Cultures and Religions</v>
      </c>
      <c r="E380" s="95">
        <f>TableSTRPHRIGT[[#This Row],[Credit Points]]</f>
        <v>25</v>
      </c>
      <c r="F380">
        <v>1</v>
      </c>
      <c r="G380" t="s">
        <v>708</v>
      </c>
      <c r="H380">
        <v>1</v>
      </c>
      <c r="I380" t="s">
        <v>703</v>
      </c>
      <c r="J380" t="s">
        <v>270</v>
      </c>
      <c r="K380">
        <v>2</v>
      </c>
      <c r="L380" t="s">
        <v>480</v>
      </c>
      <c r="M380">
        <v>25</v>
      </c>
      <c r="N380" s="147">
        <v>45292</v>
      </c>
      <c r="O380" s="147"/>
      <c r="Q380" t="s">
        <v>270</v>
      </c>
      <c r="R380">
        <v>2</v>
      </c>
    </row>
    <row r="381" spans="1:18" x14ac:dyDescent="0.3">
      <c r="B381"/>
      <c r="E381"/>
      <c r="F381" s="93"/>
      <c r="G381" s="94" t="s">
        <v>689</v>
      </c>
      <c r="H381" s="233">
        <v>45292</v>
      </c>
      <c r="I381" s="146"/>
      <c r="J381" s="230" t="s">
        <v>201</v>
      </c>
      <c r="K381" s="234">
        <v>1</v>
      </c>
      <c r="L381" s="146" t="s">
        <v>200</v>
      </c>
      <c r="M381" s="146"/>
      <c r="N381" s="180" t="s">
        <v>690</v>
      </c>
      <c r="O381" s="147">
        <v>45583</v>
      </c>
    </row>
    <row r="382" spans="1:18" x14ac:dyDescent="0.3">
      <c r="A382" t="s">
        <v>0</v>
      </c>
      <c r="B382" s="1" t="s">
        <v>691</v>
      </c>
      <c r="C382" t="s">
        <v>692</v>
      </c>
      <c r="D382" t="s">
        <v>3</v>
      </c>
      <c r="E382" s="95" t="s">
        <v>693</v>
      </c>
      <c r="F382" t="s">
        <v>694</v>
      </c>
      <c r="G382" t="s">
        <v>695</v>
      </c>
      <c r="H382" t="s">
        <v>696</v>
      </c>
      <c r="I382" t="s">
        <v>22</v>
      </c>
      <c r="J382" t="s">
        <v>697</v>
      </c>
      <c r="K382" t="s">
        <v>1</v>
      </c>
      <c r="L382" t="s">
        <v>698</v>
      </c>
      <c r="M382" t="s">
        <v>53</v>
      </c>
      <c r="N382" t="s">
        <v>699</v>
      </c>
      <c r="O382" t="s">
        <v>700</v>
      </c>
      <c r="Q382" t="s">
        <v>701</v>
      </c>
      <c r="R382" t="s">
        <v>1</v>
      </c>
    </row>
    <row r="383" spans="1:18" x14ac:dyDescent="0.3">
      <c r="A383" t="str">
        <f>TableSTRPINTRN[[#This Row],[Study Package Code]]</f>
        <v>AC-INTRNSt</v>
      </c>
      <c r="B383" s="1">
        <f>TableSTRPINTRN[[#This Row],[Ver]]</f>
        <v>0</v>
      </c>
      <c r="D383" t="str">
        <f>TableSTRPINTRN[[#This Row],[Structure Line]]</f>
        <v>Choose INTR5001 or POLS5000 or POLS5003</v>
      </c>
      <c r="E383" s="95">
        <f>TableSTRPINTRN[[#This Row],[Credit Points]]</f>
        <v>25</v>
      </c>
      <c r="F383">
        <v>1</v>
      </c>
      <c r="G383" t="s">
        <v>702</v>
      </c>
      <c r="H383">
        <v>0</v>
      </c>
      <c r="I383" t="s">
        <v>703</v>
      </c>
      <c r="J383" t="s">
        <v>391</v>
      </c>
      <c r="K383">
        <v>0</v>
      </c>
      <c r="L383" t="s">
        <v>735</v>
      </c>
      <c r="M383">
        <v>25</v>
      </c>
      <c r="N383" s="147"/>
      <c r="O383" s="147"/>
      <c r="Q383" t="s">
        <v>391</v>
      </c>
      <c r="R383">
        <v>0</v>
      </c>
    </row>
    <row r="384" spans="1:18" x14ac:dyDescent="0.3">
      <c r="A384" t="str">
        <f>TableSTRPINTRN[[#This Row],[Study Package Code]]</f>
        <v>Opt-INTRNSt</v>
      </c>
      <c r="B384" s="1">
        <f>TableSTRPINTRN[[#This Row],[Ver]]</f>
        <v>0</v>
      </c>
      <c r="D384" t="str">
        <f>TableSTRPINTRN[[#This Row],[Structure Line]]</f>
        <v>Choose Options</v>
      </c>
      <c r="E384" s="95">
        <f>TableSTRPINTRN[[#This Row],[Credit Points]]</f>
        <v>75</v>
      </c>
      <c r="F384">
        <v>2</v>
      </c>
      <c r="G384" t="s">
        <v>708</v>
      </c>
      <c r="H384">
        <v>0</v>
      </c>
      <c r="I384" t="s">
        <v>703</v>
      </c>
      <c r="J384" t="s">
        <v>392</v>
      </c>
      <c r="K384">
        <v>0</v>
      </c>
      <c r="L384" t="s">
        <v>709</v>
      </c>
      <c r="M384">
        <v>75</v>
      </c>
      <c r="N384" s="147"/>
      <c r="O384" s="147"/>
      <c r="Q384" t="s">
        <v>392</v>
      </c>
      <c r="R384">
        <v>0</v>
      </c>
    </row>
    <row r="385" spans="1:18" x14ac:dyDescent="0.3">
      <c r="A385" t="str">
        <f>TableSTRPINTRN[[#This Row],[Study Package Code]]</f>
        <v>INTR5001</v>
      </c>
      <c r="B385" s="1">
        <f>TableSTRPINTRN[[#This Row],[Ver]]</f>
        <v>2</v>
      </c>
      <c r="D385" t="str">
        <f>TableSTRPINTRN[[#This Row],[Structure Line]]</f>
        <v>Women, Peace and Security</v>
      </c>
      <c r="E385" s="95">
        <f>TableSTRPINTRN[[#This Row],[Credit Points]]</f>
        <v>25</v>
      </c>
      <c r="F385">
        <v>1</v>
      </c>
      <c r="G385" t="s">
        <v>702</v>
      </c>
      <c r="H385">
        <v>0</v>
      </c>
      <c r="I385" t="s">
        <v>703</v>
      </c>
      <c r="J385" t="s">
        <v>369</v>
      </c>
      <c r="K385">
        <v>2</v>
      </c>
      <c r="L385" t="s">
        <v>486</v>
      </c>
      <c r="M385">
        <v>25</v>
      </c>
      <c r="N385" s="147">
        <v>45658</v>
      </c>
      <c r="O385" s="147"/>
      <c r="Q385" t="s">
        <v>369</v>
      </c>
      <c r="R385">
        <v>1</v>
      </c>
    </row>
    <row r="386" spans="1:18" x14ac:dyDescent="0.3">
      <c r="A386" t="str">
        <f>TableSTRPINTRN[[#This Row],[Study Package Code]]</f>
        <v>POLS5000</v>
      </c>
      <c r="B386" s="1">
        <f>TableSTRPINTRN[[#This Row],[Ver]]</f>
        <v>3</v>
      </c>
      <c r="D386" t="str">
        <f>TableSTRPINTRN[[#This Row],[Structure Line]]</f>
        <v>International Security in Theory and Practice</v>
      </c>
      <c r="E386" s="95">
        <f>TableSTRPINTRN[[#This Row],[Credit Points]]</f>
        <v>25</v>
      </c>
      <c r="F386">
        <v>1</v>
      </c>
      <c r="G386" t="s">
        <v>702</v>
      </c>
      <c r="H386">
        <v>0</v>
      </c>
      <c r="I386" t="s">
        <v>703</v>
      </c>
      <c r="J386" t="s">
        <v>322</v>
      </c>
      <c r="K386">
        <v>3</v>
      </c>
      <c r="L386" t="s">
        <v>590</v>
      </c>
      <c r="M386">
        <v>25</v>
      </c>
      <c r="N386" s="147">
        <v>45658</v>
      </c>
      <c r="O386" s="147"/>
      <c r="Q386" t="s">
        <v>322</v>
      </c>
      <c r="R386">
        <v>2</v>
      </c>
    </row>
    <row r="387" spans="1:18" x14ac:dyDescent="0.3">
      <c r="A387" t="str">
        <f>TableSTRPINTRN[[#This Row],[Study Package Code]]</f>
        <v>POLS5003</v>
      </c>
      <c r="B387" s="1">
        <f>TableSTRPINTRN[[#This Row],[Ver]]</f>
        <v>2</v>
      </c>
      <c r="D387" t="str">
        <f>TableSTRPINTRN[[#This Row],[Structure Line]]</f>
        <v>National Strategy and Security</v>
      </c>
      <c r="E387" s="95">
        <f>TableSTRPINTRN[[#This Row],[Credit Points]]</f>
        <v>25</v>
      </c>
      <c r="F387">
        <v>1</v>
      </c>
      <c r="G387" t="s">
        <v>702</v>
      </c>
      <c r="H387">
        <v>0</v>
      </c>
      <c r="I387" t="s">
        <v>703</v>
      </c>
      <c r="J387" t="s">
        <v>350</v>
      </c>
      <c r="K387">
        <v>2</v>
      </c>
      <c r="L387" t="s">
        <v>596</v>
      </c>
      <c r="M387">
        <v>25</v>
      </c>
      <c r="N387" s="147">
        <v>45658</v>
      </c>
      <c r="O387" s="147"/>
      <c r="Q387" t="s">
        <v>350</v>
      </c>
      <c r="R387">
        <v>1</v>
      </c>
    </row>
    <row r="388" spans="1:18" x14ac:dyDescent="0.3">
      <c r="A388" t="str">
        <f>TableSTRPINTRN[[#This Row],[Study Package Code]]</f>
        <v>INTR5002</v>
      </c>
      <c r="B388" s="1">
        <f>TableSTRPINTRN[[#This Row],[Ver]]</f>
        <v>2</v>
      </c>
      <c r="D388" t="str">
        <f>TableSTRPINTRN[[#This Row],[Structure Line]]</f>
        <v>The Geopolitics of East Asia</v>
      </c>
      <c r="E388" s="95">
        <f>TableSTRPINTRN[[#This Row],[Credit Points]]</f>
        <v>25</v>
      </c>
      <c r="F388">
        <v>2</v>
      </c>
      <c r="G388" t="s">
        <v>708</v>
      </c>
      <c r="H388">
        <v>0</v>
      </c>
      <c r="I388" t="s">
        <v>703</v>
      </c>
      <c r="J388" t="s">
        <v>320</v>
      </c>
      <c r="K388">
        <v>2</v>
      </c>
      <c r="L388" t="s">
        <v>487</v>
      </c>
      <c r="M388">
        <v>25</v>
      </c>
      <c r="N388" s="147">
        <v>45658</v>
      </c>
      <c r="O388" s="147"/>
      <c r="Q388" t="s">
        <v>320</v>
      </c>
      <c r="R388">
        <v>1</v>
      </c>
    </row>
    <row r="389" spans="1:18" x14ac:dyDescent="0.3">
      <c r="A389" t="str">
        <f>TableSTRPINTRN[[#This Row],[Study Package Code]]</f>
        <v>INTR5003</v>
      </c>
      <c r="B389" s="1">
        <f>TableSTRPINTRN[[#This Row],[Ver]]</f>
        <v>2</v>
      </c>
      <c r="D389" t="str">
        <f>TableSTRPINTRN[[#This Row],[Structure Line]]</f>
        <v>Strategic Geography, Planning and Decision-making</v>
      </c>
      <c r="E389" s="95">
        <f>TableSTRPINTRN[[#This Row],[Credit Points]]</f>
        <v>25</v>
      </c>
      <c r="F389">
        <v>2</v>
      </c>
      <c r="G389" t="s">
        <v>708</v>
      </c>
      <c r="H389">
        <v>0</v>
      </c>
      <c r="I389" t="s">
        <v>703</v>
      </c>
      <c r="J389" t="s">
        <v>372</v>
      </c>
      <c r="K389">
        <v>2</v>
      </c>
      <c r="L389" t="s">
        <v>490</v>
      </c>
      <c r="M389">
        <v>25</v>
      </c>
      <c r="N389" s="147">
        <v>45658</v>
      </c>
      <c r="O389" s="147"/>
      <c r="Q389" t="s">
        <v>372</v>
      </c>
      <c r="R389">
        <v>1</v>
      </c>
    </row>
    <row r="390" spans="1:18" x14ac:dyDescent="0.3">
      <c r="A390" t="str">
        <f>TableSTRPINTRN[[#This Row],[Study Package Code]]</f>
        <v>INTR5004</v>
      </c>
      <c r="B390" s="1">
        <f>TableSTRPINTRN[[#This Row],[Ver]]</f>
        <v>1</v>
      </c>
      <c r="D390" t="str">
        <f>TableSTRPINTRN[[#This Row],[Structure Line]]</f>
        <v>Russian and Eurasian Studies</v>
      </c>
      <c r="E390" s="95">
        <f>TableSTRPINTRN[[#This Row],[Credit Points]]</f>
        <v>25</v>
      </c>
      <c r="F390">
        <v>2</v>
      </c>
      <c r="G390" t="s">
        <v>708</v>
      </c>
      <c r="H390">
        <v>0</v>
      </c>
      <c r="I390" t="s">
        <v>703</v>
      </c>
      <c r="J390" t="s">
        <v>352</v>
      </c>
      <c r="K390">
        <v>1</v>
      </c>
      <c r="L390" t="s">
        <v>493</v>
      </c>
      <c r="M390">
        <v>25</v>
      </c>
      <c r="N390" s="147">
        <v>42005</v>
      </c>
      <c r="O390" s="147"/>
      <c r="Q390" t="s">
        <v>352</v>
      </c>
      <c r="R390">
        <v>1</v>
      </c>
    </row>
    <row r="391" spans="1:18" x14ac:dyDescent="0.3">
      <c r="A391" t="str">
        <f>TableSTRPINTRN[[#This Row],[Study Package Code]]</f>
        <v>INTR5005</v>
      </c>
      <c r="B391" s="1">
        <f>TableSTRPINTRN[[#This Row],[Ver]]</f>
        <v>1</v>
      </c>
      <c r="D391" t="str">
        <f>TableSTRPINTRN[[#This Row],[Structure Line]]</f>
        <v>Globalised Terrorism</v>
      </c>
      <c r="E391" s="95">
        <f>TableSTRPINTRN[[#This Row],[Credit Points]]</f>
        <v>25</v>
      </c>
      <c r="F391">
        <v>2</v>
      </c>
      <c r="G391" t="s">
        <v>708</v>
      </c>
      <c r="H391">
        <v>0</v>
      </c>
      <c r="I391" t="s">
        <v>703</v>
      </c>
      <c r="J391" t="s">
        <v>376</v>
      </c>
      <c r="K391">
        <v>1</v>
      </c>
      <c r="L391" t="s">
        <v>494</v>
      </c>
      <c r="M391">
        <v>25</v>
      </c>
      <c r="N391" s="147">
        <v>42005</v>
      </c>
      <c r="O391" s="147"/>
      <c r="Q391" t="s">
        <v>376</v>
      </c>
      <c r="R391">
        <v>1</v>
      </c>
    </row>
    <row r="392" spans="1:18" x14ac:dyDescent="0.3">
      <c r="A392" t="str">
        <f>TableSTRPINTRN[[#This Row],[Study Package Code]]</f>
        <v>INTR5006</v>
      </c>
      <c r="B392" s="1">
        <f>TableSTRPINTRN[[#This Row],[Ver]]</f>
        <v>1</v>
      </c>
      <c r="D392" t="str">
        <f>TableSTRPINTRN[[#This Row],[Structure Line]]</f>
        <v>Intelligence and Analysis</v>
      </c>
      <c r="E392" s="95">
        <f>TableSTRPINTRN[[#This Row],[Credit Points]]</f>
        <v>25</v>
      </c>
      <c r="F392">
        <v>2</v>
      </c>
      <c r="G392" t="s">
        <v>708</v>
      </c>
      <c r="H392">
        <v>0</v>
      </c>
      <c r="I392" t="s">
        <v>703</v>
      </c>
      <c r="J392" t="s">
        <v>321</v>
      </c>
      <c r="K392">
        <v>1</v>
      </c>
      <c r="L392" t="s">
        <v>495</v>
      </c>
      <c r="M392">
        <v>25</v>
      </c>
      <c r="N392" s="147">
        <v>42005</v>
      </c>
      <c r="O392" s="147"/>
      <c r="Q392" t="s">
        <v>321</v>
      </c>
      <c r="R392">
        <v>1</v>
      </c>
    </row>
    <row r="393" spans="1:18" x14ac:dyDescent="0.3">
      <c r="A393" t="str">
        <f>TableSTRPINTRN[[#This Row],[Study Package Code]]</f>
        <v>INTR5008</v>
      </c>
      <c r="B393" s="1">
        <f>TableSTRPINTRN[[#This Row],[Ver]]</f>
        <v>2</v>
      </c>
      <c r="D393" t="str">
        <f>TableSTRPINTRN[[#This Row],[Structure Line]]</f>
        <v>Cultures of Violence and Conflict</v>
      </c>
      <c r="E393" s="95">
        <f>TableSTRPINTRN[[#This Row],[Credit Points]]</f>
        <v>25</v>
      </c>
      <c r="F393">
        <v>2</v>
      </c>
      <c r="G393" t="s">
        <v>708</v>
      </c>
      <c r="H393">
        <v>0</v>
      </c>
      <c r="I393" t="s">
        <v>703</v>
      </c>
      <c r="J393" t="s">
        <v>378</v>
      </c>
      <c r="K393">
        <v>2</v>
      </c>
      <c r="L393" t="s">
        <v>496</v>
      </c>
      <c r="M393">
        <v>25</v>
      </c>
      <c r="N393" s="147">
        <v>44927</v>
      </c>
      <c r="O393" s="147"/>
      <c r="Q393" t="s">
        <v>378</v>
      </c>
      <c r="R393">
        <v>2</v>
      </c>
    </row>
    <row r="394" spans="1:18" x14ac:dyDescent="0.3">
      <c r="A394" t="str">
        <f>TableSTRPINTRN[[#This Row],[Study Package Code]]</f>
        <v>INTR5009</v>
      </c>
      <c r="B394" s="1">
        <f>TableSTRPINTRN[[#This Row],[Ver]]</f>
        <v>2</v>
      </c>
      <c r="D394" t="str">
        <f>TableSTRPINTRN[[#This Row],[Structure Line]]</f>
        <v>Cyber Conflict, Information Operations and Espionage</v>
      </c>
      <c r="E394" s="95">
        <f>TableSTRPINTRN[[#This Row],[Credit Points]]</f>
        <v>25</v>
      </c>
      <c r="F394">
        <v>2</v>
      </c>
      <c r="G394" t="s">
        <v>708</v>
      </c>
      <c r="H394">
        <v>0</v>
      </c>
      <c r="I394" t="s">
        <v>703</v>
      </c>
      <c r="J394" t="s">
        <v>353</v>
      </c>
      <c r="K394">
        <v>2</v>
      </c>
      <c r="L394" t="s">
        <v>497</v>
      </c>
      <c r="M394">
        <v>25</v>
      </c>
      <c r="N394" s="147">
        <v>45658</v>
      </c>
      <c r="O394" s="147"/>
      <c r="Q394" t="s">
        <v>353</v>
      </c>
      <c r="R394">
        <v>1</v>
      </c>
    </row>
    <row r="395" spans="1:18" x14ac:dyDescent="0.3">
      <c r="A395" t="str">
        <f>TableSTRPINTRN[[#This Row],[Study Package Code]]</f>
        <v>POLS5002</v>
      </c>
      <c r="B395" s="1">
        <f>TableSTRPINTRN[[#This Row],[Ver]]</f>
        <v>2</v>
      </c>
      <c r="D395" t="str">
        <f>TableSTRPINTRN[[#This Row],[Structure Line]]</f>
        <v>Security and Conflict in the Indian Ocean and the Middle East</v>
      </c>
      <c r="E395" s="95">
        <f>TableSTRPINTRN[[#This Row],[Credit Points]]</f>
        <v>25</v>
      </c>
      <c r="F395">
        <v>2</v>
      </c>
      <c r="G395" t="s">
        <v>708</v>
      </c>
      <c r="H395">
        <v>0</v>
      </c>
      <c r="I395" t="s">
        <v>703</v>
      </c>
      <c r="J395" t="s">
        <v>351</v>
      </c>
      <c r="K395">
        <v>2</v>
      </c>
      <c r="L395" t="s">
        <v>593</v>
      </c>
      <c r="M395">
        <v>25</v>
      </c>
      <c r="N395" s="147">
        <v>45658</v>
      </c>
      <c r="O395" s="147"/>
      <c r="Q395" t="s">
        <v>351</v>
      </c>
      <c r="R395">
        <v>1</v>
      </c>
    </row>
    <row r="396" spans="1:18" x14ac:dyDescent="0.3">
      <c r="A396" t="str">
        <f>TableSTRPINTRN[[#This Row],[Study Package Code]]</f>
        <v>POLS5004</v>
      </c>
      <c r="B396" s="1">
        <f>TableSTRPINTRN[[#This Row],[Ver]]</f>
        <v>2</v>
      </c>
      <c r="D396" t="str">
        <f>TableSTRPINTRN[[#This Row],[Structure Line]]</f>
        <v>Environmental and Energy Security</v>
      </c>
      <c r="E396" s="95">
        <f>TableSTRPINTRN[[#This Row],[Credit Points]]</f>
        <v>25</v>
      </c>
      <c r="F396">
        <v>2</v>
      </c>
      <c r="G396" t="s">
        <v>708</v>
      </c>
      <c r="H396">
        <v>0</v>
      </c>
      <c r="I396" t="s">
        <v>703</v>
      </c>
      <c r="J396" t="s">
        <v>323</v>
      </c>
      <c r="K396">
        <v>2</v>
      </c>
      <c r="L396" t="s">
        <v>599</v>
      </c>
      <c r="M396">
        <v>25</v>
      </c>
      <c r="N396" s="147">
        <v>45658</v>
      </c>
      <c r="O396" s="147"/>
      <c r="Q396" t="s">
        <v>323</v>
      </c>
      <c r="R396">
        <v>1</v>
      </c>
    </row>
    <row r="397" spans="1:18" x14ac:dyDescent="0.3">
      <c r="B397"/>
      <c r="E397"/>
      <c r="F397" s="93"/>
      <c r="G397" s="94" t="s">
        <v>689</v>
      </c>
      <c r="H397" s="233">
        <v>45292</v>
      </c>
      <c r="I397" s="146"/>
      <c r="J397" s="230" t="s">
        <v>166</v>
      </c>
      <c r="K397" s="234" t="s">
        <v>87</v>
      </c>
      <c r="L397" s="146" t="s">
        <v>165</v>
      </c>
      <c r="M397" s="146"/>
      <c r="N397" s="180" t="s">
        <v>690</v>
      </c>
      <c r="O397" s="147">
        <v>45587</v>
      </c>
    </row>
    <row r="398" spans="1:18" x14ac:dyDescent="0.3">
      <c r="A398" t="s">
        <v>0</v>
      </c>
      <c r="B398" s="1" t="s">
        <v>691</v>
      </c>
      <c r="C398" t="s">
        <v>692</v>
      </c>
      <c r="D398" t="s">
        <v>3</v>
      </c>
      <c r="E398" s="95" t="s">
        <v>693</v>
      </c>
      <c r="F398" t="s">
        <v>694</v>
      </c>
      <c r="G398" t="s">
        <v>695</v>
      </c>
      <c r="H398" t="s">
        <v>696</v>
      </c>
      <c r="I398" t="s">
        <v>22</v>
      </c>
      <c r="J398" t="s">
        <v>697</v>
      </c>
      <c r="K398" t="s">
        <v>1</v>
      </c>
      <c r="L398" t="s">
        <v>698</v>
      </c>
      <c r="M398" t="s">
        <v>53</v>
      </c>
      <c r="N398" t="s">
        <v>699</v>
      </c>
      <c r="O398" t="s">
        <v>700</v>
      </c>
      <c r="Q398" t="s">
        <v>701</v>
      </c>
      <c r="R398" t="s">
        <v>1</v>
      </c>
    </row>
    <row r="399" spans="1:18" x14ac:dyDescent="0.3">
      <c r="A399" t="str">
        <f>TableMCGLOBL2[[#This Row],[Study Package Code]]</f>
        <v>STRP-GLOBL</v>
      </c>
      <c r="B399" s="1">
        <f>TableMCGLOBL2[[#This Row],[Ver]]</f>
        <v>0</v>
      </c>
      <c r="D399" t="str">
        <f>TableMCGLOBL2[[#This Row],[Structure Line]]</f>
        <v>Choose Stream 1 - STRP-GLOBL Global Engagement Stream</v>
      </c>
      <c r="E399" s="95">
        <f>TableMCGLOBL2[[#This Row],[Credit Points]]</f>
        <v>100</v>
      </c>
      <c r="F399">
        <v>1</v>
      </c>
      <c r="G399" t="s">
        <v>706</v>
      </c>
      <c r="H399">
        <v>1</v>
      </c>
      <c r="I399" t="s">
        <v>719</v>
      </c>
      <c r="J399" t="s">
        <v>207</v>
      </c>
      <c r="K399">
        <v>0</v>
      </c>
      <c r="L399" t="s">
        <v>736</v>
      </c>
      <c r="M399">
        <v>100</v>
      </c>
      <c r="N399" s="147"/>
      <c r="O399" s="147"/>
      <c r="Q399" t="s">
        <v>207</v>
      </c>
      <c r="R399">
        <v>0</v>
      </c>
    </row>
    <row r="400" spans="1:18" x14ac:dyDescent="0.3">
      <c r="A400" t="str">
        <f>TableMCGLOBL2[[#This Row],[Study Package Code]]</f>
        <v>STRP-INTRN</v>
      </c>
      <c r="B400" s="1">
        <f>TableMCGLOBL2[[#This Row],[Ver]]</f>
        <v>0</v>
      </c>
      <c r="D400" t="str">
        <f>TableMCGLOBL2[[#This Row],[Structure Line]]</f>
        <v>Choose Stream 2 - STRP-INTRN International Relations and National Security Stream</v>
      </c>
      <c r="E400" s="95">
        <f>TableMCGLOBL2[[#This Row],[Credit Points]]</f>
        <v>100</v>
      </c>
      <c r="F400">
        <v>2</v>
      </c>
      <c r="G400" t="s">
        <v>706</v>
      </c>
      <c r="H400">
        <v>1</v>
      </c>
      <c r="I400" t="s">
        <v>720</v>
      </c>
      <c r="J400" t="s">
        <v>201</v>
      </c>
      <c r="K400">
        <v>0</v>
      </c>
      <c r="L400" t="s">
        <v>737</v>
      </c>
      <c r="M400">
        <v>100</v>
      </c>
      <c r="N400" s="147"/>
      <c r="O400" s="147"/>
      <c r="Q400" t="s">
        <v>201</v>
      </c>
      <c r="R400">
        <v>0</v>
      </c>
    </row>
    <row r="401" spans="1:18" x14ac:dyDescent="0.3">
      <c r="A401" t="str">
        <f>TableMCGLOBL2[[#This Row],[Study Package Code]]</f>
        <v>STRP-HRIGT</v>
      </c>
      <c r="B401" s="1">
        <f>TableMCGLOBL2[[#This Row],[Ver]]</f>
        <v>0</v>
      </c>
      <c r="D401" t="str">
        <f>TableMCGLOBL2[[#This Row],[Structure Line]]</f>
        <v>Choose Stream 3 - STRP-HRIGT Human Rights Stream</v>
      </c>
      <c r="E401" s="95">
        <f>TableMCGLOBL2[[#This Row],[Credit Points]]</f>
        <v>100</v>
      </c>
      <c r="F401">
        <v>3</v>
      </c>
      <c r="G401" t="s">
        <v>706</v>
      </c>
      <c r="H401">
        <v>2</v>
      </c>
      <c r="I401" t="s">
        <v>703</v>
      </c>
      <c r="J401" t="s">
        <v>194</v>
      </c>
      <c r="K401">
        <v>0</v>
      </c>
      <c r="L401" t="s">
        <v>738</v>
      </c>
      <c r="M401">
        <v>100</v>
      </c>
      <c r="N401" s="147"/>
      <c r="O401" s="147"/>
      <c r="Q401" t="s">
        <v>194</v>
      </c>
      <c r="R401">
        <v>0</v>
      </c>
    </row>
    <row r="402" spans="1:18" x14ac:dyDescent="0.3">
      <c r="A402" t="str">
        <f>TableMCGLOBL2[[#This Row],[Study Package Code]]</f>
        <v>AC-GLOBL1</v>
      </c>
      <c r="B402" s="1">
        <f>TableMCGLOBL2[[#This Row],[Ver]]</f>
        <v>0</v>
      </c>
      <c r="D402" t="str">
        <f>TableMCGLOBL2[[#This Row],[Structure Line]]</f>
        <v>Choose HUMN6001 or COMS6004</v>
      </c>
      <c r="E402" s="95">
        <f>TableMCGLOBL2[[#This Row],[Credit Points]]</f>
        <v>50</v>
      </c>
      <c r="F402">
        <v>4</v>
      </c>
      <c r="G402" t="s">
        <v>702</v>
      </c>
      <c r="H402">
        <v>2</v>
      </c>
      <c r="I402" t="s">
        <v>703</v>
      </c>
      <c r="J402" t="s">
        <v>396</v>
      </c>
      <c r="K402">
        <v>0</v>
      </c>
      <c r="L402" t="s">
        <v>724</v>
      </c>
      <c r="M402">
        <v>50</v>
      </c>
      <c r="N402" s="147"/>
      <c r="O402" s="147"/>
      <c r="Q402" t="s">
        <v>396</v>
      </c>
      <c r="R402">
        <v>0</v>
      </c>
    </row>
    <row r="403" spans="1:18" x14ac:dyDescent="0.3">
      <c r="A403" t="str">
        <f>TableMCGLOBL2[[#This Row],[Study Package Code]]</f>
        <v>AC-GLOBL2</v>
      </c>
      <c r="B403" s="1">
        <f>TableMCGLOBL2[[#This Row],[Ver]]</f>
        <v>0</v>
      </c>
      <c r="D403" t="str">
        <f>TableMCGLOBL2[[#This Row],[Structure Line]]</f>
        <v>Choose HUMN6003 or COMS6002</v>
      </c>
      <c r="E403" s="95">
        <f>TableMCGLOBL2[[#This Row],[Credit Points]]</f>
        <v>50</v>
      </c>
      <c r="F403">
        <v>5</v>
      </c>
      <c r="G403" t="s">
        <v>702</v>
      </c>
      <c r="H403">
        <v>2</v>
      </c>
      <c r="I403" t="s">
        <v>703</v>
      </c>
      <c r="J403" t="s">
        <v>398</v>
      </c>
      <c r="K403">
        <v>0</v>
      </c>
      <c r="L403" t="s">
        <v>725</v>
      </c>
      <c r="M403">
        <v>50</v>
      </c>
      <c r="N403" s="147"/>
      <c r="O403" s="147"/>
      <c r="Q403" t="s">
        <v>398</v>
      </c>
      <c r="R403">
        <v>0</v>
      </c>
    </row>
    <row r="404" spans="1:18" x14ac:dyDescent="0.3">
      <c r="A404" t="str">
        <f>TableMCGLOBL2[[#This Row],[Study Package Code]]</f>
        <v>COMS6004</v>
      </c>
      <c r="B404" s="1">
        <f>TableMCGLOBL2[[#This Row],[Ver]]</f>
        <v>2</v>
      </c>
      <c r="D404" t="str">
        <f>TableMCGLOBL2[[#This Row],[Structure Line]]</f>
        <v>Masters Professional or Creative Project</v>
      </c>
      <c r="E404" s="95">
        <f>TableMCGLOBL2[[#This Row],[Credit Points]]</f>
        <v>50</v>
      </c>
      <c r="F404">
        <v>4</v>
      </c>
      <c r="G404" t="s">
        <v>702</v>
      </c>
      <c r="H404">
        <v>2</v>
      </c>
      <c r="I404" t="s">
        <v>703</v>
      </c>
      <c r="J404" t="s">
        <v>155</v>
      </c>
      <c r="K404">
        <v>2</v>
      </c>
      <c r="L404" t="s">
        <v>439</v>
      </c>
      <c r="M404">
        <v>50</v>
      </c>
      <c r="N404" s="147">
        <v>45292</v>
      </c>
      <c r="O404" s="147"/>
      <c r="Q404" t="s">
        <v>155</v>
      </c>
      <c r="R404">
        <v>2</v>
      </c>
    </row>
    <row r="405" spans="1:18" x14ac:dyDescent="0.3">
      <c r="A405" t="str">
        <f>TableMCGLOBL2[[#This Row],[Study Package Code]]</f>
        <v>HUMN6001</v>
      </c>
      <c r="B405" s="1">
        <f>TableMCGLOBL2[[#This Row],[Ver]]</f>
        <v>1</v>
      </c>
      <c r="D405" t="str">
        <f>TableMCGLOBL2[[#This Row],[Structure Line]]</f>
        <v>Masters Research Project 1</v>
      </c>
      <c r="E405" s="95">
        <f>TableMCGLOBL2[[#This Row],[Credit Points]]</f>
        <v>50</v>
      </c>
      <c r="F405">
        <v>4</v>
      </c>
      <c r="G405" t="s">
        <v>702</v>
      </c>
      <c r="H405">
        <v>2</v>
      </c>
      <c r="I405" t="s">
        <v>703</v>
      </c>
      <c r="J405" t="s">
        <v>181</v>
      </c>
      <c r="K405">
        <v>1</v>
      </c>
      <c r="L405" t="s">
        <v>711</v>
      </c>
      <c r="M405">
        <v>50</v>
      </c>
      <c r="N405" s="147">
        <v>45292</v>
      </c>
      <c r="O405" s="147"/>
      <c r="Q405" t="s">
        <v>181</v>
      </c>
      <c r="R405">
        <v>1</v>
      </c>
    </row>
    <row r="406" spans="1:18" x14ac:dyDescent="0.3">
      <c r="A406" t="str">
        <f>TableMCGLOBL2[[#This Row],[Study Package Code]]</f>
        <v>COMS6002</v>
      </c>
      <c r="B406" s="1">
        <f>TableMCGLOBL2[[#This Row],[Ver]]</f>
        <v>3</v>
      </c>
      <c r="D406" t="str">
        <f>TableMCGLOBL2[[#This Row],[Structure Line]]</f>
        <v>Masters Professional Experience</v>
      </c>
      <c r="E406" s="95">
        <f>TableMCGLOBL2[[#This Row],[Credit Points]]</f>
        <v>50</v>
      </c>
      <c r="F406">
        <v>5</v>
      </c>
      <c r="G406" t="s">
        <v>702</v>
      </c>
      <c r="H406">
        <v>2</v>
      </c>
      <c r="I406" t="s">
        <v>703</v>
      </c>
      <c r="J406" t="s">
        <v>177</v>
      </c>
      <c r="K406">
        <v>3</v>
      </c>
      <c r="L406" t="s">
        <v>437</v>
      </c>
      <c r="M406">
        <v>50</v>
      </c>
      <c r="N406" s="147">
        <v>45292</v>
      </c>
      <c r="O406" s="147"/>
      <c r="Q406" t="s">
        <v>177</v>
      </c>
      <c r="R406">
        <v>3</v>
      </c>
    </row>
    <row r="407" spans="1:18" x14ac:dyDescent="0.3">
      <c r="A407" t="str">
        <f>TableMCGLOBL2[[#This Row],[Study Package Code]]</f>
        <v>HUMN6003</v>
      </c>
      <c r="B407" s="1">
        <f>TableMCGLOBL2[[#This Row],[Ver]]</f>
        <v>1</v>
      </c>
      <c r="D407" t="str">
        <f>TableMCGLOBL2[[#This Row],[Structure Line]]</f>
        <v>Masters Research Project 2</v>
      </c>
      <c r="E407" s="95">
        <f>TableMCGLOBL2[[#This Row],[Credit Points]]</f>
        <v>50</v>
      </c>
      <c r="F407">
        <v>5</v>
      </c>
      <c r="G407" t="s">
        <v>702</v>
      </c>
      <c r="H407">
        <v>2</v>
      </c>
      <c r="I407" t="s">
        <v>703</v>
      </c>
      <c r="J407" t="s">
        <v>161</v>
      </c>
      <c r="K407">
        <v>1</v>
      </c>
      <c r="L407" t="s">
        <v>710</v>
      </c>
      <c r="M407">
        <v>50</v>
      </c>
      <c r="N407" s="147">
        <v>45292</v>
      </c>
      <c r="O407" s="147"/>
      <c r="Q407" t="s">
        <v>161</v>
      </c>
      <c r="R407">
        <v>1</v>
      </c>
    </row>
  </sheetData>
  <conditionalFormatting sqref="J4:J9">
    <cfRule type="duplicateValues" dxfId="99" priority="106"/>
  </conditionalFormatting>
  <conditionalFormatting sqref="J12:J30">
    <cfRule type="duplicateValues" dxfId="98" priority="372"/>
  </conditionalFormatting>
  <conditionalFormatting sqref="J33:J58">
    <cfRule type="duplicateValues" dxfId="97" priority="382"/>
  </conditionalFormatting>
  <conditionalFormatting sqref="J61:J84">
    <cfRule type="duplicateValues" dxfId="96" priority="100"/>
  </conditionalFormatting>
  <conditionalFormatting sqref="J87:J114">
    <cfRule type="duplicateValues" dxfId="95" priority="97"/>
  </conditionalFormatting>
  <conditionalFormatting sqref="J117:J141">
    <cfRule type="duplicateValues" dxfId="94" priority="392"/>
  </conditionalFormatting>
  <conditionalFormatting sqref="J145:J167">
    <cfRule type="duplicateValues" dxfId="93" priority="91"/>
  </conditionalFormatting>
  <conditionalFormatting sqref="J170:J182">
    <cfRule type="duplicateValues" dxfId="92" priority="450"/>
  </conditionalFormatting>
  <conditionalFormatting sqref="J185:J192">
    <cfRule type="duplicateValues" dxfId="91" priority="85"/>
  </conditionalFormatting>
  <conditionalFormatting sqref="J195:J198">
    <cfRule type="duplicateValues" dxfId="90" priority="82"/>
  </conditionalFormatting>
  <conditionalFormatting sqref="J202:J215 J217:J218">
    <cfRule type="duplicateValues" dxfId="89" priority="79"/>
  </conditionalFormatting>
  <conditionalFormatting sqref="J216">
    <cfRule type="duplicateValues" dxfId="88" priority="25"/>
  </conditionalFormatting>
  <conditionalFormatting sqref="J221:J233">
    <cfRule type="duplicateValues" dxfId="87" priority="76"/>
  </conditionalFormatting>
  <conditionalFormatting sqref="J236:J243">
    <cfRule type="duplicateValues" dxfId="86" priority="73"/>
  </conditionalFormatting>
  <conditionalFormatting sqref="J246:J252">
    <cfRule type="duplicateValues" dxfId="85" priority="70"/>
  </conditionalFormatting>
  <conditionalFormatting sqref="J256:J278">
    <cfRule type="duplicateValues" dxfId="84" priority="502"/>
  </conditionalFormatting>
  <conditionalFormatting sqref="J281:J299">
    <cfRule type="duplicateValues" dxfId="83" priority="503"/>
  </conditionalFormatting>
  <conditionalFormatting sqref="J302:J317">
    <cfRule type="duplicateValues" dxfId="82" priority="508"/>
  </conditionalFormatting>
  <conditionalFormatting sqref="J320:J331 J333">
    <cfRule type="duplicateValues" dxfId="81" priority="61"/>
  </conditionalFormatting>
  <conditionalFormatting sqref="J332">
    <cfRule type="duplicateValues" dxfId="80" priority="8"/>
  </conditionalFormatting>
  <conditionalFormatting sqref="J336:J339">
    <cfRule type="duplicateValues" dxfId="79" priority="510"/>
  </conditionalFormatting>
  <conditionalFormatting sqref="J342:J345">
    <cfRule type="duplicateValues" dxfId="78" priority="512"/>
  </conditionalFormatting>
  <conditionalFormatting sqref="J349:J352">
    <cfRule type="duplicateValues" dxfId="77" priority="49"/>
  </conditionalFormatting>
  <conditionalFormatting sqref="J355:J365">
    <cfRule type="duplicateValues" dxfId="76" priority="46"/>
  </conditionalFormatting>
  <conditionalFormatting sqref="J368:J371">
    <cfRule type="duplicateValues" dxfId="75" priority="43"/>
  </conditionalFormatting>
  <conditionalFormatting sqref="J374:J380">
    <cfRule type="duplicateValues" dxfId="74" priority="40"/>
  </conditionalFormatting>
  <conditionalFormatting sqref="J383:J396">
    <cfRule type="duplicateValues" dxfId="73" priority="37"/>
  </conditionalFormatting>
  <conditionalFormatting sqref="J399:J403 J405:J407">
    <cfRule type="duplicateValues" dxfId="72" priority="34"/>
  </conditionalFormatting>
  <conditionalFormatting sqref="J404">
    <cfRule type="duplicateValues" dxfId="71" priority="1"/>
  </conditionalFormatting>
  <conditionalFormatting sqref="N4:N9 N33:N58 N117:N141 N256:N278 N302:N317">
    <cfRule type="cellIs" dxfId="70" priority="357" operator="greaterThan">
      <formula>$P$2</formula>
    </cfRule>
  </conditionalFormatting>
  <conditionalFormatting sqref="N12:N30">
    <cfRule type="cellIs" dxfId="69" priority="104" operator="greaterThan">
      <formula>$P$2</formula>
    </cfRule>
  </conditionalFormatting>
  <conditionalFormatting sqref="N61:N84">
    <cfRule type="cellIs" dxfId="68" priority="101" operator="greaterThan">
      <formula>$P$2</formula>
    </cfRule>
  </conditionalFormatting>
  <conditionalFormatting sqref="N87:N114">
    <cfRule type="cellIs" dxfId="67" priority="98" operator="greaterThan">
      <formula>$P$2</formula>
    </cfRule>
  </conditionalFormatting>
  <conditionalFormatting sqref="N145:N167">
    <cfRule type="cellIs" dxfId="66" priority="92" operator="greaterThan">
      <formula>$P$2</formula>
    </cfRule>
  </conditionalFormatting>
  <conditionalFormatting sqref="N170:N182">
    <cfRule type="cellIs" dxfId="65" priority="89" operator="greaterThan">
      <formula>$P$2</formula>
    </cfRule>
  </conditionalFormatting>
  <conditionalFormatting sqref="N185:N192">
    <cfRule type="cellIs" dxfId="64" priority="86" operator="greaterThan">
      <formula>$P$2</formula>
    </cfRule>
  </conditionalFormatting>
  <conditionalFormatting sqref="N195:N198">
    <cfRule type="cellIs" dxfId="63" priority="83" operator="greaterThan">
      <formula>$P$2</formula>
    </cfRule>
  </conditionalFormatting>
  <conditionalFormatting sqref="N202:N218">
    <cfRule type="cellIs" dxfId="62" priority="80" operator="greaterThan">
      <formula>$P$2</formula>
    </cfRule>
  </conditionalFormatting>
  <conditionalFormatting sqref="N221:N233">
    <cfRule type="cellIs" dxfId="61" priority="77" operator="greaterThan">
      <formula>$P$2</formula>
    </cfRule>
  </conditionalFormatting>
  <conditionalFormatting sqref="N236:N243">
    <cfRule type="cellIs" dxfId="60" priority="74" operator="greaterThan">
      <formula>$P$2</formula>
    </cfRule>
  </conditionalFormatting>
  <conditionalFormatting sqref="N246:N252">
    <cfRule type="cellIs" dxfId="59" priority="71" operator="greaterThan">
      <formula>$P$2</formula>
    </cfRule>
  </conditionalFormatting>
  <conditionalFormatting sqref="N281:N299">
    <cfRule type="cellIs" dxfId="58" priority="59" operator="greaterThan">
      <formula>$P$2</formula>
    </cfRule>
  </conditionalFormatting>
  <conditionalFormatting sqref="N320:N333">
    <cfRule type="cellIs" dxfId="57" priority="62" operator="greaterThan">
      <formula>$P$2</formula>
    </cfRule>
  </conditionalFormatting>
  <conditionalFormatting sqref="N336:N339">
    <cfRule type="cellIs" dxfId="56" priority="56" operator="greaterThan">
      <formula>$P$2</formula>
    </cfRule>
  </conditionalFormatting>
  <conditionalFormatting sqref="N342:N345">
    <cfRule type="cellIs" dxfId="55" priority="53" operator="greaterThan">
      <formula>$P$2</formula>
    </cfRule>
  </conditionalFormatting>
  <conditionalFormatting sqref="N349:N352">
    <cfRule type="cellIs" dxfId="54" priority="50" operator="greaterThan">
      <formula>$P$2</formula>
    </cfRule>
  </conditionalFormatting>
  <conditionalFormatting sqref="N355:N365">
    <cfRule type="cellIs" dxfId="53" priority="47" operator="greaterThan">
      <formula>$P$2</formula>
    </cfRule>
  </conditionalFormatting>
  <conditionalFormatting sqref="N368:N371">
    <cfRule type="cellIs" dxfId="52" priority="44" operator="greaterThan">
      <formula>$P$2</formula>
    </cfRule>
  </conditionalFormatting>
  <conditionalFormatting sqref="N374:N380">
    <cfRule type="cellIs" dxfId="51" priority="41" operator="greaterThan">
      <formula>$P$2</formula>
    </cfRule>
  </conditionalFormatting>
  <conditionalFormatting sqref="N383:N396">
    <cfRule type="cellIs" dxfId="50" priority="38" operator="greaterThan">
      <formula>$P$2</formula>
    </cfRule>
  </conditionalFormatting>
  <conditionalFormatting sqref="N399:N407">
    <cfRule type="cellIs" dxfId="49" priority="35" operator="greaterThan">
      <formula>$P$2</formula>
    </cfRule>
  </conditionalFormatting>
  <conditionalFormatting sqref="O4:O9 O33:O58 O117:O141 O256:O278 O302:O317">
    <cfRule type="notContainsBlanks" dxfId="48" priority="358">
      <formula>LEN(TRIM(O4))&gt;0</formula>
    </cfRule>
  </conditionalFormatting>
  <conditionalFormatting sqref="O12:O30">
    <cfRule type="notContainsBlanks" dxfId="47" priority="105">
      <formula>LEN(TRIM(O12))&gt;0</formula>
    </cfRule>
  </conditionalFormatting>
  <conditionalFormatting sqref="O61:O84">
    <cfRule type="notContainsBlanks" dxfId="46" priority="102">
      <formula>LEN(TRIM(O61))&gt;0</formula>
    </cfRule>
  </conditionalFormatting>
  <conditionalFormatting sqref="O87:O114">
    <cfRule type="notContainsBlanks" dxfId="45" priority="99">
      <formula>LEN(TRIM(O87))&gt;0</formula>
    </cfRule>
  </conditionalFormatting>
  <conditionalFormatting sqref="O145:O167">
    <cfRule type="notContainsBlanks" dxfId="44" priority="93">
      <formula>LEN(TRIM(O145))&gt;0</formula>
    </cfRule>
  </conditionalFormatting>
  <conditionalFormatting sqref="O170:O182">
    <cfRule type="notContainsBlanks" dxfId="43" priority="90">
      <formula>LEN(TRIM(O170))&gt;0</formula>
    </cfRule>
  </conditionalFormatting>
  <conditionalFormatting sqref="O185:O192">
    <cfRule type="notContainsBlanks" dxfId="42" priority="87">
      <formula>LEN(TRIM(O185))&gt;0</formula>
    </cfRule>
  </conditionalFormatting>
  <conditionalFormatting sqref="O195:O198">
    <cfRule type="notContainsBlanks" dxfId="41" priority="84">
      <formula>LEN(TRIM(O195))&gt;0</formula>
    </cfRule>
  </conditionalFormatting>
  <conditionalFormatting sqref="O202:O218">
    <cfRule type="notContainsBlanks" dxfId="40" priority="81">
      <formula>LEN(TRIM(O202))&gt;0</formula>
    </cfRule>
  </conditionalFormatting>
  <conditionalFormatting sqref="O221:O233">
    <cfRule type="notContainsBlanks" dxfId="39" priority="78">
      <formula>LEN(TRIM(O221))&gt;0</formula>
    </cfRule>
  </conditionalFormatting>
  <conditionalFormatting sqref="O236:O243">
    <cfRule type="notContainsBlanks" dxfId="38" priority="75">
      <formula>LEN(TRIM(O236))&gt;0</formula>
    </cfRule>
  </conditionalFormatting>
  <conditionalFormatting sqref="O246:O252">
    <cfRule type="notContainsBlanks" dxfId="37" priority="72">
      <formula>LEN(TRIM(O246))&gt;0</formula>
    </cfRule>
  </conditionalFormatting>
  <conditionalFormatting sqref="O281:O299">
    <cfRule type="notContainsBlanks" dxfId="36" priority="60">
      <formula>LEN(TRIM(O281))&gt;0</formula>
    </cfRule>
  </conditionalFormatting>
  <conditionalFormatting sqref="O320:O333">
    <cfRule type="notContainsBlanks" dxfId="35" priority="63">
      <formula>LEN(TRIM(O320))&gt;0</formula>
    </cfRule>
  </conditionalFormatting>
  <conditionalFormatting sqref="O336:O339">
    <cfRule type="notContainsBlanks" dxfId="34" priority="57">
      <formula>LEN(TRIM(O336))&gt;0</formula>
    </cfRule>
  </conditionalFormatting>
  <conditionalFormatting sqref="O342:O345">
    <cfRule type="notContainsBlanks" dxfId="33" priority="54">
      <formula>LEN(TRIM(O342))&gt;0</formula>
    </cfRule>
  </conditionalFormatting>
  <conditionalFormatting sqref="O349:O352">
    <cfRule type="notContainsBlanks" dxfId="32" priority="51">
      <formula>LEN(TRIM(O349))&gt;0</formula>
    </cfRule>
  </conditionalFormatting>
  <conditionalFormatting sqref="O355:O365">
    <cfRule type="notContainsBlanks" dxfId="31" priority="48">
      <formula>LEN(TRIM(O355))&gt;0</formula>
    </cfRule>
  </conditionalFormatting>
  <conditionalFormatting sqref="O368:O371">
    <cfRule type="notContainsBlanks" dxfId="30" priority="45">
      <formula>LEN(TRIM(O368))&gt;0</formula>
    </cfRule>
  </conditionalFormatting>
  <conditionalFormatting sqref="O374:O380">
    <cfRule type="notContainsBlanks" dxfId="29" priority="42">
      <formula>LEN(TRIM(O374))&gt;0</formula>
    </cfRule>
  </conditionalFormatting>
  <conditionalFormatting sqref="O383:O396">
    <cfRule type="notContainsBlanks" dxfId="28" priority="39">
      <formula>LEN(TRIM(O383))&gt;0</formula>
    </cfRule>
  </conditionalFormatting>
  <conditionalFormatting sqref="O399:O407">
    <cfRule type="notContainsBlanks" dxfId="27" priority="36">
      <formula>LEN(TRIM(O399))&gt;0</formula>
    </cfRule>
  </conditionalFormatting>
  <conditionalFormatting sqref="Q4:R9 Q280:R299 Q302:R317 Q336:R339 Q342:R345">
    <cfRule type="expression" dxfId="26" priority="364">
      <formula>Q4&lt;&gt;J4</formula>
    </cfRule>
  </conditionalFormatting>
  <conditionalFormatting sqref="Q12:R30">
    <cfRule type="expression" dxfId="25" priority="24">
      <formula>Q12&lt;&gt;J12</formula>
    </cfRule>
  </conditionalFormatting>
  <conditionalFormatting sqref="Q33:R58">
    <cfRule type="expression" dxfId="24" priority="23">
      <formula>Q33&lt;&gt;J33</formula>
    </cfRule>
  </conditionalFormatting>
  <conditionalFormatting sqref="Q60:R84">
    <cfRule type="expression" dxfId="23" priority="22">
      <formula>Q60&lt;&gt;J60</formula>
    </cfRule>
  </conditionalFormatting>
  <conditionalFormatting sqref="Q86:R114">
    <cfRule type="expression" dxfId="22" priority="21">
      <formula>Q86&lt;&gt;J86</formula>
    </cfRule>
  </conditionalFormatting>
  <conditionalFormatting sqref="Q116:R141">
    <cfRule type="expression" dxfId="21" priority="20">
      <formula>Q116&lt;&gt;J116</formula>
    </cfRule>
  </conditionalFormatting>
  <conditionalFormatting sqref="Q145:R167">
    <cfRule type="expression" dxfId="20" priority="19">
      <formula>Q145&lt;&gt;J145</formula>
    </cfRule>
  </conditionalFormatting>
  <conditionalFormatting sqref="Q170:R182">
    <cfRule type="expression" dxfId="19" priority="18">
      <formula>Q170&lt;&gt;J170</formula>
    </cfRule>
  </conditionalFormatting>
  <conditionalFormatting sqref="Q185:R192">
    <cfRule type="expression" dxfId="18" priority="17">
      <formula>Q185&lt;&gt;J185</formula>
    </cfRule>
  </conditionalFormatting>
  <conditionalFormatting sqref="Q195:R198">
    <cfRule type="expression" dxfId="17" priority="16">
      <formula>Q195&lt;&gt;J195</formula>
    </cfRule>
  </conditionalFormatting>
  <conditionalFormatting sqref="Q202:R218">
    <cfRule type="expression" dxfId="16" priority="15">
      <formula>Q202&lt;&gt;J202</formula>
    </cfRule>
  </conditionalFormatting>
  <conditionalFormatting sqref="Q221:R233">
    <cfRule type="expression" dxfId="15" priority="14">
      <formula>Q221&lt;&gt;J221</formula>
    </cfRule>
  </conditionalFormatting>
  <conditionalFormatting sqref="Q236:R243">
    <cfRule type="expression" dxfId="14" priority="13">
      <formula>Q236&lt;&gt;J236</formula>
    </cfRule>
  </conditionalFormatting>
  <conditionalFormatting sqref="Q246:R252">
    <cfRule type="expression" dxfId="13" priority="12">
      <formula>Q246&lt;&gt;J246</formula>
    </cfRule>
  </conditionalFormatting>
  <conditionalFormatting sqref="Q256:R278">
    <cfRule type="expression" dxfId="12" priority="11">
      <formula>Q256&lt;&gt;J256</formula>
    </cfRule>
  </conditionalFormatting>
  <conditionalFormatting sqref="Q319:R333">
    <cfRule type="expression" dxfId="11" priority="281">
      <formula>Q319&lt;&gt;J319</formula>
    </cfRule>
  </conditionalFormatting>
  <conditionalFormatting sqref="Q349:R352">
    <cfRule type="expression" dxfId="10" priority="7">
      <formula>Q349&lt;&gt;J349</formula>
    </cfRule>
  </conditionalFormatting>
  <conditionalFormatting sqref="Q355:R365">
    <cfRule type="expression" dxfId="9" priority="6">
      <formula>Q355&lt;&gt;J355</formula>
    </cfRule>
  </conditionalFormatting>
  <conditionalFormatting sqref="Q368:R371">
    <cfRule type="expression" dxfId="8" priority="5">
      <formula>Q368&lt;&gt;J368</formula>
    </cfRule>
  </conditionalFormatting>
  <conditionalFormatting sqref="Q374:R380">
    <cfRule type="expression" dxfId="7" priority="4">
      <formula>Q374&lt;&gt;J374</formula>
    </cfRule>
  </conditionalFormatting>
  <conditionalFormatting sqref="Q383:R396">
    <cfRule type="expression" dxfId="6" priority="3">
      <formula>Q383&lt;&gt;J383</formula>
    </cfRule>
  </conditionalFormatting>
  <conditionalFormatting sqref="Q399:R407">
    <cfRule type="expression" dxfId="5" priority="2">
      <formula>Q399&lt;&gt;J399</formula>
    </cfRule>
  </conditionalFormatting>
  <pageMargins left="0.7" right="0.7" top="0.75" bottom="0.75" header="0.3" footer="0.3"/>
  <pageSetup paperSize="9" orientation="portrait" r:id="rId1"/>
  <tableParts count="5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15" ma:contentTypeDescription="Create a new document." ma:contentTypeScope="" ma:versionID="63800a0cef20e4f4c0aa0eb5c6e741ec">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b9ea4800079b2ffc8b367c7d1f75e235"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710b5fa5-af83-4923-9b32-0a1622da13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A94E2E7C-0C72-4417-9F2A-AE2475E23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purl.org/dc/dcmitype/"/>
    <ds:schemaRef ds:uri="710b5fa5-af83-4923-9b32-0a1622da1318"/>
    <ds:schemaRef ds:uri="http://purl.org/dc/terms/"/>
    <ds:schemaRef ds:uri="http://schemas.microsoft.com/office/2006/metadata/properties"/>
    <ds:schemaRef ds:uri="http://www.w3.org/XML/1998/namespace"/>
    <ds:schemaRef ds:uri="ba69df13-0c3c-4942-8695-6ca01564010c"/>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Planner M-Arts</vt:lpstr>
      <vt:lpstr>Unitsets</vt:lpstr>
      <vt:lpstr>Planner GlobEng</vt:lpstr>
      <vt:lpstr>Planner HRights</vt:lpstr>
      <vt:lpstr>Planner IntSec</vt:lpstr>
      <vt:lpstr>Planner MMJ</vt:lpstr>
      <vt:lpstr>Unitsets Other</vt:lpstr>
      <vt:lpstr>Handbook</vt:lpstr>
      <vt:lpstr>Structures</vt:lpstr>
      <vt:lpstr>Availabilities</vt:lpstr>
      <vt:lpstr>Deactivated DaSM</vt:lpstr>
      <vt:lpstr>'Deactivated DaSM'!Print_Area</vt:lpstr>
      <vt:lpstr>'Planner GlobEng'!Print_Area</vt:lpstr>
      <vt:lpstr>'Planner HRights'!Print_Area</vt:lpstr>
      <vt:lpstr>'Planner IntSec'!Print_Area</vt:lpstr>
      <vt:lpstr>'Planner M-Arts'!Print_Area</vt:lpstr>
      <vt:lpstr>'Planner MMJ'!Print_Area</vt:lpstr>
      <vt:lpstr>RangeGLOBLOptions</vt:lpstr>
      <vt:lpstr>RangeGLOBLUnitsets</vt:lpstr>
      <vt:lpstr>RangeHRIGHTOptions</vt:lpstr>
      <vt:lpstr>RangeHRIGHTUnitsets</vt:lpstr>
      <vt:lpstr>RangeINTRNSOptions</vt:lpstr>
      <vt:lpstr>RangeINTRNSUnitsets</vt:lpstr>
      <vt:lpstr>'Unitsets Other'!RangeMARTSAltCore</vt:lpstr>
      <vt:lpstr>RangeMARTSAltCore</vt:lpstr>
      <vt:lpstr>RangeMARTSCourseNotes</vt:lpstr>
      <vt:lpstr>'Unitsets Other'!RangeMARTSOptions</vt:lpstr>
      <vt:lpstr>RangeMARTSOptions</vt:lpstr>
      <vt:lpstr>'Unitsets Other'!RangeMARTSUnitsets</vt:lpstr>
      <vt:lpstr>RangeMARTSUnitsets</vt:lpstr>
      <vt:lpstr>RangeMMJRNOptions</vt:lpstr>
      <vt:lpstr>RangeMMJRNUnitsets</vt:lpstr>
      <vt:lpstr>RangeNETSCMOptions</vt:lpstr>
      <vt:lpstr>RangeNETSCMUnitsets</vt:lpstr>
      <vt:lpstr>RangeStructureNotes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2024-12-05T05:42:30Z</cp:lastPrinted>
  <dcterms:created xsi:type="dcterms:W3CDTF">2022-02-28T04:48:12Z</dcterms:created>
  <dcterms:modified xsi:type="dcterms:W3CDTF">2024-12-05T05:43:57Z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