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A716ED41-30FA-44AF-8B15-537158C9AF2E}" xr6:coauthVersionLast="47" xr6:coauthVersionMax="47" xr10:uidLastSave="{00000000-0000-0000-0000-000000000000}"/>
  <workbookProtection workbookAlgorithmName="SHA-512" workbookHashValue="00gRjuZ/vR7HR1wIptvtwuBJNvxd/VITXLKpdRp6kcw4pLAGpp5bOpq1pWq1gKxqoL/88htOXv4XirPCw8/adg==" workbookSaltValue="I7LTCVzoe7gz2Sq7Q7yASQ==" workbookSpinCount="100000" lockStructure="1"/>
  <bookViews>
    <workbookView xWindow="-120" yWindow="-120" windowWidth="29040" windowHeight="17520" tabRatio="800" firstSheet="5" activeTab="5" xr2:uid="{00000000-000D-0000-FFFF-FFFF00000000}"/>
  </bookViews>
  <sheets>
    <sheet name="Planner M-Teach (ECE)" sheetId="5" state="hidden" r:id="rId1"/>
    <sheet name="Planner M-Teach (Prim)" sheetId="17" state="hidden" r:id="rId2"/>
    <sheet name="Planner TESOL_APLING" sheetId="13" state="hidden" r:id="rId3"/>
    <sheet name="Planner MC-EDUC" sheetId="14" state="hidden" r:id="rId4"/>
    <sheet name="Planner GC-EDUC" sheetId="22" state="hidden" r:id="rId5"/>
    <sheet name="Planner GC-EDHE" sheetId="21" r:id="rId6"/>
    <sheet name="Unitsets" sheetId="2" state="hidden" r:id="rId7"/>
    <sheet name="Planner GD-EDUC (Prim)" sheetId="16" state="hidden" r:id="rId8"/>
    <sheet name="Planner GD-EDUC (Sec)" sheetId="15" state="hidden" r:id="rId9"/>
    <sheet name="Planner M-Teach Sec" sheetId="10" state="hidden" r:id="rId10"/>
    <sheet name="Unitsets M-Teach Sec" sheetId="12" state="hidden" r:id="rId11"/>
    <sheet name="Handbook" sheetId="3" state="hidden" r:id="rId12"/>
    <sheet name="Structures" sheetId="8" state="hidden" r:id="rId13"/>
    <sheet name="Availabilities" sheetId="9" state="hidden" r:id="rId14"/>
    <sheet name="Issues Log" sheetId="20" state="hidden" r:id="rId15"/>
    <sheet name="Planner GD-EDUC (Prim Accel)" sheetId="18" state="hidden" r:id="rId16"/>
    <sheet name="Planner GD-EDUC (Sec Accel)" sheetId="19" state="hidden" r:id="rId17"/>
  </sheets>
  <definedNames>
    <definedName name="_xlnm._FilterDatabase" localSheetId="11" hidden="1">Handbook!#REF!</definedName>
    <definedName name="DD">'Unitsets M-Teach Sec'!$J$5</definedName>
    <definedName name="DDGD">'Unitsets M-Teach Sec'!$J$48</definedName>
    <definedName name="DDGDEDUPR">'Unitsets M-Teach Sec'!$J$49</definedName>
    <definedName name="DDGDEDUSC">'Unitsets M-Teach Sec'!$J$50:$J$56</definedName>
    <definedName name="DDSCART">'Unitsets M-Teach Sec'!$J$6:$J$12</definedName>
    <definedName name="DDSCENG">'Unitsets M-Teach Sec'!$J$13:$J$19</definedName>
    <definedName name="DDSCHLP">'Unitsets M-Teach Sec'!$J$20:$J$26</definedName>
    <definedName name="DDSCHUS">'Unitsets M-Teach Sec'!$J$27:$J$33</definedName>
    <definedName name="DDSCMAT">'Unitsets M-Teach Sec'!$J$34:$J$40</definedName>
    <definedName name="DDSCSCI">'Unitsets M-Teach Sec'!$J$41:$J$47</definedName>
    <definedName name="_xlnm.Print_Area" localSheetId="5">'Planner GC-EDHE'!$A$3:$P$17</definedName>
    <definedName name="_xlnm.Print_Area" localSheetId="4">'Planner GC-EDUC'!$A$3:$P$35</definedName>
    <definedName name="_xlnm.Print_Area" localSheetId="15">'Planner GD-EDUC (Prim Accel)'!$A$3:$P$23</definedName>
    <definedName name="_xlnm.Print_Area" localSheetId="7">'Planner GD-EDUC (Prim)'!$A$3:$P$24</definedName>
    <definedName name="_xlnm.Print_Area" localSheetId="16">'Planner GD-EDUC (Sec Accel)'!$A$3:$P$30</definedName>
    <definedName name="_xlnm.Print_Area" localSheetId="8">'Planner GD-EDUC (Sec)'!$A$3:$P$31</definedName>
    <definedName name="_xlnm.Print_Area" localSheetId="3">'Planner MC-EDUC'!$A$3:$P$37</definedName>
    <definedName name="_xlnm.Print_Area" localSheetId="0">'Planner M-Teach (ECE)'!$A$3:$P$36</definedName>
    <definedName name="_xlnm.Print_Area" localSheetId="1">'Planner M-Teach (Prim)'!$A$3:$P$36</definedName>
    <definedName name="_xlnm.Print_Area" localSheetId="9">'Planner M-Teach Sec'!$A$3:$P$48</definedName>
    <definedName name="_xlnm.Print_Area" localSheetId="2">'Planner TESOL_APLING'!$A$3:$P$35</definedName>
    <definedName name="RangeCourseNotesGradCerts">Unitsets!$L$85:$M$88</definedName>
    <definedName name="RangeTeachingAreas">'Unitsets M-Teach Sec'!$O$22:$V$28</definedName>
    <definedName name="RangeUnitsetsECEPR">Unitsets!$L$4:$AA$22</definedName>
    <definedName name="RangeUnitsetsGDEDUC">'Unitsets M-Teach Sec'!$O$31:$AD$41</definedName>
    <definedName name="RangeUnitsetsGDEDUCAcc">'Unitsets M-Teach Sec'!$O$43:$AD$53</definedName>
    <definedName name="RangeUnitsetsGradCerts">Unitsets!$L$65:$AI$82</definedName>
    <definedName name="RangeUnitsetsMCEDUC">Unitsets!$L$44:$AQ$62</definedName>
    <definedName name="RangeUnitsetsSec">'Unitsets M-Teach Sec'!$O$3:$V$19</definedName>
    <definedName name="RangeUnitsetsTESOL">Unitsets!$L$25:$AI$41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 i="22" l="1"/>
  <c r="B8" i="22" s="1"/>
  <c r="P6" i="22" l="1"/>
  <c r="A14" i="22" l="1"/>
  <c r="A15" i="22"/>
  <c r="A19" i="22"/>
  <c r="A20" i="22"/>
  <c r="A21" i="22"/>
  <c r="A22" i="22"/>
  <c r="A23" i="22"/>
  <c r="A24" i="22"/>
  <c r="A25" i="22"/>
  <c r="A26" i="22"/>
  <c r="A27" i="22"/>
  <c r="A11" i="22"/>
  <c r="A28" i="22"/>
  <c r="A29" i="22"/>
  <c r="A30" i="22"/>
  <c r="A31" i="22"/>
  <c r="A12" i="22"/>
  <c r="G90" i="3" l="1"/>
  <c r="H90" i="3"/>
  <c r="I90" i="3"/>
  <c r="J90" i="3"/>
  <c r="K90" i="3"/>
  <c r="L90" i="3"/>
  <c r="M90" i="3"/>
  <c r="N90" i="3"/>
  <c r="P90" i="3"/>
  <c r="Q90" i="3"/>
  <c r="R90" i="3"/>
  <c r="S90" i="3"/>
  <c r="T90" i="3"/>
  <c r="U90" i="3"/>
  <c r="V90" i="3"/>
  <c r="W90" i="3"/>
  <c r="X90" i="3"/>
  <c r="Y90" i="3"/>
  <c r="Z90" i="3"/>
  <c r="AA90" i="3"/>
  <c r="AB90" i="3"/>
  <c r="AC90" i="3"/>
  <c r="AD90" i="3"/>
  <c r="AE90" i="3"/>
  <c r="AF90" i="3"/>
  <c r="AG90" i="3"/>
  <c r="AH90" i="3"/>
  <c r="AI90" i="3"/>
  <c r="AJ90" i="3"/>
  <c r="AK90" i="3"/>
  <c r="AL90" i="3"/>
  <c r="A187" i="8"/>
  <c r="B187" i="8"/>
  <c r="D187" i="8"/>
  <c r="E187" i="8"/>
  <c r="P18" i="22"/>
  <c r="O18" i="22"/>
  <c r="N18" i="22"/>
  <c r="M18" i="22"/>
  <c r="L18" i="22"/>
  <c r="K18" i="22"/>
  <c r="J18" i="22"/>
  <c r="I18" i="22"/>
  <c r="H18" i="22"/>
  <c r="H17" i="22"/>
  <c r="G7" i="22"/>
  <c r="G5" i="22"/>
  <c r="P5" i="21"/>
  <c r="A9" i="21" s="1"/>
  <c r="G6" i="21"/>
  <c r="G5" i="21"/>
  <c r="N106" i="3"/>
  <c r="M106" i="3"/>
  <c r="L106" i="3"/>
  <c r="K106" i="3"/>
  <c r="J106" i="3"/>
  <c r="I106" i="3"/>
  <c r="H106" i="3"/>
  <c r="G106" i="3"/>
  <c r="N105" i="3"/>
  <c r="M105" i="3"/>
  <c r="L105" i="3"/>
  <c r="K105" i="3"/>
  <c r="J105" i="3"/>
  <c r="I105" i="3"/>
  <c r="H105" i="3"/>
  <c r="G105" i="3"/>
  <c r="N104" i="3"/>
  <c r="M104" i="3"/>
  <c r="L104" i="3"/>
  <c r="K104" i="3"/>
  <c r="J104" i="3"/>
  <c r="I104" i="3"/>
  <c r="H104" i="3"/>
  <c r="G104" i="3"/>
  <c r="N103" i="3"/>
  <c r="M103" i="3"/>
  <c r="L103" i="3"/>
  <c r="K103" i="3"/>
  <c r="J103" i="3"/>
  <c r="I103" i="3"/>
  <c r="H103" i="3"/>
  <c r="G103" i="3"/>
  <c r="N102" i="3"/>
  <c r="M102" i="3"/>
  <c r="L102" i="3"/>
  <c r="K102" i="3"/>
  <c r="J102" i="3"/>
  <c r="I102" i="3"/>
  <c r="H102" i="3"/>
  <c r="G102" i="3"/>
  <c r="N101" i="3"/>
  <c r="M101" i="3"/>
  <c r="L101" i="3"/>
  <c r="K101" i="3"/>
  <c r="J101" i="3"/>
  <c r="I101" i="3"/>
  <c r="H101" i="3"/>
  <c r="G101" i="3"/>
  <c r="N100" i="3"/>
  <c r="M100" i="3"/>
  <c r="L100" i="3"/>
  <c r="K100" i="3"/>
  <c r="J100" i="3"/>
  <c r="I100" i="3"/>
  <c r="H100" i="3"/>
  <c r="G100" i="3"/>
  <c r="N99" i="3"/>
  <c r="M99" i="3"/>
  <c r="L99" i="3"/>
  <c r="K99" i="3"/>
  <c r="J99" i="3"/>
  <c r="I99" i="3"/>
  <c r="H99" i="3"/>
  <c r="G99" i="3"/>
  <c r="N98" i="3"/>
  <c r="M98" i="3"/>
  <c r="L98" i="3"/>
  <c r="K98" i="3"/>
  <c r="J98" i="3"/>
  <c r="I98" i="3"/>
  <c r="H98" i="3"/>
  <c r="G98" i="3"/>
  <c r="N97" i="3"/>
  <c r="M97" i="3"/>
  <c r="L97" i="3"/>
  <c r="K97" i="3"/>
  <c r="J97" i="3"/>
  <c r="I97" i="3"/>
  <c r="H97" i="3"/>
  <c r="G97" i="3"/>
  <c r="N96" i="3"/>
  <c r="M96" i="3"/>
  <c r="L96" i="3"/>
  <c r="K96" i="3"/>
  <c r="J96" i="3"/>
  <c r="I96" i="3"/>
  <c r="H96" i="3"/>
  <c r="G96" i="3"/>
  <c r="N95" i="3"/>
  <c r="M95" i="3"/>
  <c r="L95" i="3"/>
  <c r="K95" i="3"/>
  <c r="J95" i="3"/>
  <c r="I95" i="3"/>
  <c r="H95" i="3"/>
  <c r="G95" i="3"/>
  <c r="N94" i="3"/>
  <c r="M94" i="3"/>
  <c r="L94" i="3"/>
  <c r="K94" i="3"/>
  <c r="J94" i="3"/>
  <c r="I94" i="3"/>
  <c r="H94" i="3"/>
  <c r="G94" i="3"/>
  <c r="N93" i="3"/>
  <c r="M93" i="3"/>
  <c r="L93" i="3"/>
  <c r="K93" i="3"/>
  <c r="J93" i="3"/>
  <c r="I93" i="3"/>
  <c r="H93" i="3"/>
  <c r="G93" i="3"/>
  <c r="N92" i="3"/>
  <c r="M92" i="3"/>
  <c r="L92" i="3"/>
  <c r="K92" i="3"/>
  <c r="J92" i="3"/>
  <c r="I92" i="3"/>
  <c r="H92" i="3"/>
  <c r="G92" i="3"/>
  <c r="N91" i="3"/>
  <c r="M91" i="3"/>
  <c r="L91" i="3"/>
  <c r="K91" i="3"/>
  <c r="J91" i="3"/>
  <c r="I91" i="3"/>
  <c r="H91" i="3"/>
  <c r="G91" i="3"/>
  <c r="N89" i="3"/>
  <c r="M89" i="3"/>
  <c r="L89" i="3"/>
  <c r="K89" i="3"/>
  <c r="J89" i="3"/>
  <c r="I89" i="3"/>
  <c r="H89" i="3"/>
  <c r="G89" i="3"/>
  <c r="N88" i="3"/>
  <c r="M88" i="3"/>
  <c r="L88" i="3"/>
  <c r="K88" i="3"/>
  <c r="J88" i="3"/>
  <c r="I88" i="3"/>
  <c r="H88" i="3"/>
  <c r="G88" i="3"/>
  <c r="N87" i="3"/>
  <c r="M87" i="3"/>
  <c r="L87" i="3"/>
  <c r="K87" i="3"/>
  <c r="J87" i="3"/>
  <c r="I87" i="3"/>
  <c r="H87" i="3"/>
  <c r="G87" i="3"/>
  <c r="N86" i="3"/>
  <c r="M86" i="3"/>
  <c r="L86" i="3"/>
  <c r="K86" i="3"/>
  <c r="J86" i="3"/>
  <c r="I86" i="3"/>
  <c r="H86" i="3"/>
  <c r="G86" i="3"/>
  <c r="N85" i="3"/>
  <c r="M85" i="3"/>
  <c r="L85" i="3"/>
  <c r="K85" i="3"/>
  <c r="J85" i="3"/>
  <c r="I85" i="3"/>
  <c r="H85" i="3"/>
  <c r="G85" i="3"/>
  <c r="N84" i="3"/>
  <c r="M84" i="3"/>
  <c r="L84" i="3"/>
  <c r="K84" i="3"/>
  <c r="J84" i="3"/>
  <c r="I84" i="3"/>
  <c r="H84" i="3"/>
  <c r="G84" i="3"/>
  <c r="N83" i="3"/>
  <c r="M83" i="3"/>
  <c r="L83" i="3"/>
  <c r="K83" i="3"/>
  <c r="J83" i="3"/>
  <c r="I83" i="3"/>
  <c r="H83" i="3"/>
  <c r="G83" i="3"/>
  <c r="N82" i="3"/>
  <c r="M82" i="3"/>
  <c r="L82" i="3"/>
  <c r="K82" i="3"/>
  <c r="J82" i="3"/>
  <c r="I82" i="3"/>
  <c r="H82" i="3"/>
  <c r="G82" i="3"/>
  <c r="N81" i="3"/>
  <c r="M81" i="3"/>
  <c r="L81" i="3"/>
  <c r="J81" i="3"/>
  <c r="I81" i="3"/>
  <c r="H81" i="3"/>
  <c r="N80" i="3"/>
  <c r="M80" i="3"/>
  <c r="L80" i="3"/>
  <c r="K80" i="3"/>
  <c r="J80" i="3"/>
  <c r="I80" i="3"/>
  <c r="H80" i="3"/>
  <c r="G80" i="3"/>
  <c r="N79" i="3"/>
  <c r="M79" i="3"/>
  <c r="L79" i="3"/>
  <c r="K79" i="3"/>
  <c r="J79" i="3"/>
  <c r="I79" i="3"/>
  <c r="H79" i="3"/>
  <c r="G79" i="3"/>
  <c r="N78" i="3"/>
  <c r="M78" i="3"/>
  <c r="L78" i="3"/>
  <c r="K78" i="3"/>
  <c r="J78" i="3"/>
  <c r="I78" i="3"/>
  <c r="H78" i="3"/>
  <c r="G78" i="3"/>
  <c r="N77" i="3"/>
  <c r="M77" i="3"/>
  <c r="L77" i="3"/>
  <c r="K77" i="3"/>
  <c r="J77" i="3"/>
  <c r="I77" i="3"/>
  <c r="H77" i="3"/>
  <c r="G77" i="3"/>
  <c r="N76" i="3"/>
  <c r="M76" i="3"/>
  <c r="L76" i="3"/>
  <c r="K76" i="3"/>
  <c r="J76" i="3"/>
  <c r="I76" i="3"/>
  <c r="H76" i="3"/>
  <c r="G76" i="3"/>
  <c r="N75" i="3"/>
  <c r="M75" i="3"/>
  <c r="L75" i="3"/>
  <c r="K75" i="3"/>
  <c r="J75" i="3"/>
  <c r="I75" i="3"/>
  <c r="H75" i="3"/>
  <c r="G75" i="3"/>
  <c r="N74" i="3"/>
  <c r="M74" i="3"/>
  <c r="L74" i="3"/>
  <c r="K74" i="3"/>
  <c r="J74" i="3"/>
  <c r="I74" i="3"/>
  <c r="H74" i="3"/>
  <c r="G74" i="3"/>
  <c r="N73" i="3"/>
  <c r="M73" i="3"/>
  <c r="L73" i="3"/>
  <c r="K73" i="3"/>
  <c r="J73" i="3"/>
  <c r="I73" i="3"/>
  <c r="H73" i="3"/>
  <c r="G73" i="3"/>
  <c r="N72" i="3"/>
  <c r="M72" i="3"/>
  <c r="L72" i="3"/>
  <c r="K72" i="3"/>
  <c r="J72" i="3"/>
  <c r="I72" i="3"/>
  <c r="H72" i="3"/>
  <c r="G72" i="3"/>
  <c r="N71" i="3"/>
  <c r="M71" i="3"/>
  <c r="L71" i="3"/>
  <c r="K71" i="3"/>
  <c r="J71" i="3"/>
  <c r="I71" i="3"/>
  <c r="H71" i="3"/>
  <c r="G71" i="3"/>
  <c r="N70" i="3"/>
  <c r="M70" i="3"/>
  <c r="L70" i="3"/>
  <c r="K70" i="3"/>
  <c r="J70" i="3"/>
  <c r="I70" i="3"/>
  <c r="H70" i="3"/>
  <c r="G70" i="3"/>
  <c r="N69" i="3"/>
  <c r="M69" i="3"/>
  <c r="L69" i="3"/>
  <c r="K69" i="3"/>
  <c r="J69" i="3"/>
  <c r="I69" i="3"/>
  <c r="H69" i="3"/>
  <c r="G69" i="3"/>
  <c r="N68" i="3"/>
  <c r="M68" i="3"/>
  <c r="L68" i="3"/>
  <c r="K68" i="3"/>
  <c r="J68" i="3"/>
  <c r="I68" i="3"/>
  <c r="H68" i="3"/>
  <c r="G68" i="3"/>
  <c r="N67" i="3"/>
  <c r="M67" i="3"/>
  <c r="L67" i="3"/>
  <c r="K67" i="3"/>
  <c r="J67" i="3"/>
  <c r="I67" i="3"/>
  <c r="H67" i="3"/>
  <c r="G67" i="3"/>
  <c r="N66" i="3"/>
  <c r="M66" i="3"/>
  <c r="L66" i="3"/>
  <c r="K66" i="3"/>
  <c r="J66" i="3"/>
  <c r="I66" i="3"/>
  <c r="H66" i="3"/>
  <c r="G66" i="3"/>
  <c r="N65" i="3"/>
  <c r="M65" i="3"/>
  <c r="L65" i="3"/>
  <c r="K65" i="3"/>
  <c r="J65" i="3"/>
  <c r="I65" i="3"/>
  <c r="H65" i="3"/>
  <c r="G65" i="3"/>
  <c r="N64" i="3"/>
  <c r="M64" i="3"/>
  <c r="L64" i="3"/>
  <c r="K64" i="3"/>
  <c r="J64" i="3"/>
  <c r="I64" i="3"/>
  <c r="H64" i="3"/>
  <c r="G64" i="3"/>
  <c r="N63" i="3"/>
  <c r="M63" i="3"/>
  <c r="L63" i="3"/>
  <c r="K63" i="3"/>
  <c r="J63" i="3"/>
  <c r="I63" i="3"/>
  <c r="H63" i="3"/>
  <c r="G63" i="3"/>
  <c r="N62" i="3"/>
  <c r="M62" i="3"/>
  <c r="L62" i="3"/>
  <c r="K62" i="3"/>
  <c r="J62" i="3"/>
  <c r="I62" i="3"/>
  <c r="H62" i="3"/>
  <c r="G62" i="3"/>
  <c r="N61" i="3"/>
  <c r="M61" i="3"/>
  <c r="L61" i="3"/>
  <c r="K61" i="3"/>
  <c r="J61" i="3"/>
  <c r="I61" i="3"/>
  <c r="H61" i="3"/>
  <c r="G61" i="3"/>
  <c r="N60" i="3"/>
  <c r="M60" i="3"/>
  <c r="L60" i="3"/>
  <c r="K60" i="3"/>
  <c r="J60" i="3"/>
  <c r="I60" i="3"/>
  <c r="H60" i="3"/>
  <c r="G60" i="3"/>
  <c r="N59" i="3"/>
  <c r="M59" i="3"/>
  <c r="L59" i="3"/>
  <c r="K59" i="3"/>
  <c r="J59" i="3"/>
  <c r="I59" i="3"/>
  <c r="H59" i="3"/>
  <c r="G59" i="3"/>
  <c r="N58" i="3"/>
  <c r="M58" i="3"/>
  <c r="L58" i="3"/>
  <c r="K58" i="3"/>
  <c r="J58" i="3"/>
  <c r="I58" i="3"/>
  <c r="H58" i="3"/>
  <c r="G58" i="3"/>
  <c r="N57" i="3"/>
  <c r="M57" i="3"/>
  <c r="L57" i="3"/>
  <c r="K57" i="3"/>
  <c r="J57" i="3"/>
  <c r="I57" i="3"/>
  <c r="H57" i="3"/>
  <c r="G57" i="3"/>
  <c r="N56" i="3"/>
  <c r="M56" i="3"/>
  <c r="L56" i="3"/>
  <c r="K56" i="3"/>
  <c r="J56" i="3"/>
  <c r="I56" i="3"/>
  <c r="H56" i="3"/>
  <c r="G56" i="3"/>
  <c r="N55" i="3"/>
  <c r="M55" i="3"/>
  <c r="L55" i="3"/>
  <c r="K55" i="3"/>
  <c r="J55" i="3"/>
  <c r="I55" i="3"/>
  <c r="H55" i="3"/>
  <c r="G55" i="3"/>
  <c r="N54" i="3"/>
  <c r="M54" i="3"/>
  <c r="L54" i="3"/>
  <c r="K54" i="3"/>
  <c r="J54" i="3"/>
  <c r="I54" i="3"/>
  <c r="H54" i="3"/>
  <c r="G54" i="3"/>
  <c r="N53" i="3"/>
  <c r="M53" i="3"/>
  <c r="L53" i="3"/>
  <c r="K53" i="3"/>
  <c r="J53" i="3"/>
  <c r="I53" i="3"/>
  <c r="H53" i="3"/>
  <c r="G53" i="3"/>
  <c r="N52" i="3"/>
  <c r="M52" i="3"/>
  <c r="L52" i="3"/>
  <c r="K52" i="3"/>
  <c r="J52" i="3"/>
  <c r="I52" i="3"/>
  <c r="H52" i="3"/>
  <c r="G52" i="3"/>
  <c r="N51" i="3"/>
  <c r="M51" i="3"/>
  <c r="L51" i="3"/>
  <c r="K51" i="3"/>
  <c r="J51" i="3"/>
  <c r="I51" i="3"/>
  <c r="H51" i="3"/>
  <c r="G51" i="3"/>
  <c r="N50" i="3"/>
  <c r="M50" i="3"/>
  <c r="L50" i="3"/>
  <c r="K50" i="3"/>
  <c r="J50" i="3"/>
  <c r="I50" i="3"/>
  <c r="H50" i="3"/>
  <c r="G50" i="3"/>
  <c r="N49" i="3"/>
  <c r="M49" i="3"/>
  <c r="L49" i="3"/>
  <c r="K49" i="3"/>
  <c r="J49" i="3"/>
  <c r="I49" i="3"/>
  <c r="H49" i="3"/>
  <c r="G49" i="3"/>
  <c r="N48" i="3"/>
  <c r="M48" i="3"/>
  <c r="L48" i="3"/>
  <c r="K48" i="3"/>
  <c r="J48" i="3"/>
  <c r="I48" i="3"/>
  <c r="H48" i="3"/>
  <c r="G48" i="3"/>
  <c r="N47" i="3"/>
  <c r="M47" i="3"/>
  <c r="L47" i="3"/>
  <c r="K47" i="3"/>
  <c r="J47" i="3"/>
  <c r="I47" i="3"/>
  <c r="H47" i="3"/>
  <c r="G47" i="3"/>
  <c r="N46" i="3"/>
  <c r="M46" i="3"/>
  <c r="L46" i="3"/>
  <c r="K46" i="3"/>
  <c r="J46" i="3"/>
  <c r="I46" i="3"/>
  <c r="H46" i="3"/>
  <c r="G46" i="3"/>
  <c r="N45" i="3"/>
  <c r="M45" i="3"/>
  <c r="L45" i="3"/>
  <c r="K45" i="3"/>
  <c r="J45" i="3"/>
  <c r="I45" i="3"/>
  <c r="H45" i="3"/>
  <c r="G45" i="3"/>
  <c r="N44" i="3"/>
  <c r="M44" i="3"/>
  <c r="L44" i="3"/>
  <c r="K44" i="3"/>
  <c r="J44" i="3"/>
  <c r="I44" i="3"/>
  <c r="H44" i="3"/>
  <c r="G44" i="3"/>
  <c r="N43" i="3"/>
  <c r="M43" i="3"/>
  <c r="L43" i="3"/>
  <c r="K43" i="3"/>
  <c r="J43" i="3"/>
  <c r="I43" i="3"/>
  <c r="H43" i="3"/>
  <c r="G43" i="3"/>
  <c r="N42" i="3"/>
  <c r="M42" i="3"/>
  <c r="L42" i="3"/>
  <c r="K42" i="3"/>
  <c r="J42" i="3"/>
  <c r="I42" i="3"/>
  <c r="H42" i="3"/>
  <c r="G42" i="3"/>
  <c r="N41" i="3"/>
  <c r="M41" i="3"/>
  <c r="L41" i="3"/>
  <c r="K41" i="3"/>
  <c r="J41" i="3"/>
  <c r="I41" i="3"/>
  <c r="H41" i="3"/>
  <c r="G41" i="3"/>
  <c r="N40" i="3"/>
  <c r="M40" i="3"/>
  <c r="L40" i="3"/>
  <c r="K40" i="3"/>
  <c r="J40" i="3"/>
  <c r="I40" i="3"/>
  <c r="H40" i="3"/>
  <c r="G40" i="3"/>
  <c r="N39" i="3"/>
  <c r="M39" i="3"/>
  <c r="L39" i="3"/>
  <c r="K39" i="3"/>
  <c r="J39" i="3"/>
  <c r="I39" i="3"/>
  <c r="H39" i="3"/>
  <c r="G39" i="3"/>
  <c r="N38" i="3"/>
  <c r="M38" i="3"/>
  <c r="L38" i="3"/>
  <c r="K38" i="3"/>
  <c r="J38" i="3"/>
  <c r="I38" i="3"/>
  <c r="H38" i="3"/>
  <c r="G38" i="3"/>
  <c r="N37" i="3"/>
  <c r="M37" i="3"/>
  <c r="L37" i="3"/>
  <c r="K37" i="3"/>
  <c r="J37" i="3"/>
  <c r="I37" i="3"/>
  <c r="H37" i="3"/>
  <c r="G37" i="3"/>
  <c r="N36" i="3"/>
  <c r="M36" i="3"/>
  <c r="L36" i="3"/>
  <c r="K36" i="3"/>
  <c r="J36" i="3"/>
  <c r="I36" i="3"/>
  <c r="H36" i="3"/>
  <c r="G36" i="3"/>
  <c r="N35" i="3"/>
  <c r="M35" i="3"/>
  <c r="L35" i="3"/>
  <c r="K35" i="3"/>
  <c r="J35" i="3"/>
  <c r="I35" i="3"/>
  <c r="H35" i="3"/>
  <c r="G35" i="3"/>
  <c r="N34" i="3"/>
  <c r="M34" i="3"/>
  <c r="L34" i="3"/>
  <c r="K34" i="3"/>
  <c r="J34" i="3"/>
  <c r="I34" i="3"/>
  <c r="H34" i="3"/>
  <c r="G34" i="3"/>
  <c r="N33" i="3"/>
  <c r="M33" i="3"/>
  <c r="L33" i="3"/>
  <c r="K33" i="3"/>
  <c r="J33" i="3"/>
  <c r="I33" i="3"/>
  <c r="H33" i="3"/>
  <c r="G33" i="3"/>
  <c r="N32" i="3"/>
  <c r="M32" i="3"/>
  <c r="L32" i="3"/>
  <c r="K32" i="3"/>
  <c r="J32" i="3"/>
  <c r="I32" i="3"/>
  <c r="H32" i="3"/>
  <c r="G32" i="3"/>
  <c r="N31" i="3"/>
  <c r="M31" i="3"/>
  <c r="L31" i="3"/>
  <c r="K31" i="3"/>
  <c r="J31" i="3"/>
  <c r="I31" i="3"/>
  <c r="H31" i="3"/>
  <c r="G31" i="3"/>
  <c r="N30" i="3"/>
  <c r="M30" i="3"/>
  <c r="L30" i="3"/>
  <c r="K30" i="3"/>
  <c r="J30" i="3"/>
  <c r="I30" i="3"/>
  <c r="H30" i="3"/>
  <c r="G30" i="3"/>
  <c r="N29" i="3"/>
  <c r="M29" i="3"/>
  <c r="L29" i="3"/>
  <c r="K29" i="3"/>
  <c r="J29" i="3"/>
  <c r="I29" i="3"/>
  <c r="H29" i="3"/>
  <c r="G29" i="3"/>
  <c r="N28" i="3"/>
  <c r="M28" i="3"/>
  <c r="L28" i="3"/>
  <c r="K28" i="3"/>
  <c r="J28" i="3"/>
  <c r="I28" i="3"/>
  <c r="H28" i="3"/>
  <c r="G28" i="3"/>
  <c r="N27" i="3"/>
  <c r="M27" i="3"/>
  <c r="L27" i="3"/>
  <c r="K27" i="3"/>
  <c r="J27" i="3"/>
  <c r="I27" i="3"/>
  <c r="H27" i="3"/>
  <c r="G27" i="3"/>
  <c r="N26" i="3"/>
  <c r="M26" i="3"/>
  <c r="L26" i="3"/>
  <c r="K26" i="3"/>
  <c r="J26" i="3"/>
  <c r="I26" i="3"/>
  <c r="H26" i="3"/>
  <c r="G26" i="3"/>
  <c r="N25" i="3"/>
  <c r="M25" i="3"/>
  <c r="L25" i="3"/>
  <c r="K25" i="3"/>
  <c r="J25" i="3"/>
  <c r="I25" i="3"/>
  <c r="H25" i="3"/>
  <c r="G25" i="3"/>
  <c r="N24" i="3"/>
  <c r="M24" i="3"/>
  <c r="L24" i="3"/>
  <c r="K24" i="3"/>
  <c r="J24" i="3"/>
  <c r="I24" i="3"/>
  <c r="H24" i="3"/>
  <c r="G24" i="3"/>
  <c r="N23" i="3"/>
  <c r="M23" i="3"/>
  <c r="L23" i="3"/>
  <c r="K23" i="3"/>
  <c r="J23" i="3"/>
  <c r="I23" i="3"/>
  <c r="H23" i="3"/>
  <c r="G23" i="3"/>
  <c r="N22" i="3"/>
  <c r="M22" i="3"/>
  <c r="L22" i="3"/>
  <c r="K22" i="3"/>
  <c r="J22" i="3"/>
  <c r="I22" i="3"/>
  <c r="H22" i="3"/>
  <c r="G22" i="3"/>
  <c r="N21" i="3"/>
  <c r="M21" i="3"/>
  <c r="L21" i="3"/>
  <c r="K21" i="3"/>
  <c r="J21" i="3"/>
  <c r="I21" i="3"/>
  <c r="H21" i="3"/>
  <c r="G21" i="3"/>
  <c r="N20" i="3"/>
  <c r="M20" i="3"/>
  <c r="L20" i="3"/>
  <c r="K20" i="3"/>
  <c r="J20" i="3"/>
  <c r="I20" i="3"/>
  <c r="H20" i="3"/>
  <c r="G20" i="3"/>
  <c r="N19" i="3"/>
  <c r="M19" i="3"/>
  <c r="L19" i="3"/>
  <c r="K19" i="3"/>
  <c r="J19" i="3"/>
  <c r="I19" i="3"/>
  <c r="H19" i="3"/>
  <c r="G19" i="3"/>
  <c r="N18" i="3"/>
  <c r="M18" i="3"/>
  <c r="L18" i="3"/>
  <c r="K18" i="3"/>
  <c r="J18" i="3"/>
  <c r="I18" i="3"/>
  <c r="H18" i="3"/>
  <c r="G18" i="3"/>
  <c r="N17" i="3"/>
  <c r="M17" i="3"/>
  <c r="L17" i="3"/>
  <c r="K17" i="3"/>
  <c r="J17" i="3"/>
  <c r="I17" i="3"/>
  <c r="H17" i="3"/>
  <c r="G17" i="3"/>
  <c r="N16" i="3"/>
  <c r="M16" i="3"/>
  <c r="L16" i="3"/>
  <c r="K16" i="3"/>
  <c r="J16" i="3"/>
  <c r="I16" i="3"/>
  <c r="H16" i="3"/>
  <c r="G16" i="3"/>
  <c r="N15" i="3"/>
  <c r="M15" i="3"/>
  <c r="L15" i="3"/>
  <c r="K15" i="3"/>
  <c r="J15" i="3"/>
  <c r="I15" i="3"/>
  <c r="H15" i="3"/>
  <c r="G15" i="3"/>
  <c r="N14" i="3"/>
  <c r="M14" i="3"/>
  <c r="L14" i="3"/>
  <c r="K14" i="3"/>
  <c r="J14" i="3"/>
  <c r="I14" i="3"/>
  <c r="H14" i="3"/>
  <c r="G14" i="3"/>
  <c r="N13" i="3"/>
  <c r="M13" i="3"/>
  <c r="L13" i="3"/>
  <c r="K13" i="3"/>
  <c r="J13" i="3"/>
  <c r="I13" i="3"/>
  <c r="H13" i="3"/>
  <c r="G13" i="3"/>
  <c r="N12" i="3"/>
  <c r="M12" i="3"/>
  <c r="L12" i="3"/>
  <c r="K12" i="3"/>
  <c r="J12" i="3"/>
  <c r="I12" i="3"/>
  <c r="H12" i="3"/>
  <c r="G12" i="3"/>
  <c r="N11" i="3"/>
  <c r="M11" i="3"/>
  <c r="L11" i="3"/>
  <c r="K11" i="3"/>
  <c r="J11" i="3"/>
  <c r="I11" i="3"/>
  <c r="H11" i="3"/>
  <c r="G11" i="3"/>
  <c r="N10" i="3"/>
  <c r="M10" i="3"/>
  <c r="L10" i="3"/>
  <c r="K10" i="3"/>
  <c r="J10" i="3"/>
  <c r="I10" i="3"/>
  <c r="H10" i="3"/>
  <c r="G10" i="3"/>
  <c r="N9" i="3"/>
  <c r="M9" i="3"/>
  <c r="L9" i="3"/>
  <c r="K9" i="3"/>
  <c r="J9" i="3"/>
  <c r="I9" i="3"/>
  <c r="H9" i="3"/>
  <c r="G9" i="3"/>
  <c r="N8" i="3"/>
  <c r="M8" i="3"/>
  <c r="L8" i="3"/>
  <c r="K8" i="3"/>
  <c r="J8" i="3"/>
  <c r="I8" i="3"/>
  <c r="H8" i="3"/>
  <c r="G8" i="3"/>
  <c r="N7" i="3"/>
  <c r="M7" i="3"/>
  <c r="L7" i="3"/>
  <c r="K7" i="3"/>
  <c r="J7" i="3"/>
  <c r="I7" i="3"/>
  <c r="H7" i="3"/>
  <c r="G7" i="3"/>
  <c r="N6" i="3"/>
  <c r="M6" i="3"/>
  <c r="L6" i="3"/>
  <c r="K6" i="3"/>
  <c r="J6" i="3"/>
  <c r="I6" i="3"/>
  <c r="H6" i="3"/>
  <c r="G6" i="3"/>
  <c r="N5" i="3"/>
  <c r="M5" i="3"/>
  <c r="L5" i="3"/>
  <c r="K5" i="3"/>
  <c r="J5" i="3"/>
  <c r="I5" i="3"/>
  <c r="H5" i="3"/>
  <c r="G5" i="3"/>
  <c r="N4" i="3"/>
  <c r="M4" i="3"/>
  <c r="L4" i="3"/>
  <c r="K4" i="3"/>
  <c r="J4" i="3"/>
  <c r="I4" i="3"/>
  <c r="H4" i="3"/>
  <c r="G4" i="3"/>
  <c r="N15" i="22" l="1"/>
  <c r="D31" i="22"/>
  <c r="M29" i="22"/>
  <c r="M19" i="22"/>
  <c r="I27" i="22"/>
  <c r="G24" i="22"/>
  <c r="D23" i="22"/>
  <c r="B22" i="22"/>
  <c r="M21" i="22"/>
  <c r="M28" i="22"/>
  <c r="O20" i="22"/>
  <c r="D30" i="22"/>
  <c r="A10" i="21"/>
  <c r="A12" i="21"/>
  <c r="A13" i="21"/>
  <c r="A144" i="8"/>
  <c r="B144" i="8"/>
  <c r="D144" i="8"/>
  <c r="E144" i="8"/>
  <c r="O15" i="22" l="1"/>
  <c r="L15" i="22"/>
  <c r="B15" i="22"/>
  <c r="F15" i="22"/>
  <c r="M15" i="22"/>
  <c r="C15" i="22"/>
  <c r="D15" i="22"/>
  <c r="G15" i="22"/>
  <c r="H15" i="22"/>
  <c r="I15" i="22"/>
  <c r="J15" i="22"/>
  <c r="K15" i="22"/>
  <c r="L19" i="22"/>
  <c r="O31" i="22"/>
  <c r="G19" i="22"/>
  <c r="F19" i="22"/>
  <c r="K22" i="22"/>
  <c r="H19" i="22"/>
  <c r="M27" i="22"/>
  <c r="M25" i="22"/>
  <c r="O25" i="22"/>
  <c r="I25" i="22"/>
  <c r="J25" i="22"/>
  <c r="K25" i="22"/>
  <c r="B25" i="22"/>
  <c r="L25" i="22"/>
  <c r="C25" i="22"/>
  <c r="F25" i="22"/>
  <c r="H25" i="22"/>
  <c r="N25" i="22"/>
  <c r="D25" i="22"/>
  <c r="G25" i="22"/>
  <c r="B31" i="22"/>
  <c r="O26" i="22"/>
  <c r="J26" i="22"/>
  <c r="I26" i="22"/>
  <c r="B26" i="22"/>
  <c r="N26" i="22"/>
  <c r="L26" i="22"/>
  <c r="C26" i="22"/>
  <c r="D26" i="22"/>
  <c r="F26" i="22"/>
  <c r="M26" i="22"/>
  <c r="G26" i="22"/>
  <c r="H26" i="22"/>
  <c r="K26" i="22"/>
  <c r="J21" i="22"/>
  <c r="I21" i="22"/>
  <c r="F21" i="22"/>
  <c r="B21" i="22"/>
  <c r="I22" i="22"/>
  <c r="G22" i="22"/>
  <c r="C22" i="22"/>
  <c r="C21" i="22"/>
  <c r="D20" i="22"/>
  <c r="K21" i="22"/>
  <c r="L27" i="22"/>
  <c r="J20" i="22"/>
  <c r="L20" i="22"/>
  <c r="I20" i="22"/>
  <c r="O22" i="22"/>
  <c r="O29" i="22"/>
  <c r="F27" i="22"/>
  <c r="J27" i="22"/>
  <c r="D27" i="22"/>
  <c r="K29" i="22"/>
  <c r="I31" i="22"/>
  <c r="C27" i="22"/>
  <c r="H27" i="22"/>
  <c r="D29" i="22"/>
  <c r="H31" i="22"/>
  <c r="B29" i="22"/>
  <c r="C29" i="22"/>
  <c r="G27" i="22"/>
  <c r="B27" i="22"/>
  <c r="G31" i="22"/>
  <c r="O27" i="22"/>
  <c r="F31" i="22"/>
  <c r="N27" i="22"/>
  <c r="D21" i="22"/>
  <c r="I19" i="22"/>
  <c r="B20" i="22"/>
  <c r="N19" i="22"/>
  <c r="F20" i="22"/>
  <c r="J22" i="22"/>
  <c r="O21" i="22"/>
  <c r="C19" i="22"/>
  <c r="H22" i="22"/>
  <c r="N21" i="22"/>
  <c r="B19" i="22"/>
  <c r="J19" i="22"/>
  <c r="O19" i="22"/>
  <c r="L21" i="22"/>
  <c r="L22" i="22"/>
  <c r="I28" i="22"/>
  <c r="N20" i="22"/>
  <c r="H20" i="22"/>
  <c r="C20" i="22"/>
  <c r="K20" i="22"/>
  <c r="G20" i="22"/>
  <c r="M20" i="22"/>
  <c r="D19" i="22"/>
  <c r="F22" i="22"/>
  <c r="N22" i="22"/>
  <c r="K19" i="22"/>
  <c r="H21" i="22"/>
  <c r="D22" i="22"/>
  <c r="M22" i="22"/>
  <c r="I24" i="22"/>
  <c r="I23" i="22"/>
  <c r="N23" i="22"/>
  <c r="M30" i="22"/>
  <c r="B23" i="22"/>
  <c r="M24" i="22"/>
  <c r="K24" i="22"/>
  <c r="K23" i="22"/>
  <c r="L24" i="22"/>
  <c r="D24" i="22"/>
  <c r="L23" i="22"/>
  <c r="O24" i="22"/>
  <c r="M23" i="22"/>
  <c r="J24" i="22"/>
  <c r="J23" i="22"/>
  <c r="F24" i="22"/>
  <c r="C24" i="22"/>
  <c r="C23" i="22"/>
  <c r="N24" i="22"/>
  <c r="O23" i="22"/>
  <c r="H24" i="22"/>
  <c r="B24" i="22"/>
  <c r="K27" i="22"/>
  <c r="F23" i="22"/>
  <c r="G23" i="22"/>
  <c r="H23" i="22"/>
  <c r="I30" i="22"/>
  <c r="H30" i="22"/>
  <c r="L30" i="22"/>
  <c r="J30" i="22"/>
  <c r="K30" i="22"/>
  <c r="D28" i="22"/>
  <c r="N28" i="22"/>
  <c r="L28" i="22"/>
  <c r="J28" i="22"/>
  <c r="H28" i="22"/>
  <c r="C28" i="22"/>
  <c r="G28" i="22"/>
  <c r="F28" i="22"/>
  <c r="G30" i="22"/>
  <c r="C30" i="22"/>
  <c r="O30" i="22"/>
  <c r="B28" i="22"/>
  <c r="K28" i="22"/>
  <c r="N30" i="22"/>
  <c r="B30" i="22"/>
  <c r="G21" i="22"/>
  <c r="O28" i="22"/>
  <c r="G29" i="22"/>
  <c r="N29" i="22"/>
  <c r="L29" i="22"/>
  <c r="J29" i="22"/>
  <c r="I29" i="22"/>
  <c r="H29" i="22"/>
  <c r="F29" i="22"/>
  <c r="F30" i="22"/>
  <c r="K31" i="22"/>
  <c r="N31" i="22"/>
  <c r="M31" i="22"/>
  <c r="L31" i="22"/>
  <c r="J31" i="22"/>
  <c r="C31" i="22"/>
  <c r="N14" i="22"/>
  <c r="L14" i="22"/>
  <c r="M14" i="22"/>
  <c r="K14" i="22"/>
  <c r="J14" i="22"/>
  <c r="I14" i="22"/>
  <c r="O14" i="22"/>
  <c r="H14" i="22"/>
  <c r="G14" i="22"/>
  <c r="E14" i="22"/>
  <c r="E15" i="22" s="1"/>
  <c r="F14" i="22"/>
  <c r="D14" i="22"/>
  <c r="C14" i="22"/>
  <c r="B14" i="22"/>
  <c r="M12" i="22"/>
  <c r="L12" i="22"/>
  <c r="K12" i="22"/>
  <c r="J12" i="22"/>
  <c r="I12" i="22"/>
  <c r="H12" i="22"/>
  <c r="G12" i="22"/>
  <c r="D12" i="22"/>
  <c r="F12" i="22"/>
  <c r="N12" i="22"/>
  <c r="C12" i="22"/>
  <c r="B12" i="22"/>
  <c r="O12" i="22"/>
  <c r="L11" i="22"/>
  <c r="K11" i="22"/>
  <c r="M11" i="22"/>
  <c r="J11" i="22"/>
  <c r="I11" i="22"/>
  <c r="H11" i="22"/>
  <c r="O11" i="22"/>
  <c r="G11" i="22"/>
  <c r="C11" i="22"/>
  <c r="N11" i="22"/>
  <c r="F11" i="22"/>
  <c r="E11" i="22"/>
  <c r="E12" i="22" s="1"/>
  <c r="D11" i="22"/>
  <c r="B11" i="22"/>
  <c r="K13" i="21"/>
  <c r="J13" i="21"/>
  <c r="I13" i="21"/>
  <c r="H13" i="21"/>
  <c r="G13" i="21"/>
  <c r="F13" i="21"/>
  <c r="D13" i="21"/>
  <c r="B13" i="21"/>
  <c r="C13" i="21"/>
  <c r="O13" i="21"/>
  <c r="N13" i="21"/>
  <c r="M13" i="21"/>
  <c r="L13" i="21"/>
  <c r="G9" i="21"/>
  <c r="F9" i="21"/>
  <c r="D9" i="21"/>
  <c r="B9" i="21"/>
  <c r="N9" i="21"/>
  <c r="M9" i="21"/>
  <c r="C9" i="21"/>
  <c r="O9" i="21"/>
  <c r="L9" i="21"/>
  <c r="K9" i="21"/>
  <c r="H9" i="21"/>
  <c r="J9" i="21"/>
  <c r="I9" i="21"/>
  <c r="E9" i="21"/>
  <c r="E10" i="21" s="1"/>
  <c r="I10" i="21"/>
  <c r="H10" i="21"/>
  <c r="G10" i="21"/>
  <c r="N10" i="21"/>
  <c r="D10" i="21"/>
  <c r="C10" i="21"/>
  <c r="O10" i="21"/>
  <c r="B10" i="21"/>
  <c r="F10" i="21"/>
  <c r="M10" i="21"/>
  <c r="L10" i="21"/>
  <c r="K10" i="21"/>
  <c r="J10" i="21"/>
  <c r="J12" i="21"/>
  <c r="I12" i="21"/>
  <c r="H12" i="21"/>
  <c r="F12" i="21"/>
  <c r="D12" i="21"/>
  <c r="O12" i="21"/>
  <c r="E12" i="21"/>
  <c r="E13" i="21" s="1"/>
  <c r="C12" i="21"/>
  <c r="B12" i="21"/>
  <c r="N12" i="21"/>
  <c r="M12" i="21"/>
  <c r="G12" i="21"/>
  <c r="L12" i="21"/>
  <c r="K12" i="21"/>
  <c r="P37" i="10"/>
  <c r="O37" i="10"/>
  <c r="N37" i="10"/>
  <c r="M37" i="10"/>
  <c r="L37" i="10"/>
  <c r="K37" i="10"/>
  <c r="J37" i="10"/>
  <c r="I37" i="10"/>
  <c r="H37" i="10"/>
  <c r="P23" i="10"/>
  <c r="O23" i="10"/>
  <c r="N23" i="10"/>
  <c r="M23" i="10"/>
  <c r="L23" i="10"/>
  <c r="K23" i="10"/>
  <c r="J23" i="10"/>
  <c r="I23" i="10"/>
  <c r="H23" i="10"/>
  <c r="H36" i="10"/>
  <c r="H22" i="19"/>
  <c r="P23" i="19"/>
  <c r="O23" i="19"/>
  <c r="N23" i="19"/>
  <c r="M23" i="19"/>
  <c r="L23" i="19"/>
  <c r="K23" i="19"/>
  <c r="J23" i="19"/>
  <c r="I23" i="19"/>
  <c r="P24" i="15"/>
  <c r="O24" i="15"/>
  <c r="N24" i="15"/>
  <c r="M24" i="15"/>
  <c r="L24" i="15"/>
  <c r="K24" i="15"/>
  <c r="J24" i="15"/>
  <c r="I24" i="15"/>
  <c r="H23" i="19"/>
  <c r="H24" i="15"/>
  <c r="H23" i="15"/>
  <c r="G8" i="19"/>
  <c r="G9" i="10"/>
  <c r="G8" i="15"/>
  <c r="G7" i="18"/>
  <c r="G7" i="16"/>
  <c r="H22" i="14"/>
  <c r="P23" i="14"/>
  <c r="O23" i="14"/>
  <c r="N23" i="14"/>
  <c r="M23" i="14"/>
  <c r="L23" i="14"/>
  <c r="K23" i="14"/>
  <c r="J23" i="14"/>
  <c r="I23" i="14"/>
  <c r="H23" i="14"/>
  <c r="G7" i="14"/>
  <c r="P20" i="13"/>
  <c r="O20" i="13"/>
  <c r="N20" i="13"/>
  <c r="M20" i="13"/>
  <c r="L20" i="13"/>
  <c r="K20" i="13"/>
  <c r="J20" i="13"/>
  <c r="I20" i="13"/>
  <c r="H20" i="13"/>
  <c r="G6" i="13"/>
  <c r="P21" i="17"/>
  <c r="O21" i="17"/>
  <c r="N21" i="17"/>
  <c r="M21" i="17"/>
  <c r="L21" i="17"/>
  <c r="K21" i="17"/>
  <c r="J21" i="17"/>
  <c r="I21" i="17"/>
  <c r="H21" i="17"/>
  <c r="G7" i="17"/>
  <c r="G7" i="5"/>
  <c r="P21" i="5"/>
  <c r="O21" i="5"/>
  <c r="N21" i="5"/>
  <c r="M21" i="5"/>
  <c r="L21" i="5"/>
  <c r="K21" i="5"/>
  <c r="J21" i="5"/>
  <c r="I21" i="5"/>
  <c r="H21" i="5"/>
  <c r="AL1" i="3"/>
  <c r="AK1" i="3"/>
  <c r="AJ1" i="3"/>
  <c r="AI1" i="3"/>
  <c r="AH1" i="3"/>
  <c r="AG1" i="3"/>
  <c r="AF1" i="3"/>
  <c r="AE1" i="3"/>
  <c r="AD1" i="3"/>
  <c r="AC1" i="3"/>
  <c r="AB1" i="3"/>
  <c r="AA1" i="3"/>
  <c r="Z1" i="3"/>
  <c r="Y1" i="3"/>
  <c r="X1" i="3"/>
  <c r="W1" i="3"/>
  <c r="V1" i="3"/>
  <c r="U1" i="3"/>
  <c r="T1" i="3"/>
  <c r="S1" i="3"/>
  <c r="R1" i="3"/>
  <c r="Q1" i="3"/>
  <c r="P1" i="3"/>
  <c r="O1" i="3"/>
  <c r="N1" i="3"/>
  <c r="M1" i="3"/>
  <c r="L1" i="3"/>
  <c r="K1" i="3"/>
  <c r="J1" i="3"/>
  <c r="I1" i="3"/>
  <c r="H1" i="3"/>
  <c r="G1" i="3"/>
  <c r="F1" i="3"/>
  <c r="E1" i="3"/>
  <c r="D1" i="3"/>
  <c r="C1" i="3"/>
  <c r="B1" i="3"/>
  <c r="A1" i="3"/>
  <c r="G7" i="19" l="1"/>
  <c r="G7" i="15"/>
  <c r="P6" i="19"/>
  <c r="A11" i="19" s="1"/>
  <c r="P7" i="19"/>
  <c r="A25" i="19" s="1"/>
  <c r="G6" i="19"/>
  <c r="P8" i="19" s="1"/>
  <c r="G5" i="19"/>
  <c r="P6" i="18"/>
  <c r="A10" i="18" s="1"/>
  <c r="G6" i="18"/>
  <c r="G5" i="18"/>
  <c r="A13" i="19" l="1"/>
  <c r="A15" i="19"/>
  <c r="E15" i="19" s="1"/>
  <c r="A16" i="19"/>
  <c r="A12" i="19"/>
  <c r="A19" i="19"/>
  <c r="E19" i="19" s="1"/>
  <c r="A17" i="19"/>
  <c r="A20" i="19"/>
  <c r="B20" i="19" s="1"/>
  <c r="D25" i="19"/>
  <c r="C25" i="19"/>
  <c r="F25" i="19"/>
  <c r="B25" i="19"/>
  <c r="G25" i="19"/>
  <c r="A26" i="19"/>
  <c r="A24" i="19"/>
  <c r="A12" i="18"/>
  <c r="D12" i="18" s="1"/>
  <c r="A16" i="18"/>
  <c r="A18" i="18"/>
  <c r="E18" i="18" s="1"/>
  <c r="A11" i="18"/>
  <c r="A14" i="18"/>
  <c r="E14" i="18" s="1"/>
  <c r="A15" i="18"/>
  <c r="A19" i="18"/>
  <c r="P6" i="17"/>
  <c r="A25" i="17" s="1"/>
  <c r="G6" i="17"/>
  <c r="G5" i="17"/>
  <c r="P6" i="16"/>
  <c r="A20" i="16" s="1"/>
  <c r="G6" i="16"/>
  <c r="G5" i="16"/>
  <c r="E16" i="19" l="1"/>
  <c r="E17" i="19" s="1"/>
  <c r="C20" i="19"/>
  <c r="D20" i="19"/>
  <c r="F20" i="19"/>
  <c r="G20" i="19"/>
  <c r="D13" i="19"/>
  <c r="C13" i="19"/>
  <c r="B13" i="19"/>
  <c r="G13" i="19"/>
  <c r="F13" i="19"/>
  <c r="G19" i="19"/>
  <c r="D19" i="19"/>
  <c r="F19" i="19"/>
  <c r="E20" i="19"/>
  <c r="C19" i="19"/>
  <c r="B19" i="19"/>
  <c r="G26" i="19"/>
  <c r="F26" i="19"/>
  <c r="B26" i="19"/>
  <c r="D26" i="19"/>
  <c r="C26" i="19"/>
  <c r="F16" i="19"/>
  <c r="B16" i="19"/>
  <c r="D16" i="19"/>
  <c r="C16" i="19"/>
  <c r="G16" i="19"/>
  <c r="B24" i="19"/>
  <c r="G24" i="19"/>
  <c r="C24" i="19"/>
  <c r="F24" i="19"/>
  <c r="D24" i="19"/>
  <c r="G17" i="19"/>
  <c r="F17" i="19"/>
  <c r="C17" i="19"/>
  <c r="D17" i="19"/>
  <c r="B17" i="19"/>
  <c r="B11" i="19"/>
  <c r="F11" i="19"/>
  <c r="C11" i="19"/>
  <c r="G11" i="19"/>
  <c r="E11" i="19"/>
  <c r="E12" i="19" s="1"/>
  <c r="E13" i="19" s="1"/>
  <c r="D11" i="19"/>
  <c r="D15" i="19"/>
  <c r="F15" i="19"/>
  <c r="C15" i="19"/>
  <c r="B15" i="19"/>
  <c r="G15" i="19"/>
  <c r="C12" i="19"/>
  <c r="B12" i="19"/>
  <c r="G12" i="19"/>
  <c r="D12" i="19"/>
  <c r="F12" i="19"/>
  <c r="C12" i="18"/>
  <c r="B12" i="18"/>
  <c r="G12" i="18"/>
  <c r="E15" i="18"/>
  <c r="E16" i="18" s="1"/>
  <c r="F12" i="18"/>
  <c r="B14" i="18"/>
  <c r="G14" i="18"/>
  <c r="F14" i="18"/>
  <c r="C14" i="18"/>
  <c r="D14" i="18"/>
  <c r="G10" i="18"/>
  <c r="F10" i="18"/>
  <c r="E10" i="18"/>
  <c r="E11" i="18" s="1"/>
  <c r="E12" i="18" s="1"/>
  <c r="D10" i="18"/>
  <c r="C10" i="18"/>
  <c r="B10" i="18"/>
  <c r="G11" i="18"/>
  <c r="F11" i="18"/>
  <c r="D11" i="18"/>
  <c r="C11" i="18"/>
  <c r="B11" i="18"/>
  <c r="D16" i="18"/>
  <c r="C16" i="18"/>
  <c r="B16" i="18"/>
  <c r="G16" i="18"/>
  <c r="F16" i="18"/>
  <c r="E19" i="18"/>
  <c r="D18" i="18"/>
  <c r="C18" i="18"/>
  <c r="B18" i="18"/>
  <c r="F18" i="18"/>
  <c r="G18" i="18"/>
  <c r="C15" i="18"/>
  <c r="B15" i="18"/>
  <c r="G15" i="18"/>
  <c r="D15" i="18"/>
  <c r="F15" i="18"/>
  <c r="F19" i="18"/>
  <c r="D19" i="18"/>
  <c r="C19" i="18"/>
  <c r="B19" i="18"/>
  <c r="G19" i="18"/>
  <c r="A10" i="17"/>
  <c r="A22" i="17"/>
  <c r="G25" i="17"/>
  <c r="F25" i="17"/>
  <c r="D25" i="17"/>
  <c r="C25" i="17"/>
  <c r="E25" i="17"/>
  <c r="B25" i="17"/>
  <c r="A11" i="17"/>
  <c r="A23" i="17"/>
  <c r="A19" i="17"/>
  <c r="A31" i="17"/>
  <c r="A20" i="17"/>
  <c r="A32" i="17"/>
  <c r="A17" i="17"/>
  <c r="A29" i="17"/>
  <c r="A16" i="17"/>
  <c r="A28" i="17"/>
  <c r="A14" i="17"/>
  <c r="A26" i="17"/>
  <c r="A13" i="17"/>
  <c r="A19" i="16"/>
  <c r="B19" i="16" s="1"/>
  <c r="B20" i="16"/>
  <c r="G20" i="16"/>
  <c r="F20" i="16"/>
  <c r="D20" i="16"/>
  <c r="C20" i="16"/>
  <c r="A17" i="16"/>
  <c r="A16" i="16"/>
  <c r="A14" i="16"/>
  <c r="A13" i="16"/>
  <c r="A11" i="16"/>
  <c r="A10" i="16"/>
  <c r="H24" i="19"/>
  <c r="I24" i="19"/>
  <c r="J24" i="19"/>
  <c r="K24" i="19"/>
  <c r="L24" i="19"/>
  <c r="M24" i="19"/>
  <c r="N24" i="19"/>
  <c r="O24" i="19"/>
  <c r="H20" i="19"/>
  <c r="I20" i="19"/>
  <c r="J20" i="19"/>
  <c r="K20" i="19"/>
  <c r="L20" i="19"/>
  <c r="M20" i="19"/>
  <c r="N20" i="19"/>
  <c r="O20" i="19"/>
  <c r="H17" i="19"/>
  <c r="I17" i="19"/>
  <c r="J17" i="19"/>
  <c r="K17" i="19"/>
  <c r="L17" i="19"/>
  <c r="M17" i="19"/>
  <c r="N17" i="19"/>
  <c r="O17" i="19"/>
  <c r="P6" i="15"/>
  <c r="A25" i="15" s="1"/>
  <c r="G6" i="15"/>
  <c r="P8" i="15" s="1"/>
  <c r="P7" i="15"/>
  <c r="G5" i="15"/>
  <c r="E10" i="17" l="1"/>
  <c r="E11" i="17" s="1"/>
  <c r="E19" i="16"/>
  <c r="E20" i="16" s="1"/>
  <c r="D19" i="16"/>
  <c r="G19" i="16"/>
  <c r="C19" i="16"/>
  <c r="F19" i="16"/>
  <c r="F10" i="17"/>
  <c r="G22" i="17"/>
  <c r="E22" i="17"/>
  <c r="E23" i="17" s="1"/>
  <c r="C22" i="17"/>
  <c r="F22" i="17"/>
  <c r="G10" i="17"/>
  <c r="D10" i="17"/>
  <c r="B10" i="17"/>
  <c r="C10" i="17"/>
  <c r="D22" i="17"/>
  <c r="B22" i="17"/>
  <c r="B14" i="17"/>
  <c r="D14" i="17"/>
  <c r="G14" i="17"/>
  <c r="F14" i="17"/>
  <c r="C14" i="17"/>
  <c r="D17" i="17"/>
  <c r="F17" i="17"/>
  <c r="C17" i="17"/>
  <c r="B17" i="17"/>
  <c r="G17" i="17"/>
  <c r="F20" i="17"/>
  <c r="D20" i="17"/>
  <c r="C20" i="17"/>
  <c r="B20" i="17"/>
  <c r="G20" i="17"/>
  <c r="C16" i="17"/>
  <c r="B16" i="17"/>
  <c r="F16" i="17"/>
  <c r="G16" i="17"/>
  <c r="D16" i="17"/>
  <c r="E16" i="17"/>
  <c r="E17" i="17" s="1"/>
  <c r="G11" i="17"/>
  <c r="F11" i="17"/>
  <c r="B11" i="17"/>
  <c r="C11" i="17"/>
  <c r="D11" i="17"/>
  <c r="E19" i="17"/>
  <c r="E20" i="17" s="1"/>
  <c r="D19" i="17"/>
  <c r="C19" i="17"/>
  <c r="B19" i="17"/>
  <c r="F19" i="17"/>
  <c r="G19" i="17"/>
  <c r="B26" i="17"/>
  <c r="D26" i="17"/>
  <c r="G26" i="17"/>
  <c r="E26" i="17"/>
  <c r="F26" i="17"/>
  <c r="C26" i="17"/>
  <c r="C28" i="17"/>
  <c r="B28" i="17"/>
  <c r="F28" i="17"/>
  <c r="E28" i="17"/>
  <c r="E29" i="17" s="1"/>
  <c r="G28" i="17"/>
  <c r="D28" i="17"/>
  <c r="G13" i="17"/>
  <c r="F13" i="17"/>
  <c r="D13" i="17"/>
  <c r="E13" i="17"/>
  <c r="E14" i="17" s="1"/>
  <c r="B13" i="17"/>
  <c r="C13" i="17"/>
  <c r="D29" i="17"/>
  <c r="C29" i="17"/>
  <c r="B29" i="17"/>
  <c r="G29" i="17"/>
  <c r="F29" i="17"/>
  <c r="F32" i="17"/>
  <c r="D32" i="17"/>
  <c r="C32" i="17"/>
  <c r="B32" i="17"/>
  <c r="G32" i="17"/>
  <c r="G23" i="17"/>
  <c r="F23" i="17"/>
  <c r="C23" i="17"/>
  <c r="D23" i="17"/>
  <c r="B23" i="17"/>
  <c r="E31" i="17"/>
  <c r="E32" i="17" s="1"/>
  <c r="D31" i="17"/>
  <c r="C31" i="17"/>
  <c r="G31" i="17"/>
  <c r="B31" i="17"/>
  <c r="F31" i="17"/>
  <c r="D13" i="16"/>
  <c r="C13" i="16"/>
  <c r="B13" i="16"/>
  <c r="E13" i="16"/>
  <c r="E14" i="16" s="1"/>
  <c r="G13" i="16"/>
  <c r="F13" i="16"/>
  <c r="B10" i="16"/>
  <c r="C10" i="16"/>
  <c r="G10" i="16"/>
  <c r="F10" i="16"/>
  <c r="E10" i="16"/>
  <c r="E11" i="16" s="1"/>
  <c r="D10" i="16"/>
  <c r="G17" i="16"/>
  <c r="F17" i="16"/>
  <c r="D17" i="16"/>
  <c r="C17" i="16"/>
  <c r="B17" i="16"/>
  <c r="F16" i="16"/>
  <c r="E16" i="16"/>
  <c r="E17" i="16" s="1"/>
  <c r="D16" i="16"/>
  <c r="G16" i="16"/>
  <c r="C16" i="16"/>
  <c r="B16" i="16"/>
  <c r="D14" i="16"/>
  <c r="C14" i="16"/>
  <c r="B14" i="16"/>
  <c r="F14" i="16"/>
  <c r="G14" i="16"/>
  <c r="C11" i="16"/>
  <c r="B11" i="16"/>
  <c r="G11" i="16"/>
  <c r="D11" i="16"/>
  <c r="F11" i="16"/>
  <c r="A15" i="15"/>
  <c r="C15" i="15" s="1"/>
  <c r="A17" i="15"/>
  <c r="A18" i="15"/>
  <c r="A20" i="15"/>
  <c r="A27" i="15"/>
  <c r="A26" i="15"/>
  <c r="A21" i="15"/>
  <c r="A11" i="15"/>
  <c r="A12" i="15"/>
  <c r="A14" i="15"/>
  <c r="C14" i="15" s="1"/>
  <c r="D25" i="15"/>
  <c r="C25" i="15"/>
  <c r="B25" i="15"/>
  <c r="F25" i="15"/>
  <c r="G25" i="15"/>
  <c r="E226" i="8"/>
  <c r="D226" i="8"/>
  <c r="B226" i="8"/>
  <c r="A226" i="8"/>
  <c r="E225" i="8"/>
  <c r="D225" i="8"/>
  <c r="B225" i="8"/>
  <c r="A225" i="8"/>
  <c r="E224" i="8"/>
  <c r="D224" i="8"/>
  <c r="B224" i="8"/>
  <c r="A224" i="8"/>
  <c r="E223" i="8"/>
  <c r="D223" i="8"/>
  <c r="B223" i="8"/>
  <c r="A223" i="8"/>
  <c r="E222" i="8"/>
  <c r="D222" i="8"/>
  <c r="B222" i="8"/>
  <c r="A222" i="8"/>
  <c r="E221" i="8"/>
  <c r="D221" i="8"/>
  <c r="B221" i="8"/>
  <c r="A221" i="8"/>
  <c r="E220" i="8"/>
  <c r="D220" i="8"/>
  <c r="B220" i="8"/>
  <c r="A220" i="8"/>
  <c r="E219" i="8"/>
  <c r="D219" i="8"/>
  <c r="B219" i="8"/>
  <c r="A219" i="8"/>
  <c r="E218" i="8"/>
  <c r="D218" i="8"/>
  <c r="B218" i="8"/>
  <c r="A218" i="8"/>
  <c r="E217" i="8"/>
  <c r="D217" i="8"/>
  <c r="B217" i="8"/>
  <c r="A217" i="8"/>
  <c r="E216" i="8"/>
  <c r="D216" i="8"/>
  <c r="B216" i="8"/>
  <c r="A216" i="8"/>
  <c r="E215" i="8"/>
  <c r="D215" i="8"/>
  <c r="B215" i="8"/>
  <c r="A215" i="8"/>
  <c r="E214" i="8"/>
  <c r="D214" i="8"/>
  <c r="B214" i="8"/>
  <c r="A214" i="8"/>
  <c r="E211" i="8"/>
  <c r="D211" i="8"/>
  <c r="B211" i="8"/>
  <c r="A211" i="8"/>
  <c r="E210" i="8"/>
  <c r="D210" i="8"/>
  <c r="B210" i="8"/>
  <c r="A210" i="8"/>
  <c r="E209" i="8"/>
  <c r="D209" i="8"/>
  <c r="B209" i="8"/>
  <c r="A209" i="8"/>
  <c r="E208" i="8"/>
  <c r="D208" i="8"/>
  <c r="B208" i="8"/>
  <c r="A208" i="8"/>
  <c r="E207" i="8"/>
  <c r="D207" i="8"/>
  <c r="B207" i="8"/>
  <c r="A207" i="8"/>
  <c r="E206" i="8"/>
  <c r="D206" i="8"/>
  <c r="B206" i="8"/>
  <c r="A206" i="8"/>
  <c r="E205" i="8"/>
  <c r="D205" i="8"/>
  <c r="B205" i="8"/>
  <c r="A205" i="8"/>
  <c r="E204" i="8"/>
  <c r="D204" i="8"/>
  <c r="B204" i="8"/>
  <c r="A204" i="8"/>
  <c r="E201" i="8"/>
  <c r="D201" i="8"/>
  <c r="B201" i="8"/>
  <c r="A201" i="8"/>
  <c r="E200" i="8"/>
  <c r="D200" i="8"/>
  <c r="B200" i="8"/>
  <c r="A200" i="8"/>
  <c r="E199" i="8"/>
  <c r="D199" i="8"/>
  <c r="B199" i="8"/>
  <c r="A199" i="8"/>
  <c r="AH81" i="3" l="1"/>
  <c r="AF81" i="3"/>
  <c r="AG81" i="3"/>
  <c r="AH17" i="3"/>
  <c r="AH16" i="3"/>
  <c r="AH18" i="3"/>
  <c r="AH19" i="3"/>
  <c r="AG17" i="3"/>
  <c r="AG18" i="3"/>
  <c r="AG16" i="3"/>
  <c r="AG19" i="3"/>
  <c r="AF16" i="3"/>
  <c r="AF19" i="3"/>
  <c r="AF17" i="3"/>
  <c r="AF18" i="3"/>
  <c r="AF3" i="3"/>
  <c r="AF4" i="3"/>
  <c r="AF5" i="3"/>
  <c r="AF6" i="3"/>
  <c r="AF7" i="3"/>
  <c r="AF8" i="3"/>
  <c r="AF9" i="3"/>
  <c r="AF10" i="3"/>
  <c r="AF11" i="3"/>
  <c r="AF12" i="3"/>
  <c r="AF13" i="3"/>
  <c r="AF14" i="3"/>
  <c r="AF15"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2" i="3"/>
  <c r="AF83" i="3"/>
  <c r="AF84" i="3"/>
  <c r="AF85" i="3"/>
  <c r="AF86" i="3"/>
  <c r="AF87" i="3"/>
  <c r="AF88" i="3"/>
  <c r="AF89" i="3"/>
  <c r="AF91" i="3"/>
  <c r="AF92" i="3"/>
  <c r="AF93" i="3"/>
  <c r="AF94" i="3"/>
  <c r="AF95" i="3"/>
  <c r="AF96" i="3"/>
  <c r="AF97" i="3"/>
  <c r="AF98" i="3"/>
  <c r="AF99" i="3"/>
  <c r="AF100" i="3"/>
  <c r="AF101" i="3"/>
  <c r="AF102" i="3"/>
  <c r="AF103" i="3"/>
  <c r="AF104" i="3"/>
  <c r="AF105" i="3"/>
  <c r="AF106" i="3"/>
  <c r="AG3" i="3"/>
  <c r="AG4" i="3"/>
  <c r="AG5" i="3"/>
  <c r="AG6" i="3"/>
  <c r="AG7" i="3"/>
  <c r="AG8" i="3"/>
  <c r="AG9" i="3"/>
  <c r="AG10" i="3"/>
  <c r="AG11" i="3"/>
  <c r="AG12" i="3"/>
  <c r="AG13" i="3"/>
  <c r="AG14" i="3"/>
  <c r="AG15"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2" i="3"/>
  <c r="AG83" i="3"/>
  <c r="AG84" i="3"/>
  <c r="AG85" i="3"/>
  <c r="AG86" i="3"/>
  <c r="AG87" i="3"/>
  <c r="AG88" i="3"/>
  <c r="AG89" i="3"/>
  <c r="AG91" i="3"/>
  <c r="AG92" i="3"/>
  <c r="AG93" i="3"/>
  <c r="AG94" i="3"/>
  <c r="AG95" i="3"/>
  <c r="AG96" i="3"/>
  <c r="AG97" i="3"/>
  <c r="AG98" i="3"/>
  <c r="AG99" i="3"/>
  <c r="AG100" i="3"/>
  <c r="AG101" i="3"/>
  <c r="AG102" i="3"/>
  <c r="AG103" i="3"/>
  <c r="AG104" i="3"/>
  <c r="AG105" i="3"/>
  <c r="AG106" i="3"/>
  <c r="AH3" i="3"/>
  <c r="AH4" i="3"/>
  <c r="AH5" i="3"/>
  <c r="AH6" i="3"/>
  <c r="AH7" i="3"/>
  <c r="AH8" i="3"/>
  <c r="AH9" i="3"/>
  <c r="AH10" i="3"/>
  <c r="AH11" i="3"/>
  <c r="AH12" i="3"/>
  <c r="AH13" i="3"/>
  <c r="AH14" i="3"/>
  <c r="AH15"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2" i="3"/>
  <c r="AH83" i="3"/>
  <c r="AH84" i="3"/>
  <c r="AH85" i="3"/>
  <c r="AH86" i="3"/>
  <c r="AH87" i="3"/>
  <c r="AH88" i="3"/>
  <c r="AH89" i="3"/>
  <c r="AH91" i="3"/>
  <c r="AH92" i="3"/>
  <c r="AH93" i="3"/>
  <c r="AH94" i="3"/>
  <c r="AH95" i="3"/>
  <c r="AH96" i="3"/>
  <c r="AH97" i="3"/>
  <c r="AH98" i="3"/>
  <c r="AH99" i="3"/>
  <c r="AH100" i="3"/>
  <c r="AH101" i="3"/>
  <c r="AH102" i="3"/>
  <c r="AH103" i="3"/>
  <c r="AH104" i="3"/>
  <c r="AH105" i="3"/>
  <c r="AH106" i="3"/>
  <c r="D17" i="15"/>
  <c r="B14" i="15"/>
  <c r="B17" i="15"/>
  <c r="G15" i="15"/>
  <c r="E14" i="15"/>
  <c r="E15" i="15" s="1"/>
  <c r="F14" i="15"/>
  <c r="D14" i="15"/>
  <c r="E17" i="15"/>
  <c r="E18" i="15" s="1"/>
  <c r="G26" i="15"/>
  <c r="B26" i="15"/>
  <c r="F26" i="15"/>
  <c r="G27" i="15"/>
  <c r="D26" i="15"/>
  <c r="F27" i="15"/>
  <c r="D27" i="15"/>
  <c r="C27" i="15"/>
  <c r="B27" i="15"/>
  <c r="C26" i="15"/>
  <c r="B15" i="15"/>
  <c r="F15" i="15"/>
  <c r="G17" i="15"/>
  <c r="F17" i="15"/>
  <c r="C17" i="15"/>
  <c r="D15" i="15"/>
  <c r="G14" i="15"/>
  <c r="C21" i="15"/>
  <c r="B21" i="15"/>
  <c r="F21" i="15"/>
  <c r="D21" i="15"/>
  <c r="G21" i="15"/>
  <c r="D11" i="15"/>
  <c r="C11" i="15"/>
  <c r="B11" i="15"/>
  <c r="G11" i="15"/>
  <c r="F11" i="15"/>
  <c r="E11" i="15"/>
  <c r="E12" i="15" s="1"/>
  <c r="D12" i="15"/>
  <c r="C12" i="15"/>
  <c r="G12" i="15"/>
  <c r="B12" i="15"/>
  <c r="F12" i="15"/>
  <c r="B20" i="15"/>
  <c r="E20" i="15"/>
  <c r="E21" i="15" s="1"/>
  <c r="G20" i="15"/>
  <c r="C20" i="15"/>
  <c r="F20" i="15"/>
  <c r="D20" i="15"/>
  <c r="G18" i="15"/>
  <c r="D18" i="15"/>
  <c r="F18" i="15"/>
  <c r="B18" i="15"/>
  <c r="C18" i="15"/>
  <c r="O25" i="15"/>
  <c r="N25" i="15"/>
  <c r="M25" i="15"/>
  <c r="L25" i="15"/>
  <c r="K25" i="15"/>
  <c r="J25" i="15"/>
  <c r="I25" i="15"/>
  <c r="H25" i="15"/>
  <c r="O32" i="17"/>
  <c r="N32" i="17"/>
  <c r="M32" i="17"/>
  <c r="L32" i="17"/>
  <c r="K32" i="17"/>
  <c r="J32" i="17"/>
  <c r="I32" i="17"/>
  <c r="H32" i="17"/>
  <c r="O10" i="17"/>
  <c r="N10" i="17"/>
  <c r="M10" i="17"/>
  <c r="L10" i="17"/>
  <c r="K10" i="17"/>
  <c r="J10" i="17"/>
  <c r="I10" i="17"/>
  <c r="H10" i="17"/>
  <c r="O22" i="17"/>
  <c r="N22" i="17"/>
  <c r="M22" i="17"/>
  <c r="L22" i="17"/>
  <c r="K22" i="17"/>
  <c r="J22" i="17"/>
  <c r="I22" i="17"/>
  <c r="H22" i="17"/>
  <c r="O15" i="19"/>
  <c r="N15" i="19"/>
  <c r="M15" i="19"/>
  <c r="L15" i="19"/>
  <c r="K15" i="19"/>
  <c r="J15" i="19"/>
  <c r="I15" i="19"/>
  <c r="H15" i="19"/>
  <c r="O12" i="19"/>
  <c r="N12" i="19"/>
  <c r="M12" i="19"/>
  <c r="L12" i="19"/>
  <c r="K12" i="19"/>
  <c r="J12" i="19"/>
  <c r="I12" i="19"/>
  <c r="H12" i="19"/>
  <c r="O31" i="17"/>
  <c r="N31" i="17"/>
  <c r="M31" i="17"/>
  <c r="L31" i="17"/>
  <c r="K31" i="17"/>
  <c r="J31" i="17"/>
  <c r="I31" i="17"/>
  <c r="H31" i="17"/>
  <c r="L11" i="17"/>
  <c r="H11" i="17"/>
  <c r="N28" i="17"/>
  <c r="M28" i="17"/>
  <c r="L28" i="17"/>
  <c r="K28" i="17"/>
  <c r="J28" i="17"/>
  <c r="I28" i="17"/>
  <c r="H28" i="17"/>
  <c r="L16" i="17"/>
  <c r="H16" i="17"/>
  <c r="O23" i="17"/>
  <c r="N23" i="17"/>
  <c r="M23" i="17"/>
  <c r="L23" i="17"/>
  <c r="K23" i="17"/>
  <c r="J23" i="17"/>
  <c r="I23" i="17"/>
  <c r="H23" i="17"/>
  <c r="O20" i="17"/>
  <c r="N20" i="17"/>
  <c r="M20" i="17"/>
  <c r="K20" i="17"/>
  <c r="J20" i="17"/>
  <c r="I20" i="17"/>
  <c r="H20" i="17"/>
  <c r="N3" i="3"/>
  <c r="M3" i="3"/>
  <c r="L3" i="3"/>
  <c r="K3" i="3"/>
  <c r="J3" i="3"/>
  <c r="I3" i="3"/>
  <c r="H3" i="3"/>
  <c r="G3" i="3"/>
  <c r="N16" i="17" l="1"/>
  <c r="N11" i="17"/>
  <c r="K16" i="17"/>
  <c r="K11" i="17"/>
  <c r="O16" i="17"/>
  <c r="O11" i="17"/>
  <c r="I11" i="17"/>
  <c r="I16" i="17"/>
  <c r="I13" i="17"/>
  <c r="J13" i="17"/>
  <c r="J19" i="17"/>
  <c r="M13" i="17"/>
  <c r="M19" i="17"/>
  <c r="I19" i="17"/>
  <c r="I14" i="17"/>
  <c r="I29" i="17"/>
  <c r="J14" i="17"/>
  <c r="J29" i="17"/>
  <c r="I25" i="17"/>
  <c r="J16" i="17"/>
  <c r="J11" i="17"/>
  <c r="J25" i="17"/>
  <c r="K13" i="17"/>
  <c r="K19" i="17"/>
  <c r="K14" i="17"/>
  <c r="K29" i="17"/>
  <c r="K25" i="17"/>
  <c r="L13" i="17"/>
  <c r="L19" i="17"/>
  <c r="L14" i="17"/>
  <c r="L29" i="17"/>
  <c r="M14" i="17"/>
  <c r="M29" i="17"/>
  <c r="H25" i="17"/>
  <c r="L25" i="17"/>
  <c r="M16" i="17"/>
  <c r="M11" i="17"/>
  <c r="M25" i="17"/>
  <c r="N13" i="17"/>
  <c r="N19" i="17"/>
  <c r="N14" i="17"/>
  <c r="N29" i="17"/>
  <c r="N25" i="17"/>
  <c r="O13" i="17"/>
  <c r="O19" i="17"/>
  <c r="O14" i="17"/>
  <c r="O29" i="17"/>
  <c r="L20" i="17"/>
  <c r="O28" i="17"/>
  <c r="O25" i="17"/>
  <c r="H13" i="17"/>
  <c r="H19" i="17"/>
  <c r="H14" i="17"/>
  <c r="H29" i="17"/>
  <c r="M25" i="19"/>
  <c r="M26" i="19"/>
  <c r="M16" i="19"/>
  <c r="M17" i="17"/>
  <c r="M19" i="19"/>
  <c r="M26" i="17"/>
  <c r="N25" i="19"/>
  <c r="N26" i="19"/>
  <c r="N16" i="19"/>
  <c r="N17" i="17"/>
  <c r="N19" i="19"/>
  <c r="N26" i="17"/>
  <c r="O25" i="19"/>
  <c r="O26" i="19"/>
  <c r="O16" i="19"/>
  <c r="O17" i="17"/>
  <c r="O19" i="19"/>
  <c r="O26" i="17"/>
  <c r="H25" i="19"/>
  <c r="H26" i="19"/>
  <c r="H16" i="19"/>
  <c r="H17" i="17"/>
  <c r="H19" i="19"/>
  <c r="H26" i="17"/>
  <c r="I25" i="19"/>
  <c r="I26" i="19"/>
  <c r="I16" i="19"/>
  <c r="I17" i="17"/>
  <c r="I19" i="19"/>
  <c r="I26" i="17"/>
  <c r="J25" i="19"/>
  <c r="J26" i="19"/>
  <c r="J16" i="19"/>
  <c r="J17" i="17"/>
  <c r="J19" i="19"/>
  <c r="J26" i="17"/>
  <c r="K25" i="19"/>
  <c r="K26" i="19"/>
  <c r="K16" i="19"/>
  <c r="K17" i="17"/>
  <c r="K19" i="19"/>
  <c r="K26" i="17"/>
  <c r="L25" i="19"/>
  <c r="L26" i="19"/>
  <c r="L16" i="19"/>
  <c r="L17" i="17"/>
  <c r="L19" i="19"/>
  <c r="L26" i="17"/>
  <c r="M11" i="15"/>
  <c r="M11" i="19"/>
  <c r="M17" i="15"/>
  <c r="M13" i="19"/>
  <c r="O11" i="15"/>
  <c r="O11" i="19"/>
  <c r="O17" i="15"/>
  <c r="O13" i="19"/>
  <c r="H11" i="15"/>
  <c r="H11" i="19"/>
  <c r="H17" i="15"/>
  <c r="H13" i="19"/>
  <c r="N17" i="15"/>
  <c r="N13" i="19"/>
  <c r="I11" i="15"/>
  <c r="I11" i="19"/>
  <c r="I17" i="15"/>
  <c r="I13" i="19"/>
  <c r="N11" i="15"/>
  <c r="N11" i="19"/>
  <c r="J11" i="15"/>
  <c r="J11" i="19"/>
  <c r="J17" i="15"/>
  <c r="J13" i="19"/>
  <c r="K11" i="15"/>
  <c r="K11" i="19"/>
  <c r="K17" i="15"/>
  <c r="K13" i="19"/>
  <c r="L11" i="15"/>
  <c r="L11" i="19"/>
  <c r="L17" i="15"/>
  <c r="L13" i="19"/>
  <c r="L19" i="16"/>
  <c r="L16" i="18"/>
  <c r="M11" i="16"/>
  <c r="M11" i="18"/>
  <c r="M14" i="16"/>
  <c r="M15" i="18"/>
  <c r="M19" i="16"/>
  <c r="M16" i="18"/>
  <c r="M13" i="16"/>
  <c r="M14" i="18"/>
  <c r="N10" i="16"/>
  <c r="N10" i="18"/>
  <c r="N20" i="16"/>
  <c r="N18" i="18"/>
  <c r="N17" i="16"/>
  <c r="N12" i="18"/>
  <c r="N16" i="16"/>
  <c r="N19" i="18"/>
  <c r="L14" i="16"/>
  <c r="L15" i="18"/>
  <c r="M20" i="16"/>
  <c r="M18" i="18"/>
  <c r="N11" i="16"/>
  <c r="N11" i="18"/>
  <c r="N14" i="16"/>
  <c r="N15" i="18"/>
  <c r="N19" i="16"/>
  <c r="N16" i="18"/>
  <c r="N13" i="16"/>
  <c r="N14" i="18"/>
  <c r="O10" i="16"/>
  <c r="O10" i="18"/>
  <c r="O20" i="16"/>
  <c r="O18" i="18"/>
  <c r="O17" i="16"/>
  <c r="O12" i="18"/>
  <c r="O16" i="16"/>
  <c r="O19" i="18"/>
  <c r="O11" i="16"/>
  <c r="O11" i="18"/>
  <c r="O14" i="16"/>
  <c r="O15" i="18"/>
  <c r="O19" i="16"/>
  <c r="O16" i="18"/>
  <c r="O13" i="16"/>
  <c r="O14" i="18"/>
  <c r="H10" i="16"/>
  <c r="H10" i="18"/>
  <c r="H20" i="16"/>
  <c r="H18" i="18"/>
  <c r="H17" i="16"/>
  <c r="H12" i="18"/>
  <c r="H16" i="16"/>
  <c r="H19" i="18"/>
  <c r="L11" i="16"/>
  <c r="L11" i="18"/>
  <c r="M17" i="16"/>
  <c r="M12" i="18"/>
  <c r="H11" i="16"/>
  <c r="H11" i="18"/>
  <c r="H14" i="16"/>
  <c r="H15" i="18"/>
  <c r="H19" i="16"/>
  <c r="H16" i="18"/>
  <c r="H13" i="16"/>
  <c r="H14" i="18"/>
  <c r="I10" i="16"/>
  <c r="I10" i="18"/>
  <c r="I20" i="16"/>
  <c r="I18" i="18"/>
  <c r="I17" i="16"/>
  <c r="I12" i="18"/>
  <c r="I16" i="16"/>
  <c r="I19" i="18"/>
  <c r="L13" i="16"/>
  <c r="L14" i="18"/>
  <c r="M10" i="16"/>
  <c r="M10" i="18"/>
  <c r="I11" i="16"/>
  <c r="I11" i="18"/>
  <c r="I14" i="16"/>
  <c r="I15" i="18"/>
  <c r="I19" i="16"/>
  <c r="I16" i="18"/>
  <c r="I13" i="16"/>
  <c r="I14" i="18"/>
  <c r="J10" i="16"/>
  <c r="J10" i="18"/>
  <c r="J20" i="16"/>
  <c r="J18" i="18"/>
  <c r="J17" i="16"/>
  <c r="J12" i="18"/>
  <c r="J16" i="16"/>
  <c r="J19" i="18"/>
  <c r="J11" i="16"/>
  <c r="J11" i="18"/>
  <c r="J14" i="16"/>
  <c r="J15" i="18"/>
  <c r="J19" i="16"/>
  <c r="J16" i="18"/>
  <c r="J13" i="16"/>
  <c r="J14" i="18"/>
  <c r="K10" i="16"/>
  <c r="K10" i="18"/>
  <c r="K20" i="16"/>
  <c r="K18" i="18"/>
  <c r="K17" i="16"/>
  <c r="K12" i="18"/>
  <c r="K16" i="16"/>
  <c r="K19" i="18"/>
  <c r="M16" i="16"/>
  <c r="M19" i="18"/>
  <c r="K11" i="16"/>
  <c r="K11" i="18"/>
  <c r="K14" i="16"/>
  <c r="K15" i="18"/>
  <c r="K19" i="16"/>
  <c r="K16" i="18"/>
  <c r="K13" i="16"/>
  <c r="K14" i="18"/>
  <c r="L10" i="16"/>
  <c r="L10" i="18"/>
  <c r="L20" i="16"/>
  <c r="L18" i="18"/>
  <c r="L17" i="16"/>
  <c r="L12" i="18"/>
  <c r="L16" i="16"/>
  <c r="L19" i="18"/>
  <c r="L27" i="15"/>
  <c r="O27" i="15"/>
  <c r="M27" i="15"/>
  <c r="N26" i="15"/>
  <c r="N27" i="15"/>
  <c r="L26" i="15"/>
  <c r="O26" i="15"/>
  <c r="H26" i="15"/>
  <c r="H27" i="15"/>
  <c r="I26" i="15"/>
  <c r="I27" i="15"/>
  <c r="M26" i="15"/>
  <c r="J26" i="15"/>
  <c r="J27" i="15"/>
  <c r="K26" i="15"/>
  <c r="K27" i="15"/>
  <c r="L12" i="15"/>
  <c r="L14" i="15"/>
  <c r="L20" i="15"/>
  <c r="L18" i="15"/>
  <c r="L15" i="15"/>
  <c r="L21" i="15"/>
  <c r="J12" i="15"/>
  <c r="M12" i="15"/>
  <c r="M14" i="15"/>
  <c r="M20" i="15"/>
  <c r="M18" i="15"/>
  <c r="M15" i="15"/>
  <c r="M21" i="15"/>
  <c r="N20" i="15"/>
  <c r="N18" i="15"/>
  <c r="N15" i="15"/>
  <c r="N21" i="15"/>
  <c r="O12" i="15"/>
  <c r="O14" i="15"/>
  <c r="O20" i="15"/>
  <c r="O18" i="15"/>
  <c r="O15" i="15"/>
  <c r="O21" i="15"/>
  <c r="N12" i="15"/>
  <c r="H12" i="15"/>
  <c r="H14" i="15"/>
  <c r="H20" i="15"/>
  <c r="H18" i="15"/>
  <c r="H15" i="15"/>
  <c r="H21" i="15"/>
  <c r="N14" i="15"/>
  <c r="I12" i="15"/>
  <c r="I14" i="15"/>
  <c r="I20" i="15"/>
  <c r="I18" i="15"/>
  <c r="I15" i="15"/>
  <c r="I21" i="15"/>
  <c r="J14" i="15"/>
  <c r="J20" i="15"/>
  <c r="J18" i="15"/>
  <c r="J15" i="15"/>
  <c r="J21" i="15"/>
  <c r="K12" i="15"/>
  <c r="K14" i="15"/>
  <c r="K20" i="15"/>
  <c r="K18" i="15"/>
  <c r="K15" i="15"/>
  <c r="K21" i="15"/>
  <c r="D180" i="8"/>
  <c r="P5" i="13" l="1"/>
  <c r="P6" i="14" l="1"/>
  <c r="G6" i="14"/>
  <c r="P7" i="14"/>
  <c r="G5" i="14"/>
  <c r="A20" i="14" l="1"/>
  <c r="E20" i="14" s="1"/>
  <c r="A31" i="14"/>
  <c r="A25" i="14"/>
  <c r="D25" i="14" s="1"/>
  <c r="A24" i="14"/>
  <c r="K24" i="14" s="1"/>
  <c r="A26" i="14"/>
  <c r="H26" i="14" s="1"/>
  <c r="A33" i="14"/>
  <c r="J33" i="14" s="1"/>
  <c r="A27" i="14"/>
  <c r="M27" i="14" s="1"/>
  <c r="A28" i="14"/>
  <c r="F28" i="14" s="1"/>
  <c r="A32" i="14"/>
  <c r="A29" i="14"/>
  <c r="A30" i="14"/>
  <c r="L30" i="14" s="1"/>
  <c r="A13" i="14"/>
  <c r="N13" i="14" s="1"/>
  <c r="A11" i="14"/>
  <c r="A14" i="14"/>
  <c r="A16" i="14"/>
  <c r="A17" i="14"/>
  <c r="A19" i="14"/>
  <c r="A10" i="14"/>
  <c r="B31" i="14" l="1"/>
  <c r="D31" i="14"/>
  <c r="C31" i="14"/>
  <c r="F31" i="14"/>
  <c r="G31" i="14"/>
  <c r="I31" i="14"/>
  <c r="K31" i="14"/>
  <c r="J31" i="14"/>
  <c r="L31" i="14"/>
  <c r="M31" i="14"/>
  <c r="N31" i="14"/>
  <c r="O31" i="14"/>
  <c r="H31" i="14"/>
  <c r="D26" i="14"/>
  <c r="L27" i="14"/>
  <c r="C27" i="14"/>
  <c r="K26" i="14"/>
  <c r="J24" i="14"/>
  <c r="L26" i="14"/>
  <c r="I24" i="14"/>
  <c r="O26" i="14"/>
  <c r="J26" i="14"/>
  <c r="B24" i="14"/>
  <c r="J27" i="14"/>
  <c r="G27" i="14"/>
  <c r="I27" i="14"/>
  <c r="N27" i="14"/>
  <c r="C24" i="14"/>
  <c r="F24" i="14"/>
  <c r="L24" i="14"/>
  <c r="N24" i="14"/>
  <c r="D24" i="14"/>
  <c r="H24" i="14"/>
  <c r="M24" i="14"/>
  <c r="D33" i="14"/>
  <c r="O24" i="14"/>
  <c r="N25" i="14"/>
  <c r="O30" i="14"/>
  <c r="C25" i="14"/>
  <c r="M25" i="14"/>
  <c r="B30" i="14"/>
  <c r="I26" i="14"/>
  <c r="F27" i="14"/>
  <c r="F25" i="14"/>
  <c r="M26" i="14"/>
  <c r="C26" i="14"/>
  <c r="N26" i="14"/>
  <c r="G30" i="14"/>
  <c r="L25" i="14"/>
  <c r="C30" i="14"/>
  <c r="G25" i="14"/>
  <c r="I30" i="14"/>
  <c r="N30" i="14"/>
  <c r="J30" i="14"/>
  <c r="G26" i="14"/>
  <c r="K30" i="14"/>
  <c r="D30" i="14"/>
  <c r="M30" i="14"/>
  <c r="G24" i="14"/>
  <c r="O25" i="14"/>
  <c r="H30" i="14"/>
  <c r="F30" i="14"/>
  <c r="F26" i="14"/>
  <c r="K29" i="14"/>
  <c r="B29" i="14"/>
  <c r="J29" i="14"/>
  <c r="M29" i="14"/>
  <c r="D29" i="14"/>
  <c r="L29" i="14"/>
  <c r="C29" i="14"/>
  <c r="I29" i="14"/>
  <c r="H29" i="14"/>
  <c r="O29" i="14"/>
  <c r="G29" i="14"/>
  <c r="N29" i="14"/>
  <c r="F29" i="14"/>
  <c r="J32" i="14"/>
  <c r="N32" i="14"/>
  <c r="C32" i="14"/>
  <c r="M32" i="14"/>
  <c r="B32" i="14"/>
  <c r="D32" i="14"/>
  <c r="L32" i="14"/>
  <c r="K32" i="14"/>
  <c r="F32" i="14"/>
  <c r="I32" i="14"/>
  <c r="H32" i="14"/>
  <c r="N28" i="14"/>
  <c r="G28" i="14"/>
  <c r="O28" i="14"/>
  <c r="D28" i="14"/>
  <c r="L28" i="14"/>
  <c r="B28" i="14"/>
  <c r="H28" i="14"/>
  <c r="M28" i="14"/>
  <c r="C28" i="14"/>
  <c r="I28" i="14"/>
  <c r="K28" i="14"/>
  <c r="J28" i="14"/>
  <c r="H27" i="14"/>
  <c r="D27" i="14"/>
  <c r="B27" i="14"/>
  <c r="O27" i="14"/>
  <c r="K27" i="14"/>
  <c r="O32" i="14"/>
  <c r="M33" i="14"/>
  <c r="L33" i="14"/>
  <c r="K33" i="14"/>
  <c r="O33" i="14"/>
  <c r="C33" i="14"/>
  <c r="N33" i="14"/>
  <c r="B33" i="14"/>
  <c r="I33" i="14"/>
  <c r="H33" i="14"/>
  <c r="G33" i="14"/>
  <c r="F33" i="14"/>
  <c r="G32" i="14"/>
  <c r="B26" i="14"/>
  <c r="H25" i="14"/>
  <c r="K25" i="14"/>
  <c r="J25" i="14"/>
  <c r="B25" i="14"/>
  <c r="I25" i="14"/>
  <c r="L13" i="14"/>
  <c r="D13" i="14"/>
  <c r="B14" i="14"/>
  <c r="C10" i="14"/>
  <c r="D10" i="14"/>
  <c r="B10" i="14"/>
  <c r="F10" i="14"/>
  <c r="G10" i="14"/>
  <c r="E10" i="14"/>
  <c r="E11" i="14" s="1"/>
  <c r="I13" i="14"/>
  <c r="O13" i="14"/>
  <c r="F13" i="14"/>
  <c r="K13" i="14"/>
  <c r="G13" i="14"/>
  <c r="M13" i="14"/>
  <c r="C13" i="14"/>
  <c r="J13" i="14"/>
  <c r="D14" i="14"/>
  <c r="E13" i="14"/>
  <c r="E14" i="14" s="1"/>
  <c r="H13" i="14"/>
  <c r="B13" i="14"/>
  <c r="F14" i="14"/>
  <c r="G14" i="14"/>
  <c r="C14" i="14"/>
  <c r="G16" i="14"/>
  <c r="C16" i="14"/>
  <c r="F16" i="14"/>
  <c r="E16" i="14"/>
  <c r="E17" i="14" s="1"/>
  <c r="D16" i="14"/>
  <c r="B16" i="14"/>
  <c r="D11" i="14"/>
  <c r="C11" i="14"/>
  <c r="B11" i="14"/>
  <c r="G11" i="14"/>
  <c r="F11" i="14"/>
  <c r="C20" i="14"/>
  <c r="B20" i="14"/>
  <c r="G20" i="14"/>
  <c r="F20" i="14"/>
  <c r="D20" i="14"/>
  <c r="J19" i="14"/>
  <c r="B19" i="14"/>
  <c r="I19" i="14"/>
  <c r="E19" i="14"/>
  <c r="H19" i="14"/>
  <c r="L19" i="14"/>
  <c r="O19" i="14"/>
  <c r="G19" i="14"/>
  <c r="N19" i="14"/>
  <c r="F19" i="14"/>
  <c r="M19" i="14"/>
  <c r="D19" i="14"/>
  <c r="K19" i="14"/>
  <c r="C19" i="14"/>
  <c r="D17" i="14"/>
  <c r="G17" i="14"/>
  <c r="C17" i="14"/>
  <c r="F17" i="14"/>
  <c r="B17" i="14"/>
  <c r="E195" i="8" l="1"/>
  <c r="D195" i="8"/>
  <c r="B195" i="8"/>
  <c r="A195" i="8"/>
  <c r="E194" i="8"/>
  <c r="D194" i="8"/>
  <c r="B194" i="8"/>
  <c r="A194" i="8"/>
  <c r="E193" i="8"/>
  <c r="D193" i="8"/>
  <c r="B193" i="8"/>
  <c r="A193" i="8"/>
  <c r="E192" i="8"/>
  <c r="D192" i="8"/>
  <c r="B192" i="8"/>
  <c r="A192" i="8"/>
  <c r="AD81" i="3" s="1"/>
  <c r="G5" i="13"/>
  <c r="AD16" i="3" l="1"/>
  <c r="AD17" i="3"/>
  <c r="AD18" i="3"/>
  <c r="AD19" i="3"/>
  <c r="AD25" i="3"/>
  <c r="AD84" i="3"/>
  <c r="AD85" i="3"/>
  <c r="AD86" i="3"/>
  <c r="AD91" i="3"/>
  <c r="AD78" i="3"/>
  <c r="AD80" i="3"/>
  <c r="AD79" i="3"/>
  <c r="AD4" i="3"/>
  <c r="AD37" i="3"/>
  <c r="AD61" i="3"/>
  <c r="AD103" i="3"/>
  <c r="AD95" i="3"/>
  <c r="AD82" i="3"/>
  <c r="AD70" i="3"/>
  <c r="AD62" i="3"/>
  <c r="AD54" i="3"/>
  <c r="AD46" i="3"/>
  <c r="AD38" i="3"/>
  <c r="AD30" i="3"/>
  <c r="AD22" i="3"/>
  <c r="AD10" i="3"/>
  <c r="AD53" i="3"/>
  <c r="AD9" i="3"/>
  <c r="AD101" i="3"/>
  <c r="AD93" i="3"/>
  <c r="AD76" i="3"/>
  <c r="AD68" i="3"/>
  <c r="AD60" i="3"/>
  <c r="AD52" i="3"/>
  <c r="AD44" i="3"/>
  <c r="AD36" i="3"/>
  <c r="AD28" i="3"/>
  <c r="AD20" i="3"/>
  <c r="AD8" i="3"/>
  <c r="AD94" i="3"/>
  <c r="AD45" i="3"/>
  <c r="AD100" i="3"/>
  <c r="AD92" i="3"/>
  <c r="AD75" i="3"/>
  <c r="AD67" i="3"/>
  <c r="AD59" i="3"/>
  <c r="AD51" i="3"/>
  <c r="AD43" i="3"/>
  <c r="AD35" i="3"/>
  <c r="AD27" i="3"/>
  <c r="AD15" i="3"/>
  <c r="AD7" i="3"/>
  <c r="AD77" i="3"/>
  <c r="AD21" i="3"/>
  <c r="AD99" i="3"/>
  <c r="AD89" i="3"/>
  <c r="AD74" i="3"/>
  <c r="AD66" i="3"/>
  <c r="AD58" i="3"/>
  <c r="AD50" i="3"/>
  <c r="AD42" i="3"/>
  <c r="AD34" i="3"/>
  <c r="AD26" i="3"/>
  <c r="AD14" i="3"/>
  <c r="AD6" i="3"/>
  <c r="AD69" i="3"/>
  <c r="AD29" i="3"/>
  <c r="AD106" i="3"/>
  <c r="AD98" i="3"/>
  <c r="AD88" i="3"/>
  <c r="AD73" i="3"/>
  <c r="AD65" i="3"/>
  <c r="AD57" i="3"/>
  <c r="AD49" i="3"/>
  <c r="AD41" i="3"/>
  <c r="AD33" i="3"/>
  <c r="AD13" i="3"/>
  <c r="AD3" i="3"/>
  <c r="AD105" i="3"/>
  <c r="AD97" i="3"/>
  <c r="AD87" i="3"/>
  <c r="AD72" i="3"/>
  <c r="AD64" i="3"/>
  <c r="AD56" i="3"/>
  <c r="AD48" i="3"/>
  <c r="AD40" i="3"/>
  <c r="AD32" i="3"/>
  <c r="AD24" i="3"/>
  <c r="AD12" i="3"/>
  <c r="AD5" i="3"/>
  <c r="AD102" i="3"/>
  <c r="AD104" i="3"/>
  <c r="AD96" i="3"/>
  <c r="AD83" i="3"/>
  <c r="AD71" i="3"/>
  <c r="AD63" i="3"/>
  <c r="AD55" i="3"/>
  <c r="AD47" i="3"/>
  <c r="AD39" i="3"/>
  <c r="AD31" i="3"/>
  <c r="AD23" i="3"/>
  <c r="AD11" i="3"/>
  <c r="A9" i="13"/>
  <c r="A30" i="13"/>
  <c r="A18" i="13"/>
  <c r="A15" i="13"/>
  <c r="A25" i="13"/>
  <c r="A12" i="13"/>
  <c r="A22" i="13"/>
  <c r="A21" i="13"/>
  <c r="A31" i="13"/>
  <c r="E31" i="13" s="1"/>
  <c r="A28" i="13"/>
  <c r="A16" i="13"/>
  <c r="A27" i="13"/>
  <c r="A13" i="13"/>
  <c r="A24" i="13"/>
  <c r="A10" i="13"/>
  <c r="A19" i="13"/>
  <c r="O10" i="14"/>
  <c r="N10" i="14"/>
  <c r="M10" i="14"/>
  <c r="L10" i="14"/>
  <c r="K10" i="14"/>
  <c r="J10" i="14"/>
  <c r="I10" i="14"/>
  <c r="H10" i="14"/>
  <c r="H16" i="14" l="1"/>
  <c r="H14" i="14"/>
  <c r="H11" i="14"/>
  <c r="H17" i="14"/>
  <c r="K17" i="14"/>
  <c r="K16" i="14"/>
  <c r="K11" i="14"/>
  <c r="K14" i="14"/>
  <c r="I14" i="14"/>
  <c r="I16" i="14"/>
  <c r="I17" i="14"/>
  <c r="I11" i="14"/>
  <c r="L17" i="14"/>
  <c r="L11" i="14"/>
  <c r="L14" i="14"/>
  <c r="L16" i="14"/>
  <c r="M14" i="14"/>
  <c r="M11" i="14"/>
  <c r="M16" i="14"/>
  <c r="M17" i="14"/>
  <c r="J17" i="14"/>
  <c r="J16" i="14"/>
  <c r="J11" i="14"/>
  <c r="J14" i="14"/>
  <c r="N11" i="14"/>
  <c r="N14" i="14"/>
  <c r="N17" i="14"/>
  <c r="N16" i="14"/>
  <c r="O14" i="14"/>
  <c r="O11" i="14"/>
  <c r="O16" i="14"/>
  <c r="O17" i="14"/>
  <c r="N25" i="13"/>
  <c r="B25" i="13"/>
  <c r="G25" i="13"/>
  <c r="L25" i="13"/>
  <c r="O25" i="13"/>
  <c r="M25" i="13"/>
  <c r="H25" i="13"/>
  <c r="J25" i="13"/>
  <c r="I25" i="13"/>
  <c r="C25" i="13"/>
  <c r="K25" i="13"/>
  <c r="F25" i="13"/>
  <c r="D25" i="13"/>
  <c r="O15" i="13"/>
  <c r="G15" i="13"/>
  <c r="E15" i="13"/>
  <c r="E16" i="13" s="1"/>
  <c r="D15" i="13"/>
  <c r="K15" i="13"/>
  <c r="C15" i="13"/>
  <c r="N15" i="13"/>
  <c r="F15" i="13"/>
  <c r="M15" i="13"/>
  <c r="L15" i="13"/>
  <c r="I15" i="13"/>
  <c r="H15" i="13"/>
  <c r="J15" i="13"/>
  <c r="B15" i="13"/>
  <c r="L22" i="13"/>
  <c r="D22" i="13"/>
  <c r="J22" i="13"/>
  <c r="I22" i="13"/>
  <c r="H22" i="13"/>
  <c r="K22" i="13"/>
  <c r="C22" i="13"/>
  <c r="B22" i="13"/>
  <c r="G22" i="13"/>
  <c r="F22" i="13"/>
  <c r="N22" i="13"/>
  <c r="M22" i="13"/>
  <c r="O22" i="13"/>
  <c r="K9" i="13"/>
  <c r="C9" i="13"/>
  <c r="H9" i="13"/>
  <c r="J9" i="13"/>
  <c r="B9" i="13"/>
  <c r="I9" i="13"/>
  <c r="E9" i="13"/>
  <c r="E10" i="13" s="1"/>
  <c r="D9" i="13"/>
  <c r="O9" i="13"/>
  <c r="M9" i="13"/>
  <c r="N9" i="13"/>
  <c r="G9" i="13"/>
  <c r="F9" i="13"/>
  <c r="L9" i="13"/>
  <c r="I28" i="13"/>
  <c r="H28" i="13"/>
  <c r="N28" i="13"/>
  <c r="L28" i="13"/>
  <c r="D28" i="13"/>
  <c r="O28" i="13"/>
  <c r="G28" i="13"/>
  <c r="F28" i="13"/>
  <c r="M28" i="13"/>
  <c r="J28" i="13"/>
  <c r="C28" i="13"/>
  <c r="K28" i="13"/>
  <c r="B28" i="13"/>
  <c r="I12" i="13"/>
  <c r="M12" i="13"/>
  <c r="E12" i="13"/>
  <c r="E13" i="13" s="1"/>
  <c r="C12" i="13"/>
  <c r="B12" i="13"/>
  <c r="L12" i="13"/>
  <c r="D12" i="13"/>
  <c r="K12" i="13"/>
  <c r="J12" i="13"/>
  <c r="G12" i="13"/>
  <c r="F12" i="13"/>
  <c r="N12" i="13"/>
  <c r="H12" i="13"/>
  <c r="O12" i="13"/>
  <c r="K31" i="13"/>
  <c r="C31" i="13"/>
  <c r="J31" i="13"/>
  <c r="B31" i="13"/>
  <c r="N31" i="13"/>
  <c r="F31" i="13"/>
  <c r="I31" i="13"/>
  <c r="H31" i="13"/>
  <c r="O31" i="13"/>
  <c r="G31" i="13"/>
  <c r="L31" i="13"/>
  <c r="M31" i="13"/>
  <c r="D31" i="13"/>
  <c r="J13" i="13"/>
  <c r="N13" i="13"/>
  <c r="F13" i="13"/>
  <c r="D13" i="13"/>
  <c r="C13" i="13"/>
  <c r="B13" i="13"/>
  <c r="M13" i="13"/>
  <c r="L13" i="13"/>
  <c r="K13" i="13"/>
  <c r="O13" i="13"/>
  <c r="H13" i="13"/>
  <c r="I13" i="13"/>
  <c r="G13" i="13"/>
  <c r="M24" i="13"/>
  <c r="E24" i="13"/>
  <c r="E25" i="13" s="1"/>
  <c r="K24" i="13"/>
  <c r="J24" i="13"/>
  <c r="I24" i="13"/>
  <c r="L24" i="13"/>
  <c r="D24" i="13"/>
  <c r="C24" i="13"/>
  <c r="B24" i="13"/>
  <c r="O24" i="13"/>
  <c r="H24" i="13"/>
  <c r="N24" i="13"/>
  <c r="F24" i="13"/>
  <c r="G24" i="13"/>
  <c r="H27" i="13"/>
  <c r="O27" i="13"/>
  <c r="G27" i="13"/>
  <c r="M27" i="13"/>
  <c r="D27" i="13"/>
  <c r="K27" i="13"/>
  <c r="C27" i="13"/>
  <c r="N27" i="13"/>
  <c r="F27" i="13"/>
  <c r="E27" i="13"/>
  <c r="E28" i="13" s="1"/>
  <c r="L27" i="13"/>
  <c r="I27" i="13"/>
  <c r="B27" i="13"/>
  <c r="J27" i="13"/>
  <c r="D16" i="13"/>
  <c r="H16" i="13"/>
  <c r="F16" i="13"/>
  <c r="L16" i="13"/>
  <c r="O16" i="13"/>
  <c r="G16" i="13"/>
  <c r="N16" i="13"/>
  <c r="M16" i="13"/>
  <c r="C16" i="13"/>
  <c r="B16" i="13"/>
  <c r="J16" i="13"/>
  <c r="I16" i="13"/>
  <c r="K16" i="13"/>
  <c r="B19" i="13"/>
  <c r="G19" i="13"/>
  <c r="F19" i="13"/>
  <c r="D19" i="13"/>
  <c r="C19" i="13"/>
  <c r="K21" i="13"/>
  <c r="C21" i="13"/>
  <c r="I21" i="13"/>
  <c r="H21" i="13"/>
  <c r="O21" i="13"/>
  <c r="G21" i="13"/>
  <c r="J21" i="13"/>
  <c r="B21" i="13"/>
  <c r="D21" i="13"/>
  <c r="M21" i="13"/>
  <c r="N21" i="13"/>
  <c r="F21" i="13"/>
  <c r="E21" i="13"/>
  <c r="E22" i="13" s="1"/>
  <c r="L21" i="13"/>
  <c r="L10" i="13"/>
  <c r="D10" i="13"/>
  <c r="B10" i="13"/>
  <c r="K10" i="13"/>
  <c r="C10" i="13"/>
  <c r="J10" i="13"/>
  <c r="I10" i="13"/>
  <c r="F10" i="13"/>
  <c r="M10" i="13"/>
  <c r="O10" i="13"/>
  <c r="H10" i="13"/>
  <c r="G10" i="13"/>
  <c r="N10" i="13"/>
  <c r="I18" i="13"/>
  <c r="G18" i="13"/>
  <c r="F18" i="13"/>
  <c r="M18" i="13"/>
  <c r="E18" i="13"/>
  <c r="E19" i="13" s="1"/>
  <c r="H18" i="13"/>
  <c r="O18" i="13"/>
  <c r="N18" i="13"/>
  <c r="K18" i="13"/>
  <c r="D18" i="13"/>
  <c r="B18" i="13"/>
  <c r="J18" i="13"/>
  <c r="C18" i="13"/>
  <c r="L18" i="13"/>
  <c r="J30" i="13"/>
  <c r="B30" i="13"/>
  <c r="I30" i="13"/>
  <c r="O30" i="13"/>
  <c r="N30" i="13"/>
  <c r="F30" i="13"/>
  <c r="M30" i="13"/>
  <c r="E30" i="13"/>
  <c r="H30" i="13"/>
  <c r="G30" i="13"/>
  <c r="K30" i="13"/>
  <c r="D30" i="13"/>
  <c r="C30" i="13"/>
  <c r="L30" i="13"/>
  <c r="E188" i="8"/>
  <c r="D188" i="8"/>
  <c r="B188" i="8"/>
  <c r="A188" i="8"/>
  <c r="E186" i="8"/>
  <c r="D186" i="8"/>
  <c r="B186" i="8"/>
  <c r="A186" i="8"/>
  <c r="E185" i="8"/>
  <c r="D185" i="8"/>
  <c r="B185" i="8"/>
  <c r="A185" i="8"/>
  <c r="E184" i="8"/>
  <c r="D184" i="8"/>
  <c r="B184" i="8"/>
  <c r="A184" i="8"/>
  <c r="E183" i="8"/>
  <c r="D183" i="8"/>
  <c r="B183" i="8"/>
  <c r="A183" i="8"/>
  <c r="E182" i="8"/>
  <c r="D182" i="8"/>
  <c r="B182" i="8"/>
  <c r="A182" i="8"/>
  <c r="E181" i="8"/>
  <c r="D181" i="8"/>
  <c r="B181" i="8"/>
  <c r="A181" i="8"/>
  <c r="E180" i="8"/>
  <c r="B180" i="8"/>
  <c r="A180" i="8"/>
  <c r="E179" i="8"/>
  <c r="D179" i="8"/>
  <c r="B179" i="8"/>
  <c r="A179" i="8"/>
  <c r="E178" i="8"/>
  <c r="D178" i="8"/>
  <c r="B178" i="8"/>
  <c r="A178" i="8"/>
  <c r="E177" i="8"/>
  <c r="D177" i="8"/>
  <c r="B177" i="8"/>
  <c r="A177" i="8"/>
  <c r="E176" i="8"/>
  <c r="D176" i="8"/>
  <c r="B176" i="8"/>
  <c r="A176" i="8"/>
  <c r="E175" i="8"/>
  <c r="D175" i="8"/>
  <c r="B175" i="8"/>
  <c r="A175" i="8"/>
  <c r="E174" i="8"/>
  <c r="D174" i="8"/>
  <c r="B174" i="8"/>
  <c r="A174" i="8"/>
  <c r="U28" i="12"/>
  <c r="T28" i="12"/>
  <c r="S28" i="12"/>
  <c r="R28" i="12"/>
  <c r="Q28" i="12"/>
  <c r="P28" i="12"/>
  <c r="U27" i="12"/>
  <c r="T27" i="12"/>
  <c r="S27" i="12"/>
  <c r="R27" i="12"/>
  <c r="Q27" i="12"/>
  <c r="P27" i="12"/>
  <c r="J47" i="12"/>
  <c r="J46" i="12"/>
  <c r="J45" i="12"/>
  <c r="J44" i="12"/>
  <c r="J43" i="12"/>
  <c r="J40" i="12"/>
  <c r="J39" i="12"/>
  <c r="J38" i="12"/>
  <c r="J37" i="12"/>
  <c r="J36" i="12"/>
  <c r="J35" i="12"/>
  <c r="J33" i="12"/>
  <c r="J32" i="12"/>
  <c r="J31" i="12"/>
  <c r="J30" i="12"/>
  <c r="J29" i="12"/>
  <c r="J28" i="12"/>
  <c r="J26" i="12"/>
  <c r="J25" i="12"/>
  <c r="J24" i="12"/>
  <c r="J23" i="12"/>
  <c r="J22" i="12"/>
  <c r="J21" i="12"/>
  <c r="J19" i="12"/>
  <c r="J18" i="12"/>
  <c r="J17" i="12"/>
  <c r="J16" i="12"/>
  <c r="J15" i="12"/>
  <c r="J14" i="12"/>
  <c r="J12" i="12"/>
  <c r="J11" i="12"/>
  <c r="J10" i="12"/>
  <c r="J9" i="12"/>
  <c r="J8" i="12"/>
  <c r="J7" i="12"/>
  <c r="AE81" i="3" l="1"/>
  <c r="AE18" i="3"/>
  <c r="AE16" i="3"/>
  <c r="AE19" i="3"/>
  <c r="AE17" i="3"/>
  <c r="AE84" i="3"/>
  <c r="AE85" i="3"/>
  <c r="AE86" i="3"/>
  <c r="AE91" i="3"/>
  <c r="AE25" i="3"/>
  <c r="AE78" i="3"/>
  <c r="AE80" i="3"/>
  <c r="AE79" i="3"/>
  <c r="AE3" i="3"/>
  <c r="AE89" i="3"/>
  <c r="AE7" i="3"/>
  <c r="AE15" i="3"/>
  <c r="AE27" i="3"/>
  <c r="AE35" i="3"/>
  <c r="AE43" i="3"/>
  <c r="AE51" i="3"/>
  <c r="AE59" i="3"/>
  <c r="AE67" i="3"/>
  <c r="AE75" i="3"/>
  <c r="AE92" i="3"/>
  <c r="AE100" i="3"/>
  <c r="AE9" i="3"/>
  <c r="AE29" i="3"/>
  <c r="AE45" i="3"/>
  <c r="AE61" i="3"/>
  <c r="AE77" i="3"/>
  <c r="AE102" i="3"/>
  <c r="AE22" i="3"/>
  <c r="AE38" i="3"/>
  <c r="AE54" i="3"/>
  <c r="AE70" i="3"/>
  <c r="AE95" i="3"/>
  <c r="AE103" i="3"/>
  <c r="AE41" i="3"/>
  <c r="AE65" i="3"/>
  <c r="AE98" i="3"/>
  <c r="AE14" i="3"/>
  <c r="AE42" i="3"/>
  <c r="AE66" i="3"/>
  <c r="AE8" i="3"/>
  <c r="AE20" i="3"/>
  <c r="AE28" i="3"/>
  <c r="AE36" i="3"/>
  <c r="AE44" i="3"/>
  <c r="AE52" i="3"/>
  <c r="AE60" i="3"/>
  <c r="AE68" i="3"/>
  <c r="AE76" i="3"/>
  <c r="AE93" i="3"/>
  <c r="AE101" i="3"/>
  <c r="AE21" i="3"/>
  <c r="AE37" i="3"/>
  <c r="AE53" i="3"/>
  <c r="AE69" i="3"/>
  <c r="AE94" i="3"/>
  <c r="AE10" i="3"/>
  <c r="AE30" i="3"/>
  <c r="AE46" i="3"/>
  <c r="AE62" i="3"/>
  <c r="AE82" i="3"/>
  <c r="AE49" i="3"/>
  <c r="AE73" i="3"/>
  <c r="AE106" i="3"/>
  <c r="AE26" i="3"/>
  <c r="AE50" i="3"/>
  <c r="AE74" i="3"/>
  <c r="AE99" i="3"/>
  <c r="AE11" i="3"/>
  <c r="AE23" i="3"/>
  <c r="AE31" i="3"/>
  <c r="AE39" i="3"/>
  <c r="AE47" i="3"/>
  <c r="AE55" i="3"/>
  <c r="AE63" i="3"/>
  <c r="AE71" i="3"/>
  <c r="AE83" i="3"/>
  <c r="AE96" i="3"/>
  <c r="AE104" i="3"/>
  <c r="AE5" i="3"/>
  <c r="AE12" i="3"/>
  <c r="AE24" i="3"/>
  <c r="AE32" i="3"/>
  <c r="AE40" i="3"/>
  <c r="AE48" i="3"/>
  <c r="AE56" i="3"/>
  <c r="AE64" i="3"/>
  <c r="AE72" i="3"/>
  <c r="AE87" i="3"/>
  <c r="AE97" i="3"/>
  <c r="AE105" i="3"/>
  <c r="AE4" i="3"/>
  <c r="AE13" i="3"/>
  <c r="AE33" i="3"/>
  <c r="AE57" i="3"/>
  <c r="AE88" i="3"/>
  <c r="AE6" i="3"/>
  <c r="AE34" i="3"/>
  <c r="AE58" i="3"/>
  <c r="E171" i="8" l="1"/>
  <c r="D171" i="8"/>
  <c r="B171" i="8"/>
  <c r="A171" i="8"/>
  <c r="E170" i="8"/>
  <c r="D170" i="8"/>
  <c r="B170" i="8"/>
  <c r="A170" i="8"/>
  <c r="E169" i="8"/>
  <c r="D169" i="8"/>
  <c r="B169" i="8"/>
  <c r="A169" i="8"/>
  <c r="E168" i="8"/>
  <c r="D168" i="8"/>
  <c r="B168" i="8"/>
  <c r="A168" i="8"/>
  <c r="AL81" i="3" s="1"/>
  <c r="E165" i="8"/>
  <c r="D165" i="8"/>
  <c r="B165" i="8"/>
  <c r="A165" i="8"/>
  <c r="E164" i="8"/>
  <c r="D164" i="8"/>
  <c r="B164" i="8"/>
  <c r="A164" i="8"/>
  <c r="E163" i="8"/>
  <c r="D163" i="8"/>
  <c r="B163" i="8"/>
  <c r="A163" i="8"/>
  <c r="E162" i="8"/>
  <c r="D162" i="8"/>
  <c r="B162" i="8"/>
  <c r="A162" i="8"/>
  <c r="AK81" i="3" s="1"/>
  <c r="E159" i="8"/>
  <c r="D159" i="8"/>
  <c r="B159" i="8"/>
  <c r="A159" i="8"/>
  <c r="E158" i="8"/>
  <c r="D158" i="8"/>
  <c r="B158" i="8"/>
  <c r="A158" i="8"/>
  <c r="E157" i="8"/>
  <c r="D157" i="8"/>
  <c r="B157" i="8"/>
  <c r="A157" i="8"/>
  <c r="E156" i="8"/>
  <c r="D156" i="8"/>
  <c r="B156" i="8"/>
  <c r="A156" i="8"/>
  <c r="AJ81" i="3" s="1"/>
  <c r="A153" i="8"/>
  <c r="B153" i="8"/>
  <c r="D153" i="8"/>
  <c r="E153" i="8"/>
  <c r="AJ16" i="3" l="1"/>
  <c r="AJ17" i="3"/>
  <c r="AJ18" i="3"/>
  <c r="AJ19" i="3"/>
  <c r="AK18" i="3"/>
  <c r="AK16" i="3"/>
  <c r="AK17" i="3"/>
  <c r="AK19" i="3"/>
  <c r="AL16" i="3"/>
  <c r="AL17" i="3"/>
  <c r="AL18" i="3"/>
  <c r="AL19" i="3"/>
  <c r="AJ25" i="3"/>
  <c r="AJ84" i="3"/>
  <c r="AJ85" i="3"/>
  <c r="AJ86" i="3"/>
  <c r="AJ91" i="3"/>
  <c r="AK25" i="3"/>
  <c r="AK84" i="3"/>
  <c r="AK85" i="3"/>
  <c r="AK86" i="3"/>
  <c r="AK91" i="3"/>
  <c r="AL25" i="3"/>
  <c r="AL84" i="3"/>
  <c r="AL85" i="3"/>
  <c r="AL86" i="3"/>
  <c r="AL91" i="3"/>
  <c r="AJ3" i="3"/>
  <c r="AJ78" i="3"/>
  <c r="AJ80" i="3"/>
  <c r="AJ79" i="3"/>
  <c r="AK78" i="3"/>
  <c r="AK80" i="3"/>
  <c r="AK79" i="3"/>
  <c r="AL78" i="3"/>
  <c r="AL80" i="3"/>
  <c r="AL79" i="3"/>
  <c r="AK3" i="3"/>
  <c r="AL3" i="3"/>
  <c r="AK10" i="3"/>
  <c r="AK22" i="3"/>
  <c r="AK30" i="3"/>
  <c r="AK38" i="3"/>
  <c r="AK46" i="3"/>
  <c r="AK54" i="3"/>
  <c r="AK62" i="3"/>
  <c r="AK70" i="3"/>
  <c r="AK82" i="3"/>
  <c r="AK95" i="3"/>
  <c r="AK103" i="3"/>
  <c r="AK5" i="3"/>
  <c r="AK24" i="3"/>
  <c r="AK40" i="3"/>
  <c r="AK56" i="3"/>
  <c r="AK64" i="3"/>
  <c r="AK87" i="3"/>
  <c r="AK105" i="3"/>
  <c r="AK11" i="3"/>
  <c r="AK23" i="3"/>
  <c r="AK31" i="3"/>
  <c r="AK39" i="3"/>
  <c r="AK47" i="3"/>
  <c r="AK55" i="3"/>
  <c r="AK63" i="3"/>
  <c r="AK71" i="3"/>
  <c r="AK83" i="3"/>
  <c r="AK96" i="3"/>
  <c r="AK104" i="3"/>
  <c r="AK12" i="3"/>
  <c r="AK32" i="3"/>
  <c r="AK48" i="3"/>
  <c r="AK72" i="3"/>
  <c r="AK97" i="3"/>
  <c r="AK4" i="3"/>
  <c r="AK13" i="3"/>
  <c r="AK33" i="3"/>
  <c r="AK41" i="3"/>
  <c r="AK49" i="3"/>
  <c r="AK57" i="3"/>
  <c r="AK65" i="3"/>
  <c r="AK73" i="3"/>
  <c r="AK88" i="3"/>
  <c r="AK98" i="3"/>
  <c r="AK106" i="3"/>
  <c r="AK7" i="3"/>
  <c r="AK27" i="3"/>
  <c r="AK43" i="3"/>
  <c r="AK51" i="3"/>
  <c r="AK67" i="3"/>
  <c r="AK100" i="3"/>
  <c r="AK6" i="3"/>
  <c r="AK14" i="3"/>
  <c r="AK26" i="3"/>
  <c r="AK34" i="3"/>
  <c r="AK42" i="3"/>
  <c r="AK50" i="3"/>
  <c r="AK58" i="3"/>
  <c r="AK66" i="3"/>
  <c r="AK74" i="3"/>
  <c r="AK89" i="3"/>
  <c r="AK99" i="3"/>
  <c r="AK15" i="3"/>
  <c r="AK35" i="3"/>
  <c r="AK59" i="3"/>
  <c r="AK92" i="3"/>
  <c r="AK75" i="3"/>
  <c r="AK8" i="3"/>
  <c r="AK20" i="3"/>
  <c r="AK28" i="3"/>
  <c r="AK36" i="3"/>
  <c r="AK44" i="3"/>
  <c r="AK52" i="3"/>
  <c r="AK60" i="3"/>
  <c r="AK68" i="3"/>
  <c r="AK76" i="3"/>
  <c r="AK93" i="3"/>
  <c r="AK101" i="3"/>
  <c r="AK9" i="3"/>
  <c r="AK21" i="3"/>
  <c r="AK29" i="3"/>
  <c r="AK37" i="3"/>
  <c r="AK45" i="3"/>
  <c r="AK53" i="3"/>
  <c r="AK61" i="3"/>
  <c r="AK69" i="3"/>
  <c r="AK77" i="3"/>
  <c r="AK94" i="3"/>
  <c r="AK102" i="3"/>
  <c r="AJ8" i="3"/>
  <c r="AJ20" i="3"/>
  <c r="AJ28" i="3"/>
  <c r="AJ36" i="3"/>
  <c r="AJ44" i="3"/>
  <c r="AJ52" i="3"/>
  <c r="AJ60" i="3"/>
  <c r="AJ68" i="3"/>
  <c r="AJ76" i="3"/>
  <c r="AJ93" i="3"/>
  <c r="AJ101" i="3"/>
  <c r="AJ22" i="3"/>
  <c r="AJ38" i="3"/>
  <c r="AJ54" i="3"/>
  <c r="AJ70" i="3"/>
  <c r="AJ95" i="3"/>
  <c r="AJ9" i="3"/>
  <c r="AJ21" i="3"/>
  <c r="AJ29" i="3"/>
  <c r="AJ37" i="3"/>
  <c r="AJ45" i="3"/>
  <c r="AJ53" i="3"/>
  <c r="AJ61" i="3"/>
  <c r="AJ69" i="3"/>
  <c r="AJ77" i="3"/>
  <c r="AJ94" i="3"/>
  <c r="AJ102" i="3"/>
  <c r="AJ10" i="3"/>
  <c r="AJ30" i="3"/>
  <c r="AJ46" i="3"/>
  <c r="AJ62" i="3"/>
  <c r="AJ82" i="3"/>
  <c r="AJ103" i="3"/>
  <c r="AJ11" i="3"/>
  <c r="AJ23" i="3"/>
  <c r="AJ31" i="3"/>
  <c r="AJ39" i="3"/>
  <c r="AJ47" i="3"/>
  <c r="AJ55" i="3"/>
  <c r="AJ63" i="3"/>
  <c r="AJ71" i="3"/>
  <c r="AJ83" i="3"/>
  <c r="AJ96" i="3"/>
  <c r="AJ104" i="3"/>
  <c r="AJ13" i="3"/>
  <c r="AJ33" i="3"/>
  <c r="AJ49" i="3"/>
  <c r="AJ65" i="3"/>
  <c r="AJ88" i="3"/>
  <c r="AJ106" i="3"/>
  <c r="AJ5" i="3"/>
  <c r="AJ12" i="3"/>
  <c r="AJ24" i="3"/>
  <c r="AJ32" i="3"/>
  <c r="AJ40" i="3"/>
  <c r="AJ48" i="3"/>
  <c r="AJ56" i="3"/>
  <c r="AJ64" i="3"/>
  <c r="AJ72" i="3"/>
  <c r="AJ87" i="3"/>
  <c r="AJ97" i="3"/>
  <c r="AJ105" i="3"/>
  <c r="AJ4" i="3"/>
  <c r="AJ41" i="3"/>
  <c r="AJ57" i="3"/>
  <c r="AJ73" i="3"/>
  <c r="AJ98" i="3"/>
  <c r="AJ6" i="3"/>
  <c r="AJ14" i="3"/>
  <c r="AJ26" i="3"/>
  <c r="AJ34" i="3"/>
  <c r="AJ42" i="3"/>
  <c r="AJ50" i="3"/>
  <c r="AJ58" i="3"/>
  <c r="AJ66" i="3"/>
  <c r="AJ74" i="3"/>
  <c r="AJ89" i="3"/>
  <c r="AJ99" i="3"/>
  <c r="AJ7" i="3"/>
  <c r="AJ15" i="3"/>
  <c r="AJ27" i="3"/>
  <c r="AJ35" i="3"/>
  <c r="AJ43" i="3"/>
  <c r="AJ51" i="3"/>
  <c r="AJ59" i="3"/>
  <c r="AJ67" i="3"/>
  <c r="AJ75" i="3"/>
  <c r="AJ92" i="3"/>
  <c r="AJ100" i="3"/>
  <c r="AL5" i="3"/>
  <c r="AL12" i="3"/>
  <c r="AL24" i="3"/>
  <c r="AL32" i="3"/>
  <c r="AL40" i="3"/>
  <c r="AL48" i="3"/>
  <c r="AL56" i="3"/>
  <c r="AL64" i="3"/>
  <c r="AL72" i="3"/>
  <c r="AL87" i="3"/>
  <c r="AL97" i="3"/>
  <c r="AL105" i="3"/>
  <c r="AL26" i="3"/>
  <c r="AL34" i="3"/>
  <c r="AL50" i="3"/>
  <c r="AL66" i="3"/>
  <c r="AL89" i="3"/>
  <c r="AL4" i="3"/>
  <c r="AL13" i="3"/>
  <c r="AL33" i="3"/>
  <c r="AL41" i="3"/>
  <c r="AL49" i="3"/>
  <c r="AL57" i="3"/>
  <c r="AL65" i="3"/>
  <c r="AL73" i="3"/>
  <c r="AL88" i="3"/>
  <c r="AL98" i="3"/>
  <c r="AL106" i="3"/>
  <c r="AL14" i="3"/>
  <c r="AL42" i="3"/>
  <c r="AL58" i="3"/>
  <c r="AL74" i="3"/>
  <c r="AL99" i="3"/>
  <c r="AL6" i="3"/>
  <c r="AL7" i="3"/>
  <c r="AL15" i="3"/>
  <c r="AL27" i="3"/>
  <c r="AL35" i="3"/>
  <c r="AL43" i="3"/>
  <c r="AL51" i="3"/>
  <c r="AL59" i="3"/>
  <c r="AL67" i="3"/>
  <c r="AL75" i="3"/>
  <c r="AL92" i="3"/>
  <c r="AL100" i="3"/>
  <c r="AL29" i="3"/>
  <c r="AL53" i="3"/>
  <c r="AL69" i="3"/>
  <c r="AL94" i="3"/>
  <c r="AL8" i="3"/>
  <c r="AL20" i="3"/>
  <c r="AL28" i="3"/>
  <c r="AL36" i="3"/>
  <c r="AL44" i="3"/>
  <c r="AL52" i="3"/>
  <c r="AL60" i="3"/>
  <c r="AL68" i="3"/>
  <c r="AL76" i="3"/>
  <c r="AL93" i="3"/>
  <c r="AL101" i="3"/>
  <c r="AL37" i="3"/>
  <c r="AL45" i="3"/>
  <c r="AL61" i="3"/>
  <c r="AL77" i="3"/>
  <c r="AL102" i="3"/>
  <c r="AL9" i="3"/>
  <c r="AL21" i="3"/>
  <c r="AL10" i="3"/>
  <c r="AL22" i="3"/>
  <c r="AL30" i="3"/>
  <c r="AL38" i="3"/>
  <c r="AL46" i="3"/>
  <c r="AL54" i="3"/>
  <c r="AL62" i="3"/>
  <c r="AL70" i="3"/>
  <c r="AL82" i="3"/>
  <c r="AL95" i="3"/>
  <c r="AL103" i="3"/>
  <c r="AL31" i="3"/>
  <c r="AL39" i="3"/>
  <c r="AL47" i="3"/>
  <c r="AL55" i="3"/>
  <c r="AL63" i="3"/>
  <c r="AL71" i="3"/>
  <c r="AL83" i="3"/>
  <c r="AL96" i="3"/>
  <c r="AL104" i="3"/>
  <c r="AL11" i="3"/>
  <c r="AL23" i="3"/>
  <c r="E152" i="8"/>
  <c r="D152" i="8"/>
  <c r="B152" i="8"/>
  <c r="A152" i="8"/>
  <c r="E151" i="8"/>
  <c r="D151" i="8"/>
  <c r="B151" i="8"/>
  <c r="A151" i="8"/>
  <c r="E150" i="8"/>
  <c r="D150" i="8"/>
  <c r="B150" i="8"/>
  <c r="A150" i="8"/>
  <c r="E149" i="8"/>
  <c r="D149" i="8"/>
  <c r="B149" i="8"/>
  <c r="A149" i="8"/>
  <c r="E148" i="8"/>
  <c r="D148" i="8"/>
  <c r="B148" i="8"/>
  <c r="A148" i="8"/>
  <c r="E147" i="8"/>
  <c r="D147" i="8"/>
  <c r="B147" i="8"/>
  <c r="A147" i="8"/>
  <c r="E146" i="8"/>
  <c r="D146" i="8"/>
  <c r="B146" i="8"/>
  <c r="A146" i="8"/>
  <c r="E145" i="8"/>
  <c r="D145" i="8"/>
  <c r="B145" i="8"/>
  <c r="A145" i="8"/>
  <c r="E143" i="8"/>
  <c r="D143" i="8"/>
  <c r="B143" i="8"/>
  <c r="A143" i="8"/>
  <c r="E142" i="8"/>
  <c r="D142" i="8"/>
  <c r="B142" i="8"/>
  <c r="A142" i="8"/>
  <c r="E141" i="8"/>
  <c r="D141" i="8"/>
  <c r="B141" i="8"/>
  <c r="A141" i="8"/>
  <c r="E140" i="8"/>
  <c r="D140" i="8"/>
  <c r="B140" i="8"/>
  <c r="A140" i="8"/>
  <c r="E139" i="8"/>
  <c r="D139" i="8"/>
  <c r="B139" i="8"/>
  <c r="A139" i="8"/>
  <c r="E138" i="8"/>
  <c r="D138" i="8"/>
  <c r="B138" i="8"/>
  <c r="A138" i="8"/>
  <c r="E137" i="8"/>
  <c r="D137" i="8"/>
  <c r="B137" i="8"/>
  <c r="A137" i="8"/>
  <c r="AI81" i="3" s="1"/>
  <c r="AI16" i="3" l="1"/>
  <c r="AI18" i="3"/>
  <c r="AI17" i="3"/>
  <c r="AI19" i="3"/>
  <c r="AI84" i="3"/>
  <c r="AI85" i="3"/>
  <c r="AI86" i="3"/>
  <c r="AI91" i="3"/>
  <c r="AI25" i="3"/>
  <c r="AI78" i="3"/>
  <c r="AI80" i="3"/>
  <c r="AI79" i="3"/>
  <c r="AI3" i="3"/>
  <c r="AI47" i="3"/>
  <c r="AI75" i="3"/>
  <c r="AI65" i="3"/>
  <c r="AI95" i="3"/>
  <c r="AI66" i="3"/>
  <c r="AI68" i="3"/>
  <c r="AI63" i="3"/>
  <c r="AI69" i="3"/>
  <c r="AI92" i="3"/>
  <c r="AI93" i="3"/>
  <c r="AI64" i="3"/>
  <c r="AI67" i="3"/>
  <c r="AI70" i="3"/>
  <c r="AI94" i="3"/>
  <c r="AI57" i="3"/>
  <c r="AI59" i="3"/>
  <c r="AI50" i="3"/>
  <c r="AI42" i="3"/>
  <c r="AI34" i="3"/>
  <c r="AI7" i="3"/>
  <c r="AI26" i="3"/>
  <c r="AI104" i="3"/>
  <c r="AI14" i="3"/>
  <c r="AI96" i="3"/>
  <c r="AI103" i="3"/>
  <c r="AI89" i="3"/>
  <c r="AI74" i="3"/>
  <c r="AI58" i="3"/>
  <c r="AI49" i="3"/>
  <c r="AI41" i="3"/>
  <c r="AI33" i="3"/>
  <c r="AI13" i="3"/>
  <c r="AI4" i="3"/>
  <c r="AI102" i="3"/>
  <c r="AI88" i="3"/>
  <c r="AI73" i="3"/>
  <c r="AI56" i="3"/>
  <c r="AI48" i="3"/>
  <c r="AI40" i="3"/>
  <c r="AI32" i="3"/>
  <c r="AI24" i="3"/>
  <c r="AI12" i="3"/>
  <c r="AI5" i="3"/>
  <c r="AI101" i="3"/>
  <c r="AI72" i="3"/>
  <c r="AI31" i="3"/>
  <c r="AI23" i="3"/>
  <c r="AI100" i="3"/>
  <c r="AI83" i="3"/>
  <c r="AI71" i="3"/>
  <c r="AI54" i="3"/>
  <c r="AI46" i="3"/>
  <c r="AI38" i="3"/>
  <c r="AI30" i="3"/>
  <c r="AI22" i="3"/>
  <c r="AI10" i="3"/>
  <c r="AI87" i="3"/>
  <c r="AI55" i="3"/>
  <c r="AI39" i="3"/>
  <c r="AI11" i="3"/>
  <c r="AI99" i="3"/>
  <c r="AI82" i="3"/>
  <c r="AI62" i="3"/>
  <c r="AI53" i="3"/>
  <c r="AI45" i="3"/>
  <c r="AI37" i="3"/>
  <c r="AI29" i="3"/>
  <c r="AI21" i="3"/>
  <c r="AI9" i="3"/>
  <c r="AI6" i="3"/>
  <c r="AI106" i="3"/>
  <c r="AI98" i="3"/>
  <c r="AI77" i="3"/>
  <c r="AI61" i="3"/>
  <c r="AI52" i="3"/>
  <c r="AI44" i="3"/>
  <c r="AI36" i="3"/>
  <c r="AI28" i="3"/>
  <c r="AI20" i="3"/>
  <c r="AI8" i="3"/>
  <c r="AI105" i="3"/>
  <c r="AI97" i="3"/>
  <c r="AI76" i="3"/>
  <c r="AI60" i="3"/>
  <c r="AI51" i="3"/>
  <c r="AI43" i="3"/>
  <c r="AI35" i="3"/>
  <c r="AI27" i="3"/>
  <c r="AI15" i="3"/>
  <c r="E133" i="8"/>
  <c r="D133" i="8"/>
  <c r="B133" i="8"/>
  <c r="A133" i="8"/>
  <c r="E132" i="8"/>
  <c r="D132" i="8"/>
  <c r="B132" i="8"/>
  <c r="A132" i="8"/>
  <c r="E131" i="8"/>
  <c r="D131" i="8"/>
  <c r="B131" i="8"/>
  <c r="A131" i="8"/>
  <c r="E130" i="8"/>
  <c r="D130" i="8"/>
  <c r="B130" i="8"/>
  <c r="A130" i="8"/>
  <c r="AA81" i="3" l="1"/>
  <c r="AA17" i="3"/>
  <c r="AA16" i="3"/>
  <c r="AA18" i="3"/>
  <c r="AA19" i="3"/>
  <c r="AA25" i="3"/>
  <c r="AA84" i="3"/>
  <c r="AA85" i="3"/>
  <c r="AA86" i="3"/>
  <c r="AA91" i="3"/>
  <c r="AA78" i="3"/>
  <c r="AA80" i="3"/>
  <c r="AA79" i="3"/>
  <c r="AA3" i="3"/>
  <c r="AA57" i="3"/>
  <c r="AA70" i="3"/>
  <c r="AA92" i="3"/>
  <c r="AA93" i="3"/>
  <c r="AA65" i="3"/>
  <c r="AA95" i="3"/>
  <c r="AA66" i="3"/>
  <c r="AA68" i="3"/>
  <c r="AA64" i="3"/>
  <c r="AA67" i="3"/>
  <c r="AA63" i="3"/>
  <c r="AA69" i="3"/>
  <c r="AA94" i="3"/>
  <c r="AA7" i="3"/>
  <c r="AA15" i="3"/>
  <c r="AA27" i="3"/>
  <c r="AA35" i="3"/>
  <c r="AA43" i="3"/>
  <c r="AA51" i="3"/>
  <c r="AA60" i="3"/>
  <c r="AA76" i="3"/>
  <c r="AA97" i="3"/>
  <c r="AA105" i="3"/>
  <c r="AA21" i="3"/>
  <c r="AA45" i="3"/>
  <c r="AA82" i="3"/>
  <c r="AA99" i="3"/>
  <c r="AA46" i="3"/>
  <c r="AA100" i="3"/>
  <c r="AA39" i="3"/>
  <c r="AA101" i="3"/>
  <c r="AA34" i="3"/>
  <c r="AA8" i="3"/>
  <c r="AA20" i="3"/>
  <c r="AA28" i="3"/>
  <c r="AA36" i="3"/>
  <c r="AA44" i="3"/>
  <c r="AA52" i="3"/>
  <c r="AA61" i="3"/>
  <c r="AA77" i="3"/>
  <c r="AA98" i="3"/>
  <c r="AA106" i="3"/>
  <c r="AA9" i="3"/>
  <c r="AA37" i="3"/>
  <c r="AA62" i="3"/>
  <c r="AA10" i="3"/>
  <c r="AA30" i="3"/>
  <c r="AA71" i="3"/>
  <c r="AA47" i="3"/>
  <c r="AA42" i="3"/>
  <c r="AA29" i="3"/>
  <c r="AA53" i="3"/>
  <c r="AA22" i="3"/>
  <c r="AA38" i="3"/>
  <c r="AA83" i="3"/>
  <c r="AA11" i="3"/>
  <c r="AA55" i="3"/>
  <c r="AA26" i="3"/>
  <c r="AA96" i="3"/>
  <c r="AA54" i="3"/>
  <c r="AA23" i="3"/>
  <c r="AA72" i="3"/>
  <c r="AA104" i="3"/>
  <c r="AA31" i="3"/>
  <c r="AA87" i="3"/>
  <c r="AA59" i="3"/>
  <c r="AA5" i="3"/>
  <c r="AA12" i="3"/>
  <c r="AA24" i="3"/>
  <c r="AA32" i="3"/>
  <c r="AA40" i="3"/>
  <c r="AA48" i="3"/>
  <c r="AA56" i="3"/>
  <c r="AA73" i="3"/>
  <c r="AA88" i="3"/>
  <c r="AA102" i="3"/>
  <c r="AA13" i="3"/>
  <c r="AA41" i="3"/>
  <c r="AA58" i="3"/>
  <c r="AA89" i="3"/>
  <c r="AA14" i="3"/>
  <c r="AA50" i="3"/>
  <c r="AA4" i="3"/>
  <c r="AA33" i="3"/>
  <c r="AA49" i="3"/>
  <c r="AA74" i="3"/>
  <c r="AA103" i="3"/>
  <c r="AA6" i="3"/>
  <c r="AA75" i="3"/>
  <c r="E127" i="8"/>
  <c r="D127" i="8"/>
  <c r="B127" i="8"/>
  <c r="A127" i="8"/>
  <c r="E126" i="8"/>
  <c r="D126" i="8"/>
  <c r="B126" i="8"/>
  <c r="A126" i="8"/>
  <c r="E125" i="8"/>
  <c r="D125" i="8"/>
  <c r="B125" i="8"/>
  <c r="A125" i="8"/>
  <c r="E124" i="8"/>
  <c r="D124" i="8"/>
  <c r="B124" i="8"/>
  <c r="A124" i="8"/>
  <c r="E123" i="8"/>
  <c r="D123" i="8"/>
  <c r="B123" i="8"/>
  <c r="A123" i="8"/>
  <c r="E122" i="8"/>
  <c r="D122" i="8"/>
  <c r="B122" i="8"/>
  <c r="A122" i="8"/>
  <c r="E121" i="8"/>
  <c r="D121" i="8"/>
  <c r="B121" i="8"/>
  <c r="A121" i="8"/>
  <c r="AC81" i="3" l="1"/>
  <c r="AC18" i="3"/>
  <c r="AC19" i="3"/>
  <c r="AC16" i="3"/>
  <c r="AC17" i="3"/>
  <c r="AC84" i="3"/>
  <c r="AC85" i="3"/>
  <c r="AC86" i="3"/>
  <c r="AC91" i="3"/>
  <c r="AC25" i="3"/>
  <c r="AC78" i="3"/>
  <c r="AC80" i="3"/>
  <c r="AC79" i="3"/>
  <c r="AC3" i="3"/>
  <c r="AC67" i="3"/>
  <c r="AC68" i="3"/>
  <c r="AC57" i="3"/>
  <c r="AC70" i="3"/>
  <c r="AC92" i="3"/>
  <c r="AC93" i="3"/>
  <c r="AC65" i="3"/>
  <c r="AC95" i="3"/>
  <c r="AC69" i="3"/>
  <c r="AC94" i="3"/>
  <c r="AC66" i="3"/>
  <c r="AC63" i="3"/>
  <c r="AC64" i="3"/>
  <c r="AC8" i="3"/>
  <c r="AC20" i="3"/>
  <c r="AC28" i="3"/>
  <c r="AC36" i="3"/>
  <c r="AC44" i="3"/>
  <c r="AC52" i="3"/>
  <c r="AC61" i="3"/>
  <c r="AC77" i="3"/>
  <c r="AC98" i="3"/>
  <c r="AC106" i="3"/>
  <c r="AC11" i="3"/>
  <c r="AC31" i="3"/>
  <c r="AC47" i="3"/>
  <c r="AC87" i="3"/>
  <c r="AC41" i="3"/>
  <c r="AC89" i="3"/>
  <c r="AC51" i="3"/>
  <c r="AC9" i="3"/>
  <c r="AC21" i="3"/>
  <c r="AC29" i="3"/>
  <c r="AC37" i="3"/>
  <c r="AC45" i="3"/>
  <c r="AC53" i="3"/>
  <c r="AC62" i="3"/>
  <c r="AC82" i="3"/>
  <c r="AC99" i="3"/>
  <c r="AC23" i="3"/>
  <c r="AC55" i="3"/>
  <c r="AC72" i="3"/>
  <c r="AC33" i="3"/>
  <c r="AC74" i="3"/>
  <c r="AC60" i="3"/>
  <c r="AC10" i="3"/>
  <c r="AC22" i="3"/>
  <c r="AC30" i="3"/>
  <c r="AC38" i="3"/>
  <c r="AC46" i="3"/>
  <c r="AC54" i="3"/>
  <c r="AC71" i="3"/>
  <c r="AC83" i="3"/>
  <c r="AC100" i="3"/>
  <c r="AC39" i="3"/>
  <c r="AC101" i="3"/>
  <c r="AC49" i="3"/>
  <c r="AC103" i="3"/>
  <c r="AC97" i="3"/>
  <c r="AC5" i="3"/>
  <c r="AC12" i="3"/>
  <c r="AC24" i="3"/>
  <c r="AC32" i="3"/>
  <c r="AC40" i="3"/>
  <c r="AC48" i="3"/>
  <c r="AC56" i="3"/>
  <c r="AC73" i="3"/>
  <c r="AC88" i="3"/>
  <c r="AC102" i="3"/>
  <c r="AC4" i="3"/>
  <c r="AC13" i="3"/>
  <c r="AC58" i="3"/>
  <c r="AC43" i="3"/>
  <c r="AC105" i="3"/>
  <c r="AC6" i="3"/>
  <c r="AC14" i="3"/>
  <c r="AC26" i="3"/>
  <c r="AC34" i="3"/>
  <c r="AC42" i="3"/>
  <c r="AC50" i="3"/>
  <c r="AC59" i="3"/>
  <c r="AC75" i="3"/>
  <c r="AC96" i="3"/>
  <c r="AC104" i="3"/>
  <c r="AC7" i="3"/>
  <c r="AC15" i="3"/>
  <c r="AC27" i="3"/>
  <c r="AC35" i="3"/>
  <c r="AC76" i="3"/>
  <c r="E118" i="8"/>
  <c r="D118" i="8"/>
  <c r="B118" i="8"/>
  <c r="A118" i="8"/>
  <c r="E117" i="8"/>
  <c r="D117" i="8"/>
  <c r="B117" i="8"/>
  <c r="A117" i="8"/>
  <c r="E116" i="8"/>
  <c r="D116" i="8"/>
  <c r="B116" i="8"/>
  <c r="A116" i="8"/>
  <c r="E115" i="8"/>
  <c r="D115" i="8"/>
  <c r="B115" i="8"/>
  <c r="A115" i="8"/>
  <c r="E114" i="8"/>
  <c r="D114" i="8"/>
  <c r="B114" i="8"/>
  <c r="A114" i="8"/>
  <c r="E113" i="8"/>
  <c r="D113" i="8"/>
  <c r="B113" i="8"/>
  <c r="A113" i="8"/>
  <c r="E112" i="8"/>
  <c r="D112" i="8"/>
  <c r="B112" i="8"/>
  <c r="A112" i="8"/>
  <c r="E111" i="8"/>
  <c r="D111" i="8"/>
  <c r="B111" i="8"/>
  <c r="A111" i="8"/>
  <c r="E110" i="8"/>
  <c r="D110" i="8"/>
  <c r="B110" i="8"/>
  <c r="A110" i="8"/>
  <c r="E109" i="8"/>
  <c r="D109" i="8"/>
  <c r="B109" i="8"/>
  <c r="A109" i="8"/>
  <c r="E108" i="8"/>
  <c r="D108" i="8"/>
  <c r="B108" i="8"/>
  <c r="A108" i="8"/>
  <c r="E107" i="8"/>
  <c r="D107" i="8"/>
  <c r="B107" i="8"/>
  <c r="A107" i="8"/>
  <c r="E106" i="8"/>
  <c r="D106" i="8"/>
  <c r="B106" i="8"/>
  <c r="A106" i="8"/>
  <c r="E105" i="8"/>
  <c r="D105" i="8"/>
  <c r="B105" i="8"/>
  <c r="A105" i="8"/>
  <c r="E104" i="8"/>
  <c r="D104" i="8"/>
  <c r="B104" i="8"/>
  <c r="A104" i="8"/>
  <c r="AB81" i="3" l="1"/>
  <c r="AB17" i="3"/>
  <c r="AB16" i="3"/>
  <c r="AB18" i="3"/>
  <c r="AB19" i="3"/>
  <c r="AB84" i="3"/>
  <c r="AB85" i="3"/>
  <c r="AB86" i="3"/>
  <c r="AB91" i="3"/>
  <c r="AB25" i="3"/>
  <c r="AB78" i="3"/>
  <c r="AB80" i="3"/>
  <c r="AB79" i="3"/>
  <c r="AB3" i="3"/>
  <c r="AB64" i="3"/>
  <c r="AB94" i="3"/>
  <c r="AB65" i="3"/>
  <c r="AB95" i="3"/>
  <c r="AB67" i="3"/>
  <c r="AB68" i="3"/>
  <c r="AB57" i="3"/>
  <c r="AB70" i="3"/>
  <c r="AB63" i="3"/>
  <c r="AB92" i="3"/>
  <c r="AB66" i="3"/>
  <c r="AB93" i="3"/>
  <c r="AB69" i="3"/>
  <c r="AB11" i="3"/>
  <c r="AB23" i="3"/>
  <c r="AB31" i="3"/>
  <c r="AB39" i="3"/>
  <c r="AB47" i="3"/>
  <c r="AB73" i="3"/>
  <c r="AB102" i="3"/>
  <c r="AB77" i="3"/>
  <c r="AB83" i="3"/>
  <c r="AB5" i="3"/>
  <c r="AB12" i="3"/>
  <c r="AB24" i="3"/>
  <c r="AB32" i="3"/>
  <c r="AB40" i="3"/>
  <c r="AB48" i="3"/>
  <c r="AB76" i="3"/>
  <c r="AB103" i="3"/>
  <c r="AB97" i="3"/>
  <c r="AB60" i="3"/>
  <c r="AB4" i="3"/>
  <c r="AB13" i="3"/>
  <c r="AB33" i="3"/>
  <c r="AB41" i="3"/>
  <c r="AB49" i="3"/>
  <c r="AB87" i="3"/>
  <c r="AB104" i="3"/>
  <c r="AB99" i="3"/>
  <c r="AB59" i="3"/>
  <c r="AB6" i="3"/>
  <c r="AB14" i="3"/>
  <c r="AB26" i="3"/>
  <c r="AB34" i="3"/>
  <c r="AB42" i="3"/>
  <c r="AB50" i="3"/>
  <c r="AB88" i="3"/>
  <c r="AB105" i="3"/>
  <c r="AB51" i="3"/>
  <c r="AB58" i="3"/>
  <c r="AB7" i="3"/>
  <c r="AB15" i="3"/>
  <c r="AB27" i="3"/>
  <c r="AB35" i="3"/>
  <c r="AB43" i="3"/>
  <c r="AB55" i="3"/>
  <c r="AB89" i="3"/>
  <c r="AB106" i="3"/>
  <c r="AB52" i="3"/>
  <c r="AB62" i="3"/>
  <c r="AB8" i="3"/>
  <c r="AB20" i="3"/>
  <c r="AB28" i="3"/>
  <c r="AB36" i="3"/>
  <c r="AB44" i="3"/>
  <c r="AB56" i="3"/>
  <c r="AB98" i="3"/>
  <c r="AB74" i="3"/>
  <c r="AB53" i="3"/>
  <c r="AB61" i="3"/>
  <c r="AB22" i="3"/>
  <c r="AB30" i="3"/>
  <c r="AB46" i="3"/>
  <c r="AB101" i="3"/>
  <c r="AB9" i="3"/>
  <c r="AB21" i="3"/>
  <c r="AB29" i="3"/>
  <c r="AB37" i="3"/>
  <c r="AB45" i="3"/>
  <c r="AB71" i="3"/>
  <c r="AB100" i="3"/>
  <c r="AB96" i="3"/>
  <c r="AB54" i="3"/>
  <c r="AB10" i="3"/>
  <c r="AB38" i="3"/>
  <c r="AB72" i="3"/>
  <c r="AB75" i="3"/>
  <c r="AB82" i="3"/>
  <c r="P8" i="10"/>
  <c r="P7" i="10"/>
  <c r="A40" i="10" s="1"/>
  <c r="A42" i="10" l="1"/>
  <c r="K42" i="10" s="1"/>
  <c r="A39" i="10"/>
  <c r="F39" i="10" s="1"/>
  <c r="A38" i="10"/>
  <c r="C40" i="10"/>
  <c r="B40" i="10"/>
  <c r="G40" i="10"/>
  <c r="D40" i="10"/>
  <c r="F40" i="10"/>
  <c r="G39" i="10" l="1"/>
  <c r="B39" i="10"/>
  <c r="D39" i="10"/>
  <c r="M42" i="10"/>
  <c r="F42" i="10"/>
  <c r="L42" i="10"/>
  <c r="N42" i="10"/>
  <c r="B42" i="10"/>
  <c r="G42" i="10"/>
  <c r="D42" i="10"/>
  <c r="J42" i="10"/>
  <c r="C42" i="10"/>
  <c r="I42" i="10"/>
  <c r="H42" i="10"/>
  <c r="O42" i="10"/>
  <c r="C39" i="10"/>
  <c r="A44" i="10" l="1"/>
  <c r="A43" i="10"/>
  <c r="F44" i="10" l="1"/>
  <c r="D44" i="10"/>
  <c r="C44" i="10"/>
  <c r="B44" i="10"/>
  <c r="G44" i="10"/>
  <c r="D43" i="10"/>
  <c r="F43" i="10"/>
  <c r="B43" i="10"/>
  <c r="G43" i="10"/>
  <c r="C43" i="10"/>
  <c r="G8" i="10"/>
  <c r="G7" i="10"/>
  <c r="P9" i="10" s="1"/>
  <c r="G6" i="10" l="1"/>
  <c r="G5" i="10"/>
  <c r="G6" i="5" l="1"/>
  <c r="G5" i="5"/>
  <c r="H40" i="10" l="1"/>
  <c r="H39" i="10"/>
  <c r="H43" i="10"/>
  <c r="H44" i="10"/>
  <c r="I40" i="10"/>
  <c r="I39" i="10"/>
  <c r="I43" i="10"/>
  <c r="I44" i="10"/>
  <c r="J40" i="10"/>
  <c r="J39" i="10"/>
  <c r="J43" i="10"/>
  <c r="J44" i="10"/>
  <c r="K40" i="10"/>
  <c r="K39" i="10"/>
  <c r="K43" i="10"/>
  <c r="K44" i="10"/>
  <c r="L40" i="10"/>
  <c r="L39" i="10"/>
  <c r="L43" i="10"/>
  <c r="L44" i="10"/>
  <c r="M40" i="10"/>
  <c r="M39" i="10"/>
  <c r="M43" i="10"/>
  <c r="M44" i="10"/>
  <c r="N40" i="10"/>
  <c r="N39" i="10"/>
  <c r="N43" i="10"/>
  <c r="N44" i="10"/>
  <c r="O40" i="10"/>
  <c r="O39" i="10"/>
  <c r="O43" i="10"/>
  <c r="O44" i="10"/>
  <c r="E100" i="8"/>
  <c r="D100" i="8"/>
  <c r="B100" i="8"/>
  <c r="A100" i="8"/>
  <c r="E99" i="8"/>
  <c r="D99" i="8"/>
  <c r="B99" i="8"/>
  <c r="A99" i="8"/>
  <c r="Z81" i="3" s="1"/>
  <c r="P6" i="10"/>
  <c r="Z16" i="3" l="1"/>
  <c r="Z17" i="3"/>
  <c r="Z18" i="3"/>
  <c r="Z19" i="3"/>
  <c r="Z25" i="3"/>
  <c r="Z84" i="3"/>
  <c r="Z85" i="3"/>
  <c r="Z86" i="3"/>
  <c r="Z91" i="3"/>
  <c r="Z3" i="3"/>
  <c r="Z78" i="3"/>
  <c r="Z80" i="3"/>
  <c r="Z79" i="3"/>
  <c r="A33" i="10"/>
  <c r="A21" i="10"/>
  <c r="A27" i="10"/>
  <c r="A31" i="10"/>
  <c r="A19" i="10"/>
  <c r="A34" i="10"/>
  <c r="A30" i="10"/>
  <c r="A18" i="10"/>
  <c r="A15" i="10"/>
  <c r="D15" i="10" s="1"/>
  <c r="A28" i="10"/>
  <c r="A16" i="10"/>
  <c r="A25" i="10"/>
  <c r="A24" i="10"/>
  <c r="A22" i="10"/>
  <c r="A13" i="10"/>
  <c r="A12" i="10"/>
  <c r="Z63" i="3"/>
  <c r="Z69" i="3"/>
  <c r="Z57" i="3"/>
  <c r="Z70" i="3"/>
  <c r="Z92" i="3"/>
  <c r="Z64" i="3"/>
  <c r="Z94" i="3"/>
  <c r="Z65" i="3"/>
  <c r="Z95" i="3"/>
  <c r="Z67" i="3"/>
  <c r="Z66" i="3"/>
  <c r="Z93" i="3"/>
  <c r="Z68" i="3"/>
  <c r="Z82" i="3"/>
  <c r="Z60" i="3"/>
  <c r="Z59" i="3"/>
  <c r="Z51" i="3"/>
  <c r="Z83" i="3"/>
  <c r="Z58" i="3"/>
  <c r="Z52" i="3"/>
  <c r="Z62" i="3"/>
  <c r="Z54" i="3"/>
  <c r="Z53" i="3"/>
  <c r="Z61" i="3"/>
  <c r="Z74" i="3"/>
  <c r="Z96" i="3"/>
  <c r="Z75" i="3"/>
  <c r="Z77" i="3"/>
  <c r="Z97" i="3"/>
  <c r="Z99" i="3"/>
  <c r="Z5" i="3"/>
  <c r="Z4" i="3"/>
  <c r="Z6" i="3"/>
  <c r="Z7" i="3"/>
  <c r="Z8" i="3"/>
  <c r="Z9" i="3"/>
  <c r="Z10" i="3"/>
  <c r="Z11" i="3"/>
  <c r="Z12" i="3"/>
  <c r="Z13" i="3"/>
  <c r="Z14" i="3"/>
  <c r="Z15" i="3"/>
  <c r="Z20" i="3"/>
  <c r="Z21" i="3"/>
  <c r="Z22" i="3"/>
  <c r="Z23" i="3"/>
  <c r="Z24" i="3"/>
  <c r="Z26" i="3"/>
  <c r="Z27" i="3"/>
  <c r="Z28" i="3"/>
  <c r="Z29" i="3"/>
  <c r="Z30" i="3"/>
  <c r="Z31" i="3"/>
  <c r="Z32" i="3"/>
  <c r="Z33" i="3"/>
  <c r="Z34" i="3"/>
  <c r="Z35" i="3"/>
  <c r="Z36" i="3"/>
  <c r="Z37" i="3"/>
  <c r="Z38" i="3"/>
  <c r="Z39" i="3"/>
  <c r="Z40" i="3"/>
  <c r="Z41" i="3"/>
  <c r="Z42" i="3"/>
  <c r="Z43" i="3"/>
  <c r="Z44" i="3"/>
  <c r="Z45" i="3"/>
  <c r="Z46" i="3"/>
  <c r="Z47" i="3"/>
  <c r="Z48" i="3"/>
  <c r="Z49" i="3"/>
  <c r="Z50" i="3"/>
  <c r="Z55" i="3"/>
  <c r="Z56" i="3"/>
  <c r="Z71" i="3"/>
  <c r="Z72" i="3"/>
  <c r="Z73" i="3"/>
  <c r="Z76" i="3"/>
  <c r="Z87" i="3"/>
  <c r="Z88" i="3"/>
  <c r="Z89" i="3"/>
  <c r="Z98" i="3"/>
  <c r="Z100" i="3"/>
  <c r="Z101" i="3"/>
  <c r="Z102" i="3"/>
  <c r="Z103" i="3"/>
  <c r="Z104" i="3"/>
  <c r="Z105" i="3"/>
  <c r="Z106" i="3"/>
  <c r="M38" i="10" l="1"/>
  <c r="I38" i="10"/>
  <c r="C38" i="10"/>
  <c r="F38" i="10"/>
  <c r="K38" i="10"/>
  <c r="N38" i="10"/>
  <c r="D38" i="10"/>
  <c r="G38" i="10"/>
  <c r="L38" i="10"/>
  <c r="O38" i="10"/>
  <c r="H38" i="10"/>
  <c r="B38" i="10"/>
  <c r="J38" i="10"/>
  <c r="O28" i="10"/>
  <c r="K28" i="10"/>
  <c r="N28" i="10"/>
  <c r="L28" i="10"/>
  <c r="M28" i="10"/>
  <c r="I28" i="10"/>
  <c r="H28" i="10"/>
  <c r="J28" i="10"/>
  <c r="O25" i="10"/>
  <c r="N25" i="10"/>
  <c r="L25" i="10"/>
  <c r="K25" i="10"/>
  <c r="M25" i="10"/>
  <c r="H25" i="10"/>
  <c r="J25" i="10"/>
  <c r="I25" i="10"/>
  <c r="O19" i="10"/>
  <c r="I19" i="10"/>
  <c r="N19" i="10"/>
  <c r="M19" i="10"/>
  <c r="L19" i="10"/>
  <c r="K19" i="10"/>
  <c r="J19" i="10"/>
  <c r="H19" i="10"/>
  <c r="O22" i="10"/>
  <c r="L22" i="10"/>
  <c r="I22" i="10"/>
  <c r="H22" i="10"/>
  <c r="N22" i="10"/>
  <c r="M22" i="10"/>
  <c r="K22" i="10"/>
  <c r="J22" i="10"/>
  <c r="O31" i="10"/>
  <c r="I31" i="10"/>
  <c r="N31" i="10"/>
  <c r="L31" i="10"/>
  <c r="M31" i="10"/>
  <c r="K31" i="10"/>
  <c r="H31" i="10"/>
  <c r="J31" i="10"/>
  <c r="O16" i="10"/>
  <c r="K16" i="10"/>
  <c r="N16" i="10"/>
  <c r="L16" i="10"/>
  <c r="J16" i="10"/>
  <c r="I16" i="10"/>
  <c r="M16" i="10"/>
  <c r="H16" i="10"/>
  <c r="E24" i="10"/>
  <c r="E25" i="10" s="1"/>
  <c r="O24" i="10"/>
  <c r="K24" i="10"/>
  <c r="N24" i="10"/>
  <c r="J24" i="10"/>
  <c r="I24" i="10"/>
  <c r="H24" i="10"/>
  <c r="M24" i="10"/>
  <c r="L24" i="10"/>
  <c r="E33" i="10"/>
  <c r="E34" i="10" s="1"/>
  <c r="O33" i="10"/>
  <c r="N33" i="10"/>
  <c r="L33" i="10"/>
  <c r="K33" i="10"/>
  <c r="M33" i="10"/>
  <c r="H33" i="10"/>
  <c r="I33" i="10"/>
  <c r="J33" i="10"/>
  <c r="E18" i="10"/>
  <c r="E19" i="10" s="1"/>
  <c r="O18" i="10"/>
  <c r="L18" i="10"/>
  <c r="H18" i="10"/>
  <c r="N18" i="10"/>
  <c r="K18" i="10"/>
  <c r="M18" i="10"/>
  <c r="J18" i="10"/>
  <c r="I18" i="10"/>
  <c r="B15" i="10"/>
  <c r="E15" i="10"/>
  <c r="E16" i="10" s="1"/>
  <c r="O15" i="10"/>
  <c r="J15" i="10"/>
  <c r="N15" i="10"/>
  <c r="K15" i="10"/>
  <c r="M15" i="10"/>
  <c r="L15" i="10"/>
  <c r="I15" i="10"/>
  <c r="H15" i="10"/>
  <c r="E30" i="10"/>
  <c r="E31" i="10" s="1"/>
  <c r="O30" i="10"/>
  <c r="N30" i="10"/>
  <c r="K30" i="10"/>
  <c r="I30" i="10"/>
  <c r="M30" i="10"/>
  <c r="L30" i="10"/>
  <c r="H30" i="10"/>
  <c r="J30" i="10"/>
  <c r="E27" i="10"/>
  <c r="E28" i="10" s="1"/>
  <c r="O27" i="10"/>
  <c r="L27" i="10"/>
  <c r="I27" i="10"/>
  <c r="N27" i="10"/>
  <c r="M27" i="10"/>
  <c r="K27" i="10"/>
  <c r="H27" i="10"/>
  <c r="J27" i="10"/>
  <c r="E12" i="10"/>
  <c r="E13" i="10" s="1"/>
  <c r="O12" i="10"/>
  <c r="K12" i="10"/>
  <c r="H12" i="10"/>
  <c r="N12" i="10"/>
  <c r="M12" i="10"/>
  <c r="L12" i="10"/>
  <c r="J12" i="10"/>
  <c r="I12" i="10"/>
  <c r="O34" i="10"/>
  <c r="L34" i="10"/>
  <c r="I34" i="10"/>
  <c r="N34" i="10"/>
  <c r="K34" i="10"/>
  <c r="M34" i="10"/>
  <c r="H34" i="10"/>
  <c r="J34" i="10"/>
  <c r="O13" i="10"/>
  <c r="L13" i="10"/>
  <c r="I13" i="10"/>
  <c r="H13" i="10"/>
  <c r="N13" i="10"/>
  <c r="M13" i="10"/>
  <c r="K13" i="10"/>
  <c r="J13" i="10"/>
  <c r="E21" i="10"/>
  <c r="E22" i="10" s="1"/>
  <c r="O21" i="10"/>
  <c r="K21" i="10"/>
  <c r="J21" i="10"/>
  <c r="N21" i="10"/>
  <c r="L21" i="10"/>
  <c r="M21" i="10"/>
  <c r="I21" i="10"/>
  <c r="H21"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E96" i="8"/>
  <c r="D96" i="8"/>
  <c r="B96" i="8"/>
  <c r="A96" i="8"/>
  <c r="E95" i="8"/>
  <c r="D95" i="8"/>
  <c r="B95" i="8"/>
  <c r="A95" i="8"/>
  <c r="Y81" i="3" s="1"/>
  <c r="E92" i="8"/>
  <c r="D92" i="8"/>
  <c r="B92" i="8"/>
  <c r="A92" i="8"/>
  <c r="E91" i="8"/>
  <c r="D91" i="8"/>
  <c r="B91" i="8"/>
  <c r="A91" i="8"/>
  <c r="X81" i="3" l="1"/>
  <c r="X16" i="3"/>
  <c r="X17" i="3"/>
  <c r="X18" i="3"/>
  <c r="X19" i="3"/>
  <c r="Y17" i="3"/>
  <c r="Y16" i="3"/>
  <c r="Y19" i="3"/>
  <c r="Y18" i="3"/>
  <c r="X84" i="3"/>
  <c r="X85" i="3"/>
  <c r="X86" i="3"/>
  <c r="X91" i="3"/>
  <c r="Y84" i="3"/>
  <c r="Y85" i="3"/>
  <c r="Y86" i="3"/>
  <c r="Y91" i="3"/>
  <c r="Y25" i="3"/>
  <c r="X25" i="3"/>
  <c r="X78" i="3"/>
  <c r="X80" i="3"/>
  <c r="X79" i="3"/>
  <c r="Y78" i="3"/>
  <c r="Y80" i="3"/>
  <c r="Y79" i="3"/>
  <c r="X3" i="3"/>
  <c r="Y3" i="3"/>
  <c r="X92" i="3"/>
  <c r="X93" i="3"/>
  <c r="X65" i="3"/>
  <c r="X64" i="3"/>
  <c r="X94" i="3"/>
  <c r="X95" i="3"/>
  <c r="X66" i="3"/>
  <c r="X67" i="3"/>
  <c r="X63" i="3"/>
  <c r="X69" i="3"/>
  <c r="X70" i="3"/>
  <c r="X57" i="3"/>
  <c r="X68" i="3"/>
  <c r="Y66" i="3"/>
  <c r="Y68" i="3"/>
  <c r="Y67" i="3"/>
  <c r="Y63" i="3"/>
  <c r="Y69" i="3"/>
  <c r="Y57" i="3"/>
  <c r="Y70" i="3"/>
  <c r="Y64" i="3"/>
  <c r="Y94" i="3"/>
  <c r="Y92" i="3"/>
  <c r="Y65" i="3"/>
  <c r="Y93" i="3"/>
  <c r="Y95" i="3"/>
  <c r="Y59" i="3"/>
  <c r="Y52" i="3"/>
  <c r="Y62" i="3"/>
  <c r="Y53" i="3"/>
  <c r="Y60" i="3"/>
  <c r="Y61" i="3"/>
  <c r="Y54" i="3"/>
  <c r="Y51" i="3"/>
  <c r="Y58" i="3"/>
  <c r="Y82" i="3"/>
  <c r="Y83" i="3"/>
  <c r="X53" i="3"/>
  <c r="X61" i="3"/>
  <c r="X54" i="3"/>
  <c r="X82" i="3"/>
  <c r="X83" i="3"/>
  <c r="X52" i="3"/>
  <c r="X62" i="3"/>
  <c r="X60" i="3"/>
  <c r="X59" i="3"/>
  <c r="X51" i="3"/>
  <c r="X58" i="3"/>
  <c r="X74" i="3"/>
  <c r="X96" i="3"/>
  <c r="X75" i="3"/>
  <c r="X77" i="3"/>
  <c r="X97" i="3"/>
  <c r="X99" i="3"/>
  <c r="X5" i="3"/>
  <c r="X4" i="3"/>
  <c r="X6" i="3"/>
  <c r="X7" i="3"/>
  <c r="X8" i="3"/>
  <c r="X9" i="3"/>
  <c r="X10" i="3"/>
  <c r="X11" i="3"/>
  <c r="X12" i="3"/>
  <c r="X13" i="3"/>
  <c r="X14" i="3"/>
  <c r="X15" i="3"/>
  <c r="X20" i="3"/>
  <c r="X21" i="3"/>
  <c r="X22" i="3"/>
  <c r="X23" i="3"/>
  <c r="X24" i="3"/>
  <c r="X26" i="3"/>
  <c r="X27" i="3"/>
  <c r="X28" i="3"/>
  <c r="X29" i="3"/>
  <c r="X30" i="3"/>
  <c r="X31" i="3"/>
  <c r="X32" i="3"/>
  <c r="X33" i="3"/>
  <c r="X34" i="3"/>
  <c r="X35" i="3"/>
  <c r="X36" i="3"/>
  <c r="X37" i="3"/>
  <c r="X38" i="3"/>
  <c r="X39" i="3"/>
  <c r="X40" i="3"/>
  <c r="X41" i="3"/>
  <c r="X42" i="3"/>
  <c r="X43" i="3"/>
  <c r="X44" i="3"/>
  <c r="X45" i="3"/>
  <c r="X46" i="3"/>
  <c r="X47" i="3"/>
  <c r="X48" i="3"/>
  <c r="X49" i="3"/>
  <c r="X50" i="3"/>
  <c r="X55" i="3"/>
  <c r="X56" i="3"/>
  <c r="X71" i="3"/>
  <c r="X72" i="3"/>
  <c r="X73" i="3"/>
  <c r="X76" i="3"/>
  <c r="X87" i="3"/>
  <c r="X88" i="3"/>
  <c r="X89" i="3"/>
  <c r="X98" i="3"/>
  <c r="X100" i="3"/>
  <c r="X101" i="3"/>
  <c r="X102" i="3"/>
  <c r="X103" i="3"/>
  <c r="X104" i="3"/>
  <c r="X105" i="3"/>
  <c r="X106" i="3"/>
  <c r="Y74" i="3"/>
  <c r="Y96" i="3"/>
  <c r="Y75" i="3"/>
  <c r="Y77" i="3"/>
  <c r="Y97" i="3"/>
  <c r="Y99" i="3"/>
  <c r="Y5" i="3"/>
  <c r="Y4" i="3"/>
  <c r="Y6" i="3"/>
  <c r="Y7" i="3"/>
  <c r="Y8" i="3"/>
  <c r="Y9" i="3"/>
  <c r="Y10" i="3"/>
  <c r="Y11" i="3"/>
  <c r="Y12" i="3"/>
  <c r="Y13" i="3"/>
  <c r="Y14" i="3"/>
  <c r="Y15" i="3"/>
  <c r="Y20" i="3"/>
  <c r="Y21" i="3"/>
  <c r="Y22" i="3"/>
  <c r="Y23" i="3"/>
  <c r="Y24" i="3"/>
  <c r="Y26" i="3"/>
  <c r="Y27" i="3"/>
  <c r="Y28" i="3"/>
  <c r="Y29" i="3"/>
  <c r="Y30" i="3"/>
  <c r="Y31" i="3"/>
  <c r="Y32" i="3"/>
  <c r="Y33" i="3"/>
  <c r="Y34" i="3"/>
  <c r="Y35" i="3"/>
  <c r="Y36" i="3"/>
  <c r="Y37" i="3"/>
  <c r="Y38" i="3"/>
  <c r="Y39" i="3"/>
  <c r="Y40" i="3"/>
  <c r="Y41" i="3"/>
  <c r="Y42" i="3"/>
  <c r="Y43" i="3"/>
  <c r="Y44" i="3"/>
  <c r="Y45" i="3"/>
  <c r="Y46" i="3"/>
  <c r="Y47" i="3"/>
  <c r="Y48" i="3"/>
  <c r="Y49" i="3"/>
  <c r="Y50" i="3"/>
  <c r="Y55" i="3"/>
  <c r="Y56" i="3"/>
  <c r="Y71" i="3"/>
  <c r="Y72" i="3"/>
  <c r="Y73" i="3"/>
  <c r="Y76" i="3"/>
  <c r="Y87" i="3"/>
  <c r="Y88" i="3"/>
  <c r="Y89" i="3"/>
  <c r="Y98" i="3"/>
  <c r="Y100" i="3"/>
  <c r="Y101" i="3"/>
  <c r="Y102" i="3"/>
  <c r="Y103" i="3"/>
  <c r="Y104" i="3"/>
  <c r="Y105" i="3"/>
  <c r="Y106" i="3"/>
  <c r="E88" i="8"/>
  <c r="D88" i="8"/>
  <c r="B88" i="8"/>
  <c r="A88" i="8"/>
  <c r="E87" i="8"/>
  <c r="D87" i="8"/>
  <c r="B87" i="8"/>
  <c r="A87" i="8"/>
  <c r="E84" i="8"/>
  <c r="D84" i="8"/>
  <c r="B84" i="8"/>
  <c r="A84" i="8"/>
  <c r="E83" i="8"/>
  <c r="D83" i="8"/>
  <c r="B83" i="8"/>
  <c r="A83" i="8"/>
  <c r="V81" i="3" s="1"/>
  <c r="E80" i="8"/>
  <c r="D80" i="8"/>
  <c r="B80" i="8"/>
  <c r="A80" i="8"/>
  <c r="E79" i="8"/>
  <c r="D79" i="8"/>
  <c r="B79" i="8"/>
  <c r="A79" i="8"/>
  <c r="U81" i="3" s="1"/>
  <c r="E76" i="8"/>
  <c r="D76" i="8"/>
  <c r="B76" i="8"/>
  <c r="A76" i="8"/>
  <c r="E75" i="8"/>
  <c r="D75" i="8"/>
  <c r="B75" i="8"/>
  <c r="A75" i="8"/>
  <c r="T81" i="3" s="1"/>
  <c r="W81" i="3" l="1"/>
  <c r="V16" i="3"/>
  <c r="V17" i="3"/>
  <c r="V18" i="3"/>
  <c r="V19" i="3"/>
  <c r="U18" i="3"/>
  <c r="U17" i="3"/>
  <c r="U16" i="3"/>
  <c r="U19" i="3"/>
  <c r="W17" i="3"/>
  <c r="W18" i="3"/>
  <c r="W16" i="3"/>
  <c r="W19" i="3"/>
  <c r="T16" i="3"/>
  <c r="T17" i="3"/>
  <c r="T18" i="3"/>
  <c r="T19" i="3"/>
  <c r="T84" i="3"/>
  <c r="T85" i="3"/>
  <c r="T86" i="3"/>
  <c r="T91" i="3"/>
  <c r="U84" i="3"/>
  <c r="U85" i="3"/>
  <c r="U86" i="3"/>
  <c r="U91" i="3"/>
  <c r="V84" i="3"/>
  <c r="V85" i="3"/>
  <c r="V86" i="3"/>
  <c r="V91" i="3"/>
  <c r="W84" i="3"/>
  <c r="W85" i="3"/>
  <c r="W86" i="3"/>
  <c r="W91" i="3"/>
  <c r="U25" i="3"/>
  <c r="T25" i="3"/>
  <c r="V25" i="3"/>
  <c r="W25" i="3"/>
  <c r="T78" i="3"/>
  <c r="T80" i="3"/>
  <c r="T79" i="3"/>
  <c r="U78" i="3"/>
  <c r="U80" i="3"/>
  <c r="U79" i="3"/>
  <c r="V78" i="3"/>
  <c r="V80" i="3"/>
  <c r="V79" i="3"/>
  <c r="W78" i="3"/>
  <c r="W80" i="3"/>
  <c r="W79" i="3"/>
  <c r="T3" i="3"/>
  <c r="U3" i="3"/>
  <c r="V3" i="3"/>
  <c r="W3" i="3"/>
  <c r="N20" i="14"/>
  <c r="N19" i="13"/>
  <c r="H20" i="14"/>
  <c r="H19" i="13"/>
  <c r="I20" i="14"/>
  <c r="I19" i="13"/>
  <c r="J20" i="14"/>
  <c r="J19" i="13"/>
  <c r="K20" i="14"/>
  <c r="K19" i="13"/>
  <c r="L20" i="14"/>
  <c r="L19" i="13"/>
  <c r="O20" i="14"/>
  <c r="O19" i="13"/>
  <c r="M20" i="14"/>
  <c r="M19" i="13"/>
  <c r="V65" i="3"/>
  <c r="V95" i="3"/>
  <c r="V67" i="3"/>
  <c r="V66" i="3"/>
  <c r="V68" i="3"/>
  <c r="V70" i="3"/>
  <c r="V63" i="3"/>
  <c r="V69" i="3"/>
  <c r="V57" i="3"/>
  <c r="V92" i="3"/>
  <c r="V93" i="3"/>
  <c r="V64" i="3"/>
  <c r="V94" i="3"/>
  <c r="T67" i="3"/>
  <c r="T63" i="3"/>
  <c r="T68" i="3"/>
  <c r="T69" i="3"/>
  <c r="T57" i="3"/>
  <c r="T70" i="3"/>
  <c r="T64" i="3"/>
  <c r="T92" i="3"/>
  <c r="T93" i="3"/>
  <c r="T94" i="3"/>
  <c r="T65" i="3"/>
  <c r="T95" i="3"/>
  <c r="T66" i="3"/>
  <c r="U57" i="3"/>
  <c r="U70" i="3"/>
  <c r="U64" i="3"/>
  <c r="U92" i="3"/>
  <c r="U93" i="3"/>
  <c r="U94" i="3"/>
  <c r="U65" i="3"/>
  <c r="U95" i="3"/>
  <c r="U67" i="3"/>
  <c r="U66" i="3"/>
  <c r="U68" i="3"/>
  <c r="U69" i="3"/>
  <c r="U63" i="3"/>
  <c r="W68" i="3"/>
  <c r="W70" i="3"/>
  <c r="W63" i="3"/>
  <c r="W69" i="3"/>
  <c r="W57" i="3"/>
  <c r="W92" i="3"/>
  <c r="W93" i="3"/>
  <c r="W64" i="3"/>
  <c r="W94" i="3"/>
  <c r="W66" i="3"/>
  <c r="W67" i="3"/>
  <c r="W65" i="3"/>
  <c r="W95" i="3"/>
  <c r="T60" i="3"/>
  <c r="T59" i="3"/>
  <c r="T51" i="3"/>
  <c r="T58" i="3"/>
  <c r="T52" i="3"/>
  <c r="T53" i="3"/>
  <c r="T83" i="3"/>
  <c r="T62" i="3"/>
  <c r="T61" i="3"/>
  <c r="T54" i="3"/>
  <c r="T82" i="3"/>
  <c r="U54" i="3"/>
  <c r="U82" i="3"/>
  <c r="U83" i="3"/>
  <c r="U60" i="3"/>
  <c r="U59" i="3"/>
  <c r="U53" i="3"/>
  <c r="U51" i="3"/>
  <c r="U58" i="3"/>
  <c r="U61" i="3"/>
  <c r="U52" i="3"/>
  <c r="U62" i="3"/>
  <c r="V51" i="3"/>
  <c r="V58" i="3"/>
  <c r="V62" i="3"/>
  <c r="V52" i="3"/>
  <c r="V53" i="3"/>
  <c r="V61" i="3"/>
  <c r="V54" i="3"/>
  <c r="V82" i="3"/>
  <c r="V83" i="3"/>
  <c r="V60" i="3"/>
  <c r="V59" i="3"/>
  <c r="W83" i="3"/>
  <c r="W60" i="3"/>
  <c r="W59" i="3"/>
  <c r="W51" i="3"/>
  <c r="W62" i="3"/>
  <c r="W58" i="3"/>
  <c r="W52" i="3"/>
  <c r="W82" i="3"/>
  <c r="W53" i="3"/>
  <c r="W61" i="3"/>
  <c r="W54" i="3"/>
  <c r="T74" i="3"/>
  <c r="T96" i="3"/>
  <c r="T75" i="3"/>
  <c r="T77" i="3"/>
  <c r="T97" i="3"/>
  <c r="T99" i="3"/>
  <c r="T5" i="3"/>
  <c r="T4" i="3"/>
  <c r="T6" i="3"/>
  <c r="T7" i="3"/>
  <c r="T8" i="3"/>
  <c r="T9" i="3"/>
  <c r="T10" i="3"/>
  <c r="T11" i="3"/>
  <c r="T12" i="3"/>
  <c r="T13" i="3"/>
  <c r="T14" i="3"/>
  <c r="T15" i="3"/>
  <c r="T20" i="3"/>
  <c r="T21" i="3"/>
  <c r="T22" i="3"/>
  <c r="T23" i="3"/>
  <c r="T24" i="3"/>
  <c r="T26" i="3"/>
  <c r="T27" i="3"/>
  <c r="T28" i="3"/>
  <c r="T29" i="3"/>
  <c r="T30" i="3"/>
  <c r="T31" i="3"/>
  <c r="T32" i="3"/>
  <c r="T33" i="3"/>
  <c r="T34" i="3"/>
  <c r="T35" i="3"/>
  <c r="T36" i="3"/>
  <c r="T37" i="3"/>
  <c r="T38" i="3"/>
  <c r="T39" i="3"/>
  <c r="T40" i="3"/>
  <c r="T41" i="3"/>
  <c r="T42" i="3"/>
  <c r="T43" i="3"/>
  <c r="T44" i="3"/>
  <c r="T45" i="3"/>
  <c r="T46" i="3"/>
  <c r="T47" i="3"/>
  <c r="T48" i="3"/>
  <c r="T49" i="3"/>
  <c r="T50" i="3"/>
  <c r="T55" i="3"/>
  <c r="T56" i="3"/>
  <c r="T71" i="3"/>
  <c r="T72" i="3"/>
  <c r="T73" i="3"/>
  <c r="T76" i="3"/>
  <c r="T87" i="3"/>
  <c r="T88" i="3"/>
  <c r="T89" i="3"/>
  <c r="T98" i="3"/>
  <c r="T100" i="3"/>
  <c r="T101" i="3"/>
  <c r="T102" i="3"/>
  <c r="T103" i="3"/>
  <c r="T104" i="3"/>
  <c r="T105" i="3"/>
  <c r="T106" i="3"/>
  <c r="U74" i="3"/>
  <c r="U96" i="3"/>
  <c r="U75" i="3"/>
  <c r="U77" i="3"/>
  <c r="U97" i="3"/>
  <c r="U99" i="3"/>
  <c r="U5" i="3"/>
  <c r="U4" i="3"/>
  <c r="U6" i="3"/>
  <c r="U7" i="3"/>
  <c r="U8" i="3"/>
  <c r="U9" i="3"/>
  <c r="U10" i="3"/>
  <c r="U11" i="3"/>
  <c r="U12" i="3"/>
  <c r="U13" i="3"/>
  <c r="U14" i="3"/>
  <c r="U15" i="3"/>
  <c r="U20" i="3"/>
  <c r="U21" i="3"/>
  <c r="U22" i="3"/>
  <c r="U23" i="3"/>
  <c r="U24" i="3"/>
  <c r="U26" i="3"/>
  <c r="U27" i="3"/>
  <c r="U28" i="3"/>
  <c r="U29" i="3"/>
  <c r="U30" i="3"/>
  <c r="U31" i="3"/>
  <c r="U32" i="3"/>
  <c r="U33" i="3"/>
  <c r="U34" i="3"/>
  <c r="U35" i="3"/>
  <c r="U36" i="3"/>
  <c r="U37" i="3"/>
  <c r="U38" i="3"/>
  <c r="U39" i="3"/>
  <c r="U40" i="3"/>
  <c r="U41" i="3"/>
  <c r="U42" i="3"/>
  <c r="U43" i="3"/>
  <c r="U44" i="3"/>
  <c r="U45" i="3"/>
  <c r="U46" i="3"/>
  <c r="U47" i="3"/>
  <c r="U48" i="3"/>
  <c r="U49" i="3"/>
  <c r="U50" i="3"/>
  <c r="U55" i="3"/>
  <c r="U56" i="3"/>
  <c r="U71" i="3"/>
  <c r="U72" i="3"/>
  <c r="U73" i="3"/>
  <c r="U76" i="3"/>
  <c r="U87" i="3"/>
  <c r="U88" i="3"/>
  <c r="U89" i="3"/>
  <c r="U98" i="3"/>
  <c r="U100" i="3"/>
  <c r="U101" i="3"/>
  <c r="U102" i="3"/>
  <c r="U103" i="3"/>
  <c r="U104" i="3"/>
  <c r="U105" i="3"/>
  <c r="U106" i="3"/>
  <c r="V74" i="3"/>
  <c r="V96" i="3"/>
  <c r="V75" i="3"/>
  <c r="V77" i="3"/>
  <c r="V97" i="3"/>
  <c r="V99" i="3"/>
  <c r="V5" i="3"/>
  <c r="V4" i="3"/>
  <c r="V6" i="3"/>
  <c r="V7" i="3"/>
  <c r="V8" i="3"/>
  <c r="V9" i="3"/>
  <c r="V10" i="3"/>
  <c r="V11" i="3"/>
  <c r="V12" i="3"/>
  <c r="V13" i="3"/>
  <c r="V14" i="3"/>
  <c r="V15" i="3"/>
  <c r="V20" i="3"/>
  <c r="V21" i="3"/>
  <c r="V22" i="3"/>
  <c r="V23" i="3"/>
  <c r="V24" i="3"/>
  <c r="V26" i="3"/>
  <c r="V27" i="3"/>
  <c r="V28" i="3"/>
  <c r="V29" i="3"/>
  <c r="V30" i="3"/>
  <c r="V31" i="3"/>
  <c r="V32" i="3"/>
  <c r="V33" i="3"/>
  <c r="V34" i="3"/>
  <c r="V35" i="3"/>
  <c r="V36" i="3"/>
  <c r="V37" i="3"/>
  <c r="V38" i="3"/>
  <c r="V39" i="3"/>
  <c r="V40" i="3"/>
  <c r="V41" i="3"/>
  <c r="V42" i="3"/>
  <c r="V43" i="3"/>
  <c r="V44" i="3"/>
  <c r="V45" i="3"/>
  <c r="V46" i="3"/>
  <c r="V47" i="3"/>
  <c r="V48" i="3"/>
  <c r="V49" i="3"/>
  <c r="V50" i="3"/>
  <c r="V55" i="3"/>
  <c r="V56" i="3"/>
  <c r="V71" i="3"/>
  <c r="V72" i="3"/>
  <c r="V73" i="3"/>
  <c r="V76" i="3"/>
  <c r="V87" i="3"/>
  <c r="V88" i="3"/>
  <c r="V89" i="3"/>
  <c r="V98" i="3"/>
  <c r="V100" i="3"/>
  <c r="V101" i="3"/>
  <c r="V102" i="3"/>
  <c r="V103" i="3"/>
  <c r="V104" i="3"/>
  <c r="V105" i="3"/>
  <c r="V106" i="3"/>
  <c r="W74" i="3"/>
  <c r="W96" i="3"/>
  <c r="W75" i="3"/>
  <c r="W77" i="3"/>
  <c r="W97" i="3"/>
  <c r="W99" i="3"/>
  <c r="W5" i="3"/>
  <c r="W4" i="3"/>
  <c r="W6" i="3"/>
  <c r="W7" i="3"/>
  <c r="W8" i="3"/>
  <c r="W9" i="3"/>
  <c r="W10" i="3"/>
  <c r="W11" i="3"/>
  <c r="W12" i="3"/>
  <c r="W13" i="3"/>
  <c r="W14" i="3"/>
  <c r="W15" i="3"/>
  <c r="W20" i="3"/>
  <c r="W21" i="3"/>
  <c r="W22" i="3"/>
  <c r="W23" i="3"/>
  <c r="W24" i="3"/>
  <c r="W26" i="3"/>
  <c r="W27" i="3"/>
  <c r="W28" i="3"/>
  <c r="W29" i="3"/>
  <c r="W30" i="3"/>
  <c r="W31" i="3"/>
  <c r="W32" i="3"/>
  <c r="W33" i="3"/>
  <c r="W34" i="3"/>
  <c r="W35" i="3"/>
  <c r="W36" i="3"/>
  <c r="W37" i="3"/>
  <c r="W38" i="3"/>
  <c r="W39" i="3"/>
  <c r="W40" i="3"/>
  <c r="W41" i="3"/>
  <c r="W42" i="3"/>
  <c r="W43" i="3"/>
  <c r="W44" i="3"/>
  <c r="W45" i="3"/>
  <c r="W46" i="3"/>
  <c r="W47" i="3"/>
  <c r="W48" i="3"/>
  <c r="W49" i="3"/>
  <c r="W50" i="3"/>
  <c r="W55" i="3"/>
  <c r="W56" i="3"/>
  <c r="W71" i="3"/>
  <c r="W72" i="3"/>
  <c r="W73" i="3"/>
  <c r="W76" i="3"/>
  <c r="W87" i="3"/>
  <c r="W88" i="3"/>
  <c r="W89" i="3"/>
  <c r="W98" i="3"/>
  <c r="W100" i="3"/>
  <c r="W101" i="3"/>
  <c r="W102" i="3"/>
  <c r="W103" i="3"/>
  <c r="W104" i="3"/>
  <c r="W105" i="3"/>
  <c r="W106" i="3"/>
  <c r="P6" i="5" l="1"/>
  <c r="A22" i="5" l="1"/>
  <c r="E22" i="5" s="1"/>
  <c r="A10" i="5"/>
  <c r="E10" i="5" s="1"/>
  <c r="A32" i="5"/>
  <c r="A20" i="5"/>
  <c r="A31" i="5"/>
  <c r="E31" i="5" s="1"/>
  <c r="A19" i="5"/>
  <c r="E19" i="5" s="1"/>
  <c r="A16" i="5"/>
  <c r="E16" i="5" s="1"/>
  <c r="A14" i="5"/>
  <c r="A29" i="5"/>
  <c r="A17" i="5"/>
  <c r="A28" i="5"/>
  <c r="E28" i="5" s="1"/>
  <c r="A26" i="5"/>
  <c r="A25" i="5"/>
  <c r="E25" i="5" s="1"/>
  <c r="A13" i="5"/>
  <c r="E13" i="5" s="1"/>
  <c r="A23" i="5"/>
  <c r="A11" i="5"/>
  <c r="E26" i="5" l="1"/>
  <c r="E29" i="5"/>
  <c r="E11" i="5"/>
  <c r="E20" i="5"/>
  <c r="E32" i="5"/>
  <c r="E17" i="5"/>
  <c r="E23" i="5"/>
  <c r="E14" i="5"/>
  <c r="I16" i="5"/>
  <c r="M16" i="5"/>
  <c r="J16" i="5"/>
  <c r="O16" i="5"/>
  <c r="N16" i="5"/>
  <c r="K16" i="5"/>
  <c r="H16" i="5"/>
  <c r="L16" i="5"/>
  <c r="K13" i="5"/>
  <c r="M13" i="5"/>
  <c r="O13" i="5"/>
  <c r="I13" i="5"/>
  <c r="L13" i="5"/>
  <c r="H13" i="5"/>
  <c r="J13" i="5"/>
  <c r="N13" i="5"/>
  <c r="K19" i="5"/>
  <c r="J19" i="5"/>
  <c r="O19" i="5"/>
  <c r="L19" i="5"/>
  <c r="I19" i="5"/>
  <c r="M19" i="5"/>
  <c r="N19" i="5"/>
  <c r="H19" i="5"/>
  <c r="K25" i="5"/>
  <c r="O25" i="5"/>
  <c r="L25" i="5"/>
  <c r="I25" i="5"/>
  <c r="M25" i="5"/>
  <c r="N25" i="5"/>
  <c r="J25" i="5"/>
  <c r="H25" i="5"/>
  <c r="I31" i="5"/>
  <c r="M31" i="5"/>
  <c r="J31" i="5"/>
  <c r="N31" i="5"/>
  <c r="O31" i="5"/>
  <c r="K31" i="5"/>
  <c r="L31" i="5"/>
  <c r="H31" i="5"/>
  <c r="K26" i="5"/>
  <c r="O26" i="5"/>
  <c r="N26" i="5"/>
  <c r="L26" i="5"/>
  <c r="I26" i="5"/>
  <c r="M26" i="5"/>
  <c r="J26" i="5"/>
  <c r="H26" i="5"/>
  <c r="J20" i="5"/>
  <c r="N20" i="5"/>
  <c r="O20" i="5"/>
  <c r="K20" i="5"/>
  <c r="H20" i="5"/>
  <c r="L20" i="5"/>
  <c r="M20" i="5"/>
  <c r="I20" i="5"/>
  <c r="N29" i="5"/>
  <c r="K29" i="5"/>
  <c r="H29" i="5"/>
  <c r="O29" i="5"/>
  <c r="L29" i="5"/>
  <c r="I29" i="5"/>
  <c r="J29" i="5"/>
  <c r="M29" i="5"/>
  <c r="H28" i="5"/>
  <c r="O28" i="5"/>
  <c r="L28" i="5"/>
  <c r="I28" i="5"/>
  <c r="J28" i="5"/>
  <c r="N28" i="5"/>
  <c r="M28" i="5"/>
  <c r="K28" i="5"/>
  <c r="I32" i="5"/>
  <c r="M32" i="5"/>
  <c r="J32" i="5"/>
  <c r="N32" i="5"/>
  <c r="O32" i="5"/>
  <c r="H32" i="5"/>
  <c r="K32" i="5"/>
  <c r="L32" i="5"/>
  <c r="N11" i="5"/>
  <c r="H11" i="5"/>
  <c r="K11" i="5"/>
  <c r="M11" i="5"/>
  <c r="O11" i="5"/>
  <c r="L11" i="5"/>
  <c r="I11" i="5"/>
  <c r="J11" i="5"/>
  <c r="J17" i="5"/>
  <c r="N17" i="5"/>
  <c r="H17" i="5"/>
  <c r="O17" i="5"/>
  <c r="I17" i="5"/>
  <c r="K17" i="5"/>
  <c r="L17" i="5"/>
  <c r="M17" i="5"/>
  <c r="L10" i="5"/>
  <c r="I10" i="5"/>
  <c r="H10" i="5"/>
  <c r="M10" i="5"/>
  <c r="K10" i="5"/>
  <c r="J10" i="5"/>
  <c r="N10" i="5"/>
  <c r="O10" i="5"/>
  <c r="O22" i="5"/>
  <c r="L22" i="5"/>
  <c r="I22" i="5"/>
  <c r="M22" i="5"/>
  <c r="J22" i="5"/>
  <c r="H22" i="5"/>
  <c r="N22" i="5"/>
  <c r="K22" i="5"/>
  <c r="H23" i="5"/>
  <c r="M23" i="5"/>
  <c r="J23" i="5"/>
  <c r="O23" i="5"/>
  <c r="N23" i="5"/>
  <c r="K23" i="5"/>
  <c r="L23" i="5"/>
  <c r="I23" i="5"/>
  <c r="M14" i="5"/>
  <c r="H14" i="5"/>
  <c r="J14" i="5"/>
  <c r="L14" i="5"/>
  <c r="N14" i="5"/>
  <c r="K14" i="5"/>
  <c r="I14" i="5"/>
  <c r="O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D64" i="8"/>
  <c r="D65" i="8"/>
  <c r="D66" i="8"/>
  <c r="D67" i="8"/>
  <c r="D68" i="8"/>
  <c r="D69" i="8"/>
  <c r="D70" i="8"/>
  <c r="D71" i="8"/>
  <c r="D72" i="8"/>
  <c r="E64" i="8"/>
  <c r="E65" i="8"/>
  <c r="E66" i="8"/>
  <c r="E67" i="8"/>
  <c r="E68" i="8"/>
  <c r="E69" i="8"/>
  <c r="E70" i="8"/>
  <c r="E71" i="8"/>
  <c r="E72" i="8"/>
  <c r="A57" i="8" l="1"/>
  <c r="A58" i="8"/>
  <c r="A59" i="8"/>
  <c r="A60" i="8"/>
  <c r="A61" i="8"/>
  <c r="A62" i="8"/>
  <c r="A63" i="8"/>
  <c r="B57" i="8"/>
  <c r="B58" i="8"/>
  <c r="B59" i="8"/>
  <c r="B60" i="8"/>
  <c r="B61" i="8"/>
  <c r="B62" i="8"/>
  <c r="B63" i="8"/>
  <c r="D57" i="8"/>
  <c r="D58" i="8"/>
  <c r="D59" i="8"/>
  <c r="D60" i="8"/>
  <c r="D61" i="8"/>
  <c r="D62" i="8"/>
  <c r="D63" i="8"/>
  <c r="E57" i="8"/>
  <c r="E58" i="8"/>
  <c r="E59" i="8"/>
  <c r="E60" i="8"/>
  <c r="E61" i="8"/>
  <c r="E62" i="8"/>
  <c r="E63" i="8"/>
  <c r="A43" i="8" l="1"/>
  <c r="B43" i="8"/>
  <c r="D43" i="8"/>
  <c r="E43" i="8"/>
  <c r="A37" i="8" l="1"/>
  <c r="A38" i="8"/>
  <c r="B37" i="8"/>
  <c r="B38" i="8"/>
  <c r="D37" i="8"/>
  <c r="D38" i="8"/>
  <c r="E37" i="8"/>
  <c r="E38" i="8"/>
  <c r="A33" i="8" l="1"/>
  <c r="A34" i="8"/>
  <c r="B33" i="8"/>
  <c r="B34" i="8"/>
  <c r="D33" i="8"/>
  <c r="D34" i="8"/>
  <c r="E33" i="8"/>
  <c r="E34" i="8"/>
  <c r="A21" i="8" l="1"/>
  <c r="A22" i="8"/>
  <c r="A23" i="8"/>
  <c r="A24" i="8"/>
  <c r="A25" i="8"/>
  <c r="B21" i="8"/>
  <c r="B22" i="8"/>
  <c r="B23" i="8"/>
  <c r="B24" i="8"/>
  <c r="B25" i="8"/>
  <c r="D21" i="8"/>
  <c r="D22" i="8"/>
  <c r="D23" i="8"/>
  <c r="D24" i="8"/>
  <c r="D25" i="8"/>
  <c r="E21" i="8"/>
  <c r="E22" i="8"/>
  <c r="E23" i="8"/>
  <c r="E24" i="8"/>
  <c r="E25" i="8"/>
  <c r="E56" i="8" l="1"/>
  <c r="D56" i="8"/>
  <c r="B56" i="8"/>
  <c r="A56" i="8"/>
  <c r="E55" i="8"/>
  <c r="D55" i="8"/>
  <c r="B55" i="8"/>
  <c r="A55" i="8"/>
  <c r="E54" i="8"/>
  <c r="D54" i="8"/>
  <c r="B54" i="8"/>
  <c r="A54" i="8"/>
  <c r="E53" i="8"/>
  <c r="D53" i="8"/>
  <c r="B53" i="8"/>
  <c r="A53" i="8"/>
  <c r="E52" i="8"/>
  <c r="D52" i="8"/>
  <c r="B52" i="8"/>
  <c r="A52" i="8"/>
  <c r="E51" i="8"/>
  <c r="D51" i="8"/>
  <c r="B51" i="8"/>
  <c r="A51" i="8"/>
  <c r="E50" i="8"/>
  <c r="D50" i="8"/>
  <c r="B50" i="8"/>
  <c r="A50" i="8"/>
  <c r="E49" i="8"/>
  <c r="D49" i="8"/>
  <c r="B49" i="8"/>
  <c r="A49" i="8"/>
  <c r="E48" i="8"/>
  <c r="D48" i="8"/>
  <c r="B48" i="8"/>
  <c r="A48" i="8"/>
  <c r="E47" i="8"/>
  <c r="D47" i="8"/>
  <c r="B47" i="8"/>
  <c r="A47" i="8"/>
  <c r="E46" i="8"/>
  <c r="D46" i="8"/>
  <c r="B46" i="8"/>
  <c r="A46" i="8"/>
  <c r="A6" i="8"/>
  <c r="A7" i="8"/>
  <c r="B6" i="8"/>
  <c r="B7" i="8"/>
  <c r="D6" i="8"/>
  <c r="D7" i="8"/>
  <c r="E6" i="8"/>
  <c r="E7" i="8"/>
  <c r="S81" i="3" l="1"/>
  <c r="S18" i="3"/>
  <c r="S16" i="3"/>
  <c r="S17" i="3"/>
  <c r="S19" i="3"/>
  <c r="S84" i="3"/>
  <c r="S85" i="3"/>
  <c r="S86" i="3"/>
  <c r="S91" i="3"/>
  <c r="S25" i="3"/>
  <c r="S78" i="3"/>
  <c r="S80" i="3"/>
  <c r="S79" i="3"/>
  <c r="S3" i="3"/>
  <c r="S64" i="3"/>
  <c r="S94" i="3"/>
  <c r="S65" i="3"/>
  <c r="S95" i="3"/>
  <c r="S66" i="3"/>
  <c r="S67" i="3"/>
  <c r="S68" i="3"/>
  <c r="S63" i="3"/>
  <c r="S69" i="3"/>
  <c r="S57" i="3"/>
  <c r="S70" i="3"/>
  <c r="S92" i="3"/>
  <c r="S93" i="3"/>
  <c r="S52" i="3"/>
  <c r="S62" i="3"/>
  <c r="S61" i="3"/>
  <c r="S53" i="3"/>
  <c r="S54" i="3"/>
  <c r="S82" i="3"/>
  <c r="S51" i="3"/>
  <c r="S58" i="3"/>
  <c r="S83" i="3"/>
  <c r="S60" i="3"/>
  <c r="S59" i="3"/>
  <c r="S74" i="3"/>
  <c r="S96" i="3"/>
  <c r="S75" i="3"/>
  <c r="S77" i="3"/>
  <c r="S97" i="3"/>
  <c r="S99" i="3"/>
  <c r="S100" i="3"/>
  <c r="S101" i="3"/>
  <c r="S103" i="3"/>
  <c r="S104" i="3"/>
  <c r="S105" i="3"/>
  <c r="S106" i="3"/>
  <c r="S102" i="3"/>
  <c r="S87" i="3"/>
  <c r="S88" i="3"/>
  <c r="S89" i="3"/>
  <c r="S28" i="3"/>
  <c r="S29" i="3"/>
  <c r="S35" i="3"/>
  <c r="S36" i="3"/>
  <c r="S41" i="3"/>
  <c r="S76" i="3"/>
  <c r="S46" i="3"/>
  <c r="S98" i="3"/>
  <c r="S56" i="3"/>
  <c r="S45" i="3"/>
  <c r="S30" i="3"/>
  <c r="S42" i="3"/>
  <c r="S43" i="3"/>
  <c r="S32" i="3"/>
  <c r="S33" i="3"/>
  <c r="S34" i="3"/>
  <c r="S37" i="3"/>
  <c r="S31" i="3"/>
  <c r="S44" i="3"/>
  <c r="S38" i="3"/>
  <c r="S39" i="3"/>
  <c r="S40" i="3"/>
  <c r="S4" i="3"/>
  <c r="S5" i="3"/>
  <c r="S22" i="3"/>
  <c r="S12" i="3"/>
  <c r="S11" i="3"/>
  <c r="S15" i="3"/>
  <c r="S27" i="3"/>
  <c r="S8" i="3"/>
  <c r="S71" i="3"/>
  <c r="S49" i="3"/>
  <c r="S47" i="3"/>
  <c r="S10" i="3"/>
  <c r="S26" i="3"/>
  <c r="S7" i="3"/>
  <c r="S73" i="3"/>
  <c r="S6" i="3"/>
  <c r="S48" i="3"/>
  <c r="S20" i="3"/>
  <c r="S14" i="3"/>
  <c r="S21" i="3"/>
  <c r="S23" i="3"/>
  <c r="S13" i="3"/>
  <c r="S9" i="3"/>
  <c r="S24" i="3"/>
  <c r="S55" i="3"/>
  <c r="S72" i="3"/>
  <c r="S50" i="3"/>
  <c r="A5" i="8"/>
  <c r="B5" i="8"/>
  <c r="D5" i="8"/>
  <c r="E5" i="8"/>
  <c r="E28" i="8" l="1"/>
  <c r="E29" i="8"/>
  <c r="E30" i="8"/>
  <c r="E31" i="8"/>
  <c r="E32" i="8"/>
  <c r="E35" i="8"/>
  <c r="E36" i="8"/>
  <c r="E39" i="8"/>
  <c r="E40" i="8"/>
  <c r="E41" i="8"/>
  <c r="E42" i="8"/>
  <c r="E10" i="8"/>
  <c r="E11" i="8"/>
  <c r="E12" i="8"/>
  <c r="E13" i="8"/>
  <c r="E14" i="8"/>
  <c r="E15" i="8"/>
  <c r="E18" i="8"/>
  <c r="E16" i="8"/>
  <c r="E17" i="8"/>
  <c r="E19" i="8"/>
  <c r="E20" i="8"/>
  <c r="E4" i="8"/>
  <c r="D28" i="8"/>
  <c r="D29" i="8"/>
  <c r="D30" i="8"/>
  <c r="D31" i="8"/>
  <c r="D32" i="8"/>
  <c r="D35" i="8"/>
  <c r="D36" i="8"/>
  <c r="D39" i="8"/>
  <c r="D40" i="8"/>
  <c r="D41" i="8"/>
  <c r="D42" i="8"/>
  <c r="D10" i="8"/>
  <c r="D11" i="8"/>
  <c r="D12" i="8"/>
  <c r="D13" i="8"/>
  <c r="D14" i="8"/>
  <c r="D15" i="8"/>
  <c r="D18" i="8"/>
  <c r="D16" i="8"/>
  <c r="D17" i="8"/>
  <c r="D19" i="8"/>
  <c r="D20"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P81" i="3" s="1"/>
  <c r="R81" i="3" l="1"/>
  <c r="Q81" i="3"/>
  <c r="R16" i="3"/>
  <c r="R17" i="3"/>
  <c r="R18" i="3"/>
  <c r="R19" i="3"/>
  <c r="P16" i="3"/>
  <c r="P17" i="3"/>
  <c r="P18" i="3"/>
  <c r="P19" i="3"/>
  <c r="Q18" i="3"/>
  <c r="Q16" i="3"/>
  <c r="Q19" i="3"/>
  <c r="Q17" i="3"/>
  <c r="P25" i="3"/>
  <c r="P84" i="3"/>
  <c r="P85" i="3"/>
  <c r="P86" i="3"/>
  <c r="P91" i="3"/>
  <c r="Q84" i="3"/>
  <c r="Q85" i="3"/>
  <c r="Q86" i="3"/>
  <c r="Q91" i="3"/>
  <c r="R84" i="3"/>
  <c r="R85" i="3"/>
  <c r="R86" i="3"/>
  <c r="R91" i="3"/>
  <c r="R25" i="3"/>
  <c r="Q25" i="3"/>
  <c r="P3" i="3"/>
  <c r="P78" i="3"/>
  <c r="P80" i="3"/>
  <c r="P79" i="3"/>
  <c r="Q78" i="3"/>
  <c r="Q80" i="3"/>
  <c r="Q79" i="3"/>
  <c r="R78" i="3"/>
  <c r="R80" i="3"/>
  <c r="R79" i="3"/>
  <c r="R3" i="3"/>
  <c r="Q3" i="3"/>
  <c r="R63" i="3"/>
  <c r="R69" i="3"/>
  <c r="R93" i="3"/>
  <c r="R57" i="3"/>
  <c r="R70" i="3"/>
  <c r="R92" i="3"/>
  <c r="R64" i="3"/>
  <c r="R94" i="3"/>
  <c r="R66" i="3"/>
  <c r="R65" i="3"/>
  <c r="R95" i="3"/>
  <c r="R67" i="3"/>
  <c r="R68" i="3"/>
  <c r="P92" i="3"/>
  <c r="P93" i="3"/>
  <c r="P65" i="3"/>
  <c r="P64" i="3"/>
  <c r="P94" i="3"/>
  <c r="P95" i="3"/>
  <c r="P66" i="3"/>
  <c r="P67" i="3"/>
  <c r="P68" i="3"/>
  <c r="P63" i="3"/>
  <c r="P69" i="3"/>
  <c r="P70" i="3"/>
  <c r="P57" i="3"/>
  <c r="Q66" i="3"/>
  <c r="Q68" i="3"/>
  <c r="Q67" i="3"/>
  <c r="Q63" i="3"/>
  <c r="Q69" i="3"/>
  <c r="Q92" i="3"/>
  <c r="Q57" i="3"/>
  <c r="Q70" i="3"/>
  <c r="Q93" i="3"/>
  <c r="Q64" i="3"/>
  <c r="Q94" i="3"/>
  <c r="Q65" i="3"/>
  <c r="Q95" i="3"/>
  <c r="R82" i="3"/>
  <c r="R83" i="3"/>
  <c r="R60" i="3"/>
  <c r="R51" i="3"/>
  <c r="R58" i="3"/>
  <c r="R59" i="3"/>
  <c r="R54" i="3"/>
  <c r="R52" i="3"/>
  <c r="R62" i="3"/>
  <c r="R53" i="3"/>
  <c r="R61" i="3"/>
  <c r="P53" i="3"/>
  <c r="P61" i="3"/>
  <c r="P54" i="3"/>
  <c r="P82" i="3"/>
  <c r="P60" i="3"/>
  <c r="P52" i="3"/>
  <c r="P83" i="3"/>
  <c r="P62" i="3"/>
  <c r="P59" i="3"/>
  <c r="P51" i="3"/>
  <c r="P58" i="3"/>
  <c r="Q59" i="3"/>
  <c r="Q51" i="3"/>
  <c r="Q58" i="3"/>
  <c r="Q52" i="3"/>
  <c r="Q62" i="3"/>
  <c r="Q61" i="3"/>
  <c r="Q54" i="3"/>
  <c r="Q60" i="3"/>
  <c r="Q53" i="3"/>
  <c r="Q82" i="3"/>
  <c r="Q83" i="3"/>
  <c r="P74" i="3"/>
  <c r="P96" i="3"/>
  <c r="P75" i="3"/>
  <c r="P77" i="3"/>
  <c r="P97" i="3"/>
  <c r="P99" i="3"/>
  <c r="P100" i="3"/>
  <c r="P101" i="3"/>
  <c r="P103" i="3"/>
  <c r="P104" i="3"/>
  <c r="P105" i="3"/>
  <c r="P106" i="3"/>
  <c r="P102" i="3"/>
  <c r="P87" i="3"/>
  <c r="P88" i="3"/>
  <c r="P89" i="3"/>
  <c r="Q74" i="3"/>
  <c r="Q96" i="3"/>
  <c r="Q75" i="3"/>
  <c r="Q77" i="3"/>
  <c r="Q97" i="3"/>
  <c r="Q99" i="3"/>
  <c r="Q100" i="3"/>
  <c r="Q101" i="3"/>
  <c r="Q103" i="3"/>
  <c r="Q104" i="3"/>
  <c r="Q105" i="3"/>
  <c r="Q106" i="3"/>
  <c r="Q102" i="3"/>
  <c r="Q87" i="3"/>
  <c r="Q88" i="3"/>
  <c r="Q89" i="3"/>
  <c r="R74" i="3"/>
  <c r="R96" i="3"/>
  <c r="R75" i="3"/>
  <c r="R77" i="3"/>
  <c r="R97" i="3"/>
  <c r="R99" i="3"/>
  <c r="R100" i="3"/>
  <c r="R101" i="3"/>
  <c r="R103" i="3"/>
  <c r="R104" i="3"/>
  <c r="R105" i="3"/>
  <c r="R106" i="3"/>
  <c r="R102" i="3"/>
  <c r="R87" i="3"/>
  <c r="R88" i="3"/>
  <c r="R89" i="3"/>
  <c r="P28" i="3"/>
  <c r="P29" i="3"/>
  <c r="P35" i="3"/>
  <c r="P36" i="3"/>
  <c r="P41" i="3"/>
  <c r="P76" i="3"/>
  <c r="P46" i="3"/>
  <c r="P98" i="3"/>
  <c r="Q28" i="3"/>
  <c r="Q29" i="3"/>
  <c r="Q35" i="3"/>
  <c r="Q36" i="3"/>
  <c r="Q41" i="3"/>
  <c r="Q76" i="3"/>
  <c r="Q46" i="3"/>
  <c r="Q98" i="3"/>
  <c r="R28" i="3"/>
  <c r="R29" i="3"/>
  <c r="R35" i="3"/>
  <c r="R36" i="3"/>
  <c r="R41" i="3"/>
  <c r="R76" i="3"/>
  <c r="R46" i="3"/>
  <c r="R98" i="3"/>
  <c r="P56" i="3"/>
  <c r="P45" i="3"/>
  <c r="Q56" i="3"/>
  <c r="Q45" i="3"/>
  <c r="R56" i="3"/>
  <c r="R45" i="3"/>
  <c r="P44" i="3"/>
  <c r="P38" i="3"/>
  <c r="P39" i="3"/>
  <c r="P40" i="3"/>
  <c r="P37" i="3"/>
  <c r="P31" i="3"/>
  <c r="P30" i="3"/>
  <c r="P42" i="3"/>
  <c r="P43" i="3"/>
  <c r="P32" i="3"/>
  <c r="P33" i="3"/>
  <c r="P34" i="3"/>
  <c r="R30" i="3"/>
  <c r="R42" i="3"/>
  <c r="R43" i="3"/>
  <c r="R32" i="3"/>
  <c r="R33" i="3"/>
  <c r="R34" i="3"/>
  <c r="R37" i="3"/>
  <c r="R31" i="3"/>
  <c r="R44" i="3"/>
  <c r="R38" i="3"/>
  <c r="R39" i="3"/>
  <c r="R40" i="3"/>
  <c r="Q37" i="3"/>
  <c r="Q31" i="3"/>
  <c r="Q44" i="3"/>
  <c r="Q38" i="3"/>
  <c r="Q39" i="3"/>
  <c r="Q32" i="3"/>
  <c r="Q33" i="3"/>
  <c r="Q30" i="3"/>
  <c r="Q42" i="3"/>
  <c r="Q34" i="3"/>
  <c r="Q43" i="3"/>
  <c r="Q40" i="3"/>
  <c r="R4" i="3"/>
  <c r="R5" i="3"/>
  <c r="R27" i="3"/>
  <c r="R13" i="3"/>
  <c r="R9" i="3"/>
  <c r="R49" i="3"/>
  <c r="R11" i="3"/>
  <c r="R71" i="3"/>
  <c r="R55" i="3"/>
  <c r="R15" i="3"/>
  <c r="R73" i="3"/>
  <c r="R8" i="3"/>
  <c r="R20" i="3"/>
  <c r="R26" i="3"/>
  <c r="R47" i="3"/>
  <c r="R72" i="3"/>
  <c r="R22" i="3"/>
  <c r="R6" i="3"/>
  <c r="R21" i="3"/>
  <c r="R23" i="3"/>
  <c r="R10" i="3"/>
  <c r="R48" i="3"/>
  <c r="R24" i="3"/>
  <c r="R7" i="3"/>
  <c r="R14" i="3"/>
  <c r="R12" i="3"/>
  <c r="P4" i="3"/>
  <c r="P5" i="3"/>
  <c r="P20" i="3"/>
  <c r="P26" i="3"/>
  <c r="P6" i="3"/>
  <c r="P48" i="3"/>
  <c r="P21" i="3"/>
  <c r="P23" i="3"/>
  <c r="P7" i="3"/>
  <c r="P22" i="3"/>
  <c r="P13" i="3"/>
  <c r="P9" i="3"/>
  <c r="P24" i="3"/>
  <c r="P11" i="3"/>
  <c r="P27" i="3"/>
  <c r="P55" i="3"/>
  <c r="P15" i="3"/>
  <c r="P72" i="3"/>
  <c r="P49" i="3"/>
  <c r="P8" i="3"/>
  <c r="P71" i="3"/>
  <c r="P47" i="3"/>
  <c r="P73" i="3"/>
  <c r="P10" i="3"/>
  <c r="P14" i="3"/>
  <c r="P12" i="3"/>
  <c r="Q4" i="3"/>
  <c r="Q5" i="3"/>
  <c r="Q7" i="3"/>
  <c r="Q14" i="3"/>
  <c r="Q73" i="3"/>
  <c r="Q13" i="3"/>
  <c r="Q9" i="3"/>
  <c r="Q55" i="3"/>
  <c r="Q20" i="3"/>
  <c r="Q26" i="3"/>
  <c r="Q12" i="3"/>
  <c r="Q11" i="3"/>
  <c r="Q21" i="3"/>
  <c r="Q23" i="3"/>
  <c r="Q22" i="3"/>
  <c r="Q8" i="3"/>
  <c r="Q71" i="3"/>
  <c r="Q24" i="3"/>
  <c r="Q47" i="3"/>
  <c r="Q72" i="3"/>
  <c r="Q27" i="3"/>
  <c r="Q10" i="3"/>
  <c r="Q49" i="3"/>
  <c r="Q6" i="3"/>
  <c r="Q48" i="3"/>
  <c r="Q15" i="3"/>
  <c r="R50" i="3"/>
  <c r="P50" i="3"/>
  <c r="Q50" i="3"/>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alcChain>
</file>

<file path=xl/sharedStrings.xml><?xml version="1.0" encoding="utf-8"?>
<sst xmlns="http://schemas.openxmlformats.org/spreadsheetml/2006/main" count="3756" uniqueCount="534">
  <si>
    <t>UDC</t>
  </si>
  <si>
    <t>Ver</t>
  </si>
  <si>
    <t>OUA Cd</t>
  </si>
  <si>
    <t>Unit Title</t>
  </si>
  <si>
    <t>Pre-reqs</t>
  </si>
  <si>
    <t>Credits</t>
  </si>
  <si>
    <t>Availabilities</t>
  </si>
  <si>
    <t>Progress Notes</t>
  </si>
  <si>
    <r>
      <t>Curtin University</t>
    </r>
    <r>
      <rPr>
        <sz val="11"/>
        <color theme="0"/>
        <rFont val="Arial"/>
        <family val="2"/>
      </rPr>
      <t xml:space="preserve">
School of Education</t>
    </r>
  </si>
  <si>
    <t>2025 Full-Time Enrolment Planner</t>
  </si>
  <si>
    <t>Course:</t>
  </si>
  <si>
    <t>Master of Teaching</t>
  </si>
  <si>
    <t>Course version:</t>
  </si>
  <si>
    <t>Major:</t>
  </si>
  <si>
    <t>Early Childhood Education Major (MTeach)</t>
  </si>
  <si>
    <t>Major version:</t>
  </si>
  <si>
    <t>Commencing:</t>
  </si>
  <si>
    <t>Special Study Period 3 (August - November)</t>
  </si>
  <si>
    <t>Credits to Complete:</t>
  </si>
  <si>
    <t>2025 Availabilities</t>
  </si>
  <si>
    <t>Year 1</t>
  </si>
  <si>
    <t>Study Period</t>
  </si>
  <si>
    <t>Pre Requisite(s)</t>
  </si>
  <si>
    <t>CP</t>
  </si>
  <si>
    <t>SSP1 BEN</t>
  </si>
  <si>
    <t>SSP1 FO</t>
  </si>
  <si>
    <t>SSP2 BEN</t>
  </si>
  <si>
    <t>SSP2 FO</t>
  </si>
  <si>
    <t>SSP3 BEN</t>
  </si>
  <si>
    <t>SSP3 FO</t>
  </si>
  <si>
    <t>SSP4 BEN</t>
  </si>
  <si>
    <t>SSP4 FO</t>
  </si>
  <si>
    <t>Notes / Progress</t>
  </si>
  <si>
    <t>Year 2</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</si>
  <si>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</si>
  <si>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</si>
  <si>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</si>
  <si>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</si>
  <si>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t>
  </si>
  <si>
    <t>Special Study Period 1 (February - May)</t>
  </si>
  <si>
    <t>Choose your Course (drop-down list)</t>
  </si>
  <si>
    <t>Choose your commencing study period (drop-down list)</t>
  </si>
  <si>
    <t>Master of Education</t>
  </si>
  <si>
    <t>Specialisation:</t>
  </si>
  <si>
    <t>No Specialisation - study 4 Option units</t>
  </si>
  <si>
    <t>Pre Requisites</t>
  </si>
  <si>
    <t>Option Units</t>
  </si>
  <si>
    <t>Graduate Certificate in Education</t>
  </si>
  <si>
    <t>Graduate Certificate in Higher Education Innovative Learning and Teaching</t>
  </si>
  <si>
    <t>TableCourses</t>
  </si>
  <si>
    <t>Choose your Course</t>
  </si>
  <si>
    <t>SM Version</t>
  </si>
  <si>
    <t>SM Effective Date</t>
  </si>
  <si>
    <t>Akari Iteration</t>
  </si>
  <si>
    <t>Akari Effective Date</t>
  </si>
  <si>
    <t>Credit Points</t>
  </si>
  <si>
    <t>SM Availabilities</t>
  </si>
  <si>
    <t>GC-EDUC</t>
  </si>
  <si>
    <t>v.1</t>
  </si>
  <si>
    <t>100 credit points required</t>
  </si>
  <si>
    <r>
      <rPr>
        <sz val="10"/>
        <color rgb="FF000000"/>
        <rFont val="Arial"/>
        <family val="2"/>
      </rPr>
      <t>Int &amp; FO - SSP1;</t>
    </r>
    <r>
      <rPr>
        <sz val="10"/>
        <color rgb="FF000000"/>
        <rFont val="Arial"/>
        <family val="2"/>
      </rPr>
      <t>SSP3</t>
    </r>
  </si>
  <si>
    <t>Akari change not applicable to BEN</t>
  </si>
  <si>
    <t>RangeUnitsetsECEPR</t>
  </si>
  <si>
    <t>MJRP-TCHECSSP1</t>
  </si>
  <si>
    <t>MJRP-TCHECSSP2</t>
  </si>
  <si>
    <t>MJRP-TCHECSSP3</t>
  </si>
  <si>
    <t>MJRP-TCHECSSP4</t>
  </si>
  <si>
    <t>MJRP-TCHPRSSP1</t>
  </si>
  <si>
    <t>MJRP-TCHPRSSP2</t>
  </si>
  <si>
    <t>MJRP-TCHPRSSP3</t>
  </si>
  <si>
    <t>MJRP-TCHPRSSP4</t>
  </si>
  <si>
    <t>GC-EDHE</t>
  </si>
  <si>
    <t>FO - SSP1;SSP2;SSP3;SSP4</t>
  </si>
  <si>
    <t>Y1SSP1</t>
  </si>
  <si>
    <t>EDUC5005</t>
  </si>
  <si>
    <t>Y1SSP2</t>
  </si>
  <si>
    <t>Not Available</t>
  </si>
  <si>
    <t>Y1SSP3</t>
  </si>
  <si>
    <t>Y1SSP4</t>
  </si>
  <si>
    <t>EDUC5031</t>
  </si>
  <si>
    <t>Graduate Certificate in Teaching English to Speakers of Other Languages</t>
  </si>
  <si>
    <t>GC-TESOL</t>
  </si>
  <si>
    <t>v.2</t>
  </si>
  <si>
    <t>EDEC5002</t>
  </si>
  <si>
    <t>Graduate Diploma in Education</t>
  </si>
  <si>
    <t>GD-EDUC</t>
  </si>
  <si>
    <t>200 credit points required</t>
  </si>
  <si>
    <t>Int &amp; FO - SSP1</t>
  </si>
  <si>
    <t>EDUC5011</t>
  </si>
  <si>
    <t>EDPR5003</t>
  </si>
  <si>
    <t>Graduate Diploma in Education (Accelerated)</t>
  </si>
  <si>
    <t>EDEC5000</t>
  </si>
  <si>
    <t>EDEC5008</t>
  </si>
  <si>
    <t>EDPR5000</t>
  </si>
  <si>
    <t>Master of Arts (Applied Linguistics)</t>
  </si>
  <si>
    <t>MC-APLING</t>
  </si>
  <si>
    <t>v.6</t>
  </si>
  <si>
    <t>EDUC5006</t>
  </si>
  <si>
    <t>EDUC5009</t>
  </si>
  <si>
    <t>MC-EDUC</t>
  </si>
  <si>
    <t>v.3</t>
  </si>
  <si>
    <t>Added 1 option unit</t>
  </si>
  <si>
    <t>EDEC5001</t>
  </si>
  <si>
    <t>EDEC5010</t>
  </si>
  <si>
    <t>EDPR5001</t>
  </si>
  <si>
    <t>MC-TEACH</t>
  </si>
  <si>
    <t>400 credit points required</t>
  </si>
  <si>
    <t>No structural changes</t>
  </si>
  <si>
    <t>EDPR5005</t>
  </si>
  <si>
    <t>Master of TESOL</t>
  </si>
  <si>
    <t>MC-TESOL</t>
  </si>
  <si>
    <t>EDEC5005</t>
  </si>
  <si>
    <t>EDPR5004</t>
  </si>
  <si>
    <t>Y2SSP1</t>
  </si>
  <si>
    <t>Y2SSP2</t>
  </si>
  <si>
    <t>Y2SSP3</t>
  </si>
  <si>
    <t>Y2SSP4</t>
  </si>
  <si>
    <t>EDPR5008</t>
  </si>
  <si>
    <t>TableMajors</t>
  </si>
  <si>
    <t>EDEC5006</t>
  </si>
  <si>
    <t>EDEC6003</t>
  </si>
  <si>
    <t>EDUC6062</t>
  </si>
  <si>
    <t>EDPR6000</t>
  </si>
  <si>
    <t>Choose your Major (drop-down list)</t>
  </si>
  <si>
    <t>EDEC6001</t>
  </si>
  <si>
    <t>EDPR5007</t>
  </si>
  <si>
    <t>MJRP-TCHEC</t>
  </si>
  <si>
    <t>EDEC5007</t>
  </si>
  <si>
    <t>EDUC6066</t>
  </si>
  <si>
    <t>MJRP-TCHPR</t>
  </si>
  <si>
    <t>Secondary Education Major (MTeach)</t>
  </si>
  <si>
    <t>MJRP-TCHSC</t>
  </si>
  <si>
    <t>TableSpecialisationsMCEDUC</t>
  </si>
  <si>
    <t>EDUC6064</t>
  </si>
  <si>
    <t>Choose your MEd Specialisation (drop-down list)</t>
  </si>
  <si>
    <t>Y3SSP1</t>
  </si>
  <si>
    <t>--</t>
  </si>
  <si>
    <t>Y3SSP2</t>
  </si>
  <si>
    <t>Y3SSP3</t>
  </si>
  <si>
    <t>Y3SSP4</t>
  </si>
  <si>
    <t>SPPE-None</t>
  </si>
  <si>
    <t>Cultural and Linguistic Diversity Specialisation (MEd)</t>
  </si>
  <si>
    <t>SPPE-CULIN</t>
  </si>
  <si>
    <t>Innovative Learning and Teaching Specialisation (MEd)</t>
  </si>
  <si>
    <t>SPPE-LNTCH</t>
  </si>
  <si>
    <t>Innovative STEM Education Specialisation (MEd)</t>
  </si>
  <si>
    <t>SPPE-STEME</t>
  </si>
  <si>
    <t>RangeUnitsetsTESOL</t>
  </si>
  <si>
    <t>GC-TESOLSSP1</t>
  </si>
  <si>
    <t>GC-TESOLSSP2</t>
  </si>
  <si>
    <t>GC-TESOLSSP3</t>
  </si>
  <si>
    <t>GC-TESOLSSP4</t>
  </si>
  <si>
    <t>MC-APLINGSSP1</t>
  </si>
  <si>
    <t>MC-APLINGSSP2</t>
  </si>
  <si>
    <t>MC-APLINGSSP3</t>
  </si>
  <si>
    <t>MC-APLINGSSP4</t>
  </si>
  <si>
    <t>MC-TESOLSSP1</t>
  </si>
  <si>
    <t>MC-TESOLSSP2</t>
  </si>
  <si>
    <t>MC-TESOLSSP3</t>
  </si>
  <si>
    <t>MC-TESOLSSP4</t>
  </si>
  <si>
    <t>EDUC5021</t>
  </si>
  <si>
    <t>EDUC5021*</t>
  </si>
  <si>
    <t>EDUC6041</t>
  </si>
  <si>
    <t>TableStudyPeriods</t>
  </si>
  <si>
    <t>EDUC5023*</t>
  </si>
  <si>
    <t>EDUC5023</t>
  </si>
  <si>
    <t>LING6000*</t>
  </si>
  <si>
    <t>EDUC6025</t>
  </si>
  <si>
    <t>START</t>
  </si>
  <si>
    <t>Next</t>
  </si>
  <si>
    <t>Next2</t>
  </si>
  <si>
    <t>Next3</t>
  </si>
  <si>
    <t>EDUC5019</t>
  </si>
  <si>
    <t>EDUC6040</t>
  </si>
  <si>
    <t>EDUC6040*</t>
  </si>
  <si>
    <t>SSP1</t>
  </si>
  <si>
    <t>SSP2</t>
  </si>
  <si>
    <t>SSP3</t>
  </si>
  <si>
    <t>SSP4</t>
  </si>
  <si>
    <t>EDUC5025</t>
  </si>
  <si>
    <t>EDUC5025*</t>
  </si>
  <si>
    <t>EDUC6027</t>
  </si>
  <si>
    <t>EDUC5033</t>
  </si>
  <si>
    <t>Special Study Period 2 (May - August)</t>
  </si>
  <si>
    <t>LING6001</t>
  </si>
  <si>
    <t>EDSC5022</t>
  </si>
  <si>
    <t>Special Study Period 4 (November - February)</t>
  </si>
  <si>
    <t>EDUC6015</t>
  </si>
  <si>
    <t>-</t>
  </si>
  <si>
    <t>TableStudyPeriodsShort</t>
  </si>
  <si>
    <t>DropDownTESOL_APLING</t>
  </si>
  <si>
    <t>RangeUnitsetsMCEDUC</t>
  </si>
  <si>
    <t>SPPE-NoneSSP1</t>
  </si>
  <si>
    <t>SPPE-NoneSSP2</t>
  </si>
  <si>
    <t>SPPE-NoneSSP3</t>
  </si>
  <si>
    <t>SPPE-NoneSSP4</t>
  </si>
  <si>
    <t>SPPE-CULINSSP1</t>
  </si>
  <si>
    <t>SPPE-CULINSSP2</t>
  </si>
  <si>
    <t>SPPE-CULINSSP3</t>
  </si>
  <si>
    <t>SPPE-CULINSSP4</t>
  </si>
  <si>
    <t>SPPE-LNTCHSSP1</t>
  </si>
  <si>
    <t>SPPE-LNTCHSSP2</t>
  </si>
  <si>
    <t>SPPE-LNTCHSSP3</t>
  </si>
  <si>
    <t>SPPE-LNTCHSSP4</t>
  </si>
  <si>
    <t>SPPE-STEMESSP1</t>
  </si>
  <si>
    <t>SPPE-STEMESSP2</t>
  </si>
  <si>
    <t>SPPE-STEMESSP3</t>
  </si>
  <si>
    <t>SPPE-STEMESSP4</t>
  </si>
  <si>
    <t>EDUC6003</t>
  </si>
  <si>
    <t>OptionMEd</t>
  </si>
  <si>
    <t>EDUC6056</t>
  </si>
  <si>
    <t>EDUC6054</t>
  </si>
  <si>
    <t>EDUC6058</t>
  </si>
  <si>
    <t>EDUC6060</t>
  </si>
  <si>
    <t>EDUC6048</t>
  </si>
  <si>
    <t>EDUC6046</t>
  </si>
  <si>
    <t>EDUC6052</t>
  </si>
  <si>
    <t>EDUC6050</t>
  </si>
  <si>
    <t>1)      Update high level course / component &amp; study period details (Unitsets Tab)</t>
  </si>
  <si>
    <t>2)      Update Planner page(s) to reference year of planner e.g. “2025” (Planner Tab)</t>
  </si>
  <si>
    <t>Option1</t>
  </si>
  <si>
    <t>3)      Update structures (Structures Tab)</t>
  </si>
  <si>
    <t>Option2</t>
  </si>
  <si>
    <t>4)      Update Handbook unit list from updated structures (Handbook Tab)</t>
  </si>
  <si>
    <t>Option3</t>
  </si>
  <si>
    <t>5)      Update Availabilities using updated Handbook unit list (Availabilities Tab)</t>
  </si>
  <si>
    <t>Option4</t>
  </si>
  <si>
    <t>6)      Update Pre Requisites (Handbook Tab)</t>
  </si>
  <si>
    <t>Option5</t>
  </si>
  <si>
    <t>7)      Update sequences for courses / components (Unitsets Tab)</t>
  </si>
  <si>
    <t>See Issue Log</t>
  </si>
  <si>
    <t>Option6</t>
  </si>
  <si>
    <t>8)      Review Handbook Tab for obvious issues / errors and enter notes (Handbook Tab)</t>
  </si>
  <si>
    <t>Option7</t>
  </si>
  <si>
    <t>9)      Review Planner Tab(s) for obvious issues / errors (Planner Tab)</t>
  </si>
  <si>
    <t>Option8</t>
  </si>
  <si>
    <t>Published</t>
  </si>
  <si>
    <t>Option9</t>
  </si>
  <si>
    <t>INDS5010</t>
  </si>
  <si>
    <t>Option10</t>
  </si>
  <si>
    <t>RangeUnitsetsGradCerts</t>
  </si>
  <si>
    <t>GC-EDHESSP1</t>
  </si>
  <si>
    <t>GC-EDHESSP2</t>
  </si>
  <si>
    <t>GC-EDHESSP3</t>
  </si>
  <si>
    <t>GC-EDHESSP4</t>
  </si>
  <si>
    <t>EDHE5007</t>
  </si>
  <si>
    <t>EDHE5008</t>
  </si>
  <si>
    <t>Opt-GCEDUC</t>
  </si>
  <si>
    <t>EDHE5010</t>
  </si>
  <si>
    <t>EDHE5011</t>
  </si>
  <si>
    <t>Primary Education Major (GradDipEdu)</t>
  </si>
  <si>
    <t>Secondary Education Major (GradDipEdu)</t>
  </si>
  <si>
    <t>Stream/Teaching Area:</t>
  </si>
  <si>
    <t>Choose your Teaching Area (drop-down list)</t>
  </si>
  <si>
    <t>Stream version:</t>
  </si>
  <si>
    <t>Teaching Area Subjects</t>
  </si>
  <si>
    <t>First Teaching Area:</t>
  </si>
  <si>
    <t>The Arts Teaching Area</t>
  </si>
  <si>
    <t>First Teaching Area version:</t>
  </si>
  <si>
    <t>Second Teaching Area:</t>
  </si>
  <si>
    <t>English Teaching Area</t>
  </si>
  <si>
    <t>Second Teaching Area version:</t>
  </si>
  <si>
    <t>MC-TEACH Master of Teaching (Secondary)</t>
  </si>
  <si>
    <t>RangeUnitsetsSec</t>
  </si>
  <si>
    <t>MJRP-TCHSCSSP1</t>
  </si>
  <si>
    <t>MJRP-TCHSCSSP2</t>
  </si>
  <si>
    <t>MJRP-TCHSCSSP3</t>
  </si>
  <si>
    <t>MJRP-TCHSCSSP4</t>
  </si>
  <si>
    <t>DropDownLists</t>
  </si>
  <si>
    <t>EDSC5035</t>
  </si>
  <si>
    <t>TableTeachingArea1</t>
  </si>
  <si>
    <t>DD</t>
  </si>
  <si>
    <t>Choose your Second Approved Teaching Area (drop-down lsit)</t>
  </si>
  <si>
    <t>Choose your First Approved Teaching Area (drop-down list)</t>
  </si>
  <si>
    <t>STRP-SCART</t>
  </si>
  <si>
    <t>EDSC5021</t>
  </si>
  <si>
    <t>50 credit points required</t>
  </si>
  <si>
    <t>STRP-SCFON</t>
  </si>
  <si>
    <t>EDSC5028</t>
  </si>
  <si>
    <t>FTAL</t>
  </si>
  <si>
    <t>STRP-SCENG</t>
  </si>
  <si>
    <t>Health and Physical Education Teaching Area</t>
  </si>
  <si>
    <t>STRP-SCHLP</t>
  </si>
  <si>
    <t>EDSC5029</t>
  </si>
  <si>
    <t>Humanities and Social Sciences Teaching Area</t>
  </si>
  <si>
    <t>STRP-SCHUS</t>
  </si>
  <si>
    <t>Mathematics Teaching Area</t>
  </si>
  <si>
    <t>STRP-SCMAT</t>
  </si>
  <si>
    <t>STAL</t>
  </si>
  <si>
    <t>Science Teaching Area</t>
  </si>
  <si>
    <t>STRP-SCSCI</t>
  </si>
  <si>
    <t>EDSC6000</t>
  </si>
  <si>
    <t>TableTeachingArea2</t>
  </si>
  <si>
    <t>FTAS</t>
  </si>
  <si>
    <t>Choose your Second Approved Teaching Area</t>
  </si>
  <si>
    <t>STAS</t>
  </si>
  <si>
    <t>No Second Teaching Area</t>
  </si>
  <si>
    <t>RangeTeachingAreas</t>
  </si>
  <si>
    <t>FTA</t>
  </si>
  <si>
    <t>TableMajorsGDEDUC</t>
  </si>
  <si>
    <t>FTALower</t>
  </si>
  <si>
    <t>EDSC5023</t>
  </si>
  <si>
    <t>EDSC5024</t>
  </si>
  <si>
    <t>EDSC5055</t>
  </si>
  <si>
    <t>EDSC5025</t>
  </si>
  <si>
    <t>EDSC5026</t>
  </si>
  <si>
    <t>EDSC5027</t>
  </si>
  <si>
    <t>Choose your Major</t>
  </si>
  <si>
    <t>FTASenior</t>
  </si>
  <si>
    <t>EDSC5030</t>
  </si>
  <si>
    <t>EDSC5053</t>
  </si>
  <si>
    <t>EDSC5057</t>
  </si>
  <si>
    <t>EDSC5032</t>
  </si>
  <si>
    <t>EDSC5033</t>
  </si>
  <si>
    <t>EDSC5034</t>
  </si>
  <si>
    <t>MJRP-EDUPR</t>
  </si>
  <si>
    <t>STA</t>
  </si>
  <si>
    <t>MJRP-EDUSC</t>
  </si>
  <si>
    <t>STALower</t>
  </si>
  <si>
    <t>STASenior</t>
  </si>
  <si>
    <t>EDSC5059</t>
  </si>
  <si>
    <t>RangeUnitsetsGDEDUC</t>
  </si>
  <si>
    <t>MJRP-EDUPRSSP1</t>
  </si>
  <si>
    <t>MJRP-EDUPRSSP2</t>
  </si>
  <si>
    <t>MJRP-EDUPR-SSP3</t>
  </si>
  <si>
    <t>MJRP-EDUPR-SSP4</t>
  </si>
  <si>
    <t>MJRP-EDUSCSSP1</t>
  </si>
  <si>
    <t>MJRP-EDUSCSSP2</t>
  </si>
  <si>
    <t>MJRP-EDUSCSSP3</t>
  </si>
  <si>
    <t>MJRP-EDUSCSSP4</t>
  </si>
  <si>
    <t>GDTAL</t>
  </si>
  <si>
    <t>GDTAS</t>
  </si>
  <si>
    <t>GDTA</t>
  </si>
  <si>
    <t>RangeUnitsetsGDEDUCAcc</t>
  </si>
  <si>
    <t>DDGD</t>
  </si>
  <si>
    <t>Choose your Teaching Area (Secondary Major only)</t>
  </si>
  <si>
    <t>Not applicable to Primary Major</t>
  </si>
  <si>
    <t>Title</t>
  </si>
  <si>
    <t>Pre-reqs (8/11/2024)</t>
  </si>
  <si>
    <t>Notes</t>
  </si>
  <si>
    <t>Please note this is a 50CP unit</t>
  </si>
  <si>
    <t>Not relevant to this study sequence</t>
  </si>
  <si>
    <t>---</t>
  </si>
  <si>
    <t>No unit available</t>
  </si>
  <si>
    <t>Early Childhood Professional Experience 1: Planning and Documentation</t>
  </si>
  <si>
    <t>Early Childhood Professional Experience 2: Planning for Writing, Assessment and Reporting</t>
  </si>
  <si>
    <t>EDEC5000 + EDUC5031</t>
  </si>
  <si>
    <t>Numeracy for 5 to 8 Year-Olds</t>
  </si>
  <si>
    <t>Nil</t>
  </si>
  <si>
    <t>Humanities and Science in Early Childhood</t>
  </si>
  <si>
    <t>Creative and Media Arts in Early Childhood</t>
  </si>
  <si>
    <t>Numeracy for Birth to 4 Year-Olds</t>
  </si>
  <si>
    <t>Health, Safety and Physical Education in Early Childhood</t>
  </si>
  <si>
    <t>Family and Community Contexts</t>
  </si>
  <si>
    <t>Early Literacies and Play-Based Pedagogies</t>
  </si>
  <si>
    <t>Philosophy, Management and Leadership in Early Childhood Education and Care</t>
  </si>
  <si>
    <t>The Learning Cycle: Design and Curriculum</t>
  </si>
  <si>
    <t>Design Thinking and Educational Innovation</t>
  </si>
  <si>
    <t>Research for the Scholarship of Learning and Teaching</t>
  </si>
  <si>
    <t>Teaching Portfolio</t>
  </si>
  <si>
    <t>Primary Professional Experience 1: Planning for Writing</t>
  </si>
  <si>
    <t>Primary Professional Experience 2: Assessment and Reporting</t>
  </si>
  <si>
    <t>Teaching Number, Algebra and Probability in the Primary Years</t>
  </si>
  <si>
    <t>Avail - Do we need an SSP2 availability for Accelerated GD?</t>
  </si>
  <si>
    <t>Teaching Humanities and Social Sciences in the Primary Years</t>
  </si>
  <si>
    <t>Teaching Science in the Primary Years</t>
  </si>
  <si>
    <t>Statistics For Educators</t>
  </si>
  <si>
    <t>Teaching Arts in the Primary Years</t>
  </si>
  <si>
    <t>Extending English in the Primary Years</t>
  </si>
  <si>
    <t>EDPR5000 or EDUC5030</t>
  </si>
  <si>
    <t>Literacy and Numeracy across the Curriculum</t>
  </si>
  <si>
    <t>Managing the Learning Environment</t>
  </si>
  <si>
    <t>Curriculum and Instruction Lower Secondary: The Arts</t>
  </si>
  <si>
    <t>Curriculum and Instruction Lower Secondary: English</t>
  </si>
  <si>
    <t>Curriculum and Instruction Lower Secondary: Humanities and Social Sciences</t>
  </si>
  <si>
    <t>Curriculum and Instruction Lower Secondary: Mathematics</t>
  </si>
  <si>
    <t>Curriculum and Instruction Lower Secondary: Science</t>
  </si>
  <si>
    <t>Secondary Professional Experience 1: Planning</t>
  </si>
  <si>
    <t>Secondary Professional Experience 2: Assessment and Reporting</t>
  </si>
  <si>
    <t>Curriculum and Instruction Senior Secondary: The Arts</t>
  </si>
  <si>
    <t>Avail - Do we need an SSP3 availability for Accelerated GD?</t>
  </si>
  <si>
    <t>Curriculum and Instruction Senior Secondary: Humanities and Social Sciences</t>
  </si>
  <si>
    <t>Curriculum and Instruction Senior Secondary: Mathematics</t>
  </si>
  <si>
    <t>Curriculum and Instruction Senior Secondary: Science</t>
  </si>
  <si>
    <t>Teaching in the Secondary School</t>
  </si>
  <si>
    <t>Curriculum and Instruction Senior Secondary: English</t>
  </si>
  <si>
    <t>Curriculum and Instruction Lower Secondary: Health and Physical Education</t>
  </si>
  <si>
    <t>Curriculum and Instruction Senior Secondary: Health and Physical Education</t>
  </si>
  <si>
    <t>Integrated Practice in the Secondary School</t>
  </si>
  <si>
    <t>Research-Based Inquiry to Enhance Practice</t>
  </si>
  <si>
    <t>Theories of Development and Learning</t>
  </si>
  <si>
    <t>Creative Technologies</t>
  </si>
  <si>
    <t>Pedagogies for Diversity</t>
  </si>
  <si>
    <t>Developing Positive Learning Environments</t>
  </si>
  <si>
    <t>Introduction to Language</t>
  </si>
  <si>
    <t>Materials Design and Assessment</t>
  </si>
  <si>
    <t>Teaching English to Speakers of Other Languages Methodologies</t>
  </si>
  <si>
    <t>Transcultural Communication</t>
  </si>
  <si>
    <t>Introduction to English: Reading</t>
  </si>
  <si>
    <t>Mentoring, Coaching and Tutoring</t>
  </si>
  <si>
    <t>Perspectives on Educational Research</t>
  </si>
  <si>
    <t>Negotiated Capstone Project</t>
  </si>
  <si>
    <t>EDUC6003 or EDUC6041</t>
  </si>
  <si>
    <t>Language Teaching Methodologies</t>
  </si>
  <si>
    <t>Language Teaching Course Design and Assessment</t>
  </si>
  <si>
    <t>Special Topics in Applied Linguistics</t>
  </si>
  <si>
    <t>Research Methods in Applied Linguistics</t>
  </si>
  <si>
    <t>Education in the Post-Truth Era</t>
  </si>
  <si>
    <t>Designing STEM Integration</t>
  </si>
  <si>
    <t>Education for a Future: Learning for Sustainability</t>
  </si>
  <si>
    <t>Emerging Technologies and the Future of Learning</t>
  </si>
  <si>
    <t>Empowering Learners Through Social Justice Leadership</t>
  </si>
  <si>
    <t>Leading Learning in Multilingual Contexts</t>
  </si>
  <si>
    <t>Pedagogies for Learner and Community Diversity</t>
  </si>
  <si>
    <t>Becoming a Leader of STEM Education</t>
  </si>
  <si>
    <t>Professional Experience 3: Using Data to Inform Teaching and Learning</t>
  </si>
  <si>
    <t>EDEC5001 or EDPR5001 or EDSC5029</t>
  </si>
  <si>
    <t>Professional Experience 4: Transition into the Profession</t>
  </si>
  <si>
    <t>Schooling and Australian Society</t>
  </si>
  <si>
    <t>First Teaching Area (study Lower before Senior)</t>
  </si>
  <si>
    <t>First Teaching Area LOWER subject (see below)</t>
  </si>
  <si>
    <t>See below</t>
  </si>
  <si>
    <t>FTAOption</t>
  </si>
  <si>
    <t>First Teaching Area Options</t>
  </si>
  <si>
    <t>First Teaching Area SENIOR subject (see below)</t>
  </si>
  <si>
    <t>Teaching Area (study Lower before Senior)</t>
  </si>
  <si>
    <t>Teaching Area LOWER subject (see below)</t>
  </si>
  <si>
    <t>Teaching Area SENIOR subject (see below)</t>
  </si>
  <si>
    <t>Graduate Listening to Country: First Nations' Perspectives</t>
  </si>
  <si>
    <t>Sem1</t>
  </si>
  <si>
    <t>Sem2</t>
  </si>
  <si>
    <t>Avail - only available in Semesters 1 &amp; 2 INTERNAL</t>
  </si>
  <si>
    <t>LING6000</t>
  </si>
  <si>
    <t>Language Acquisition</t>
  </si>
  <si>
    <t>Language in Society</t>
  </si>
  <si>
    <t>MajorGDEDUC</t>
  </si>
  <si>
    <t>Choose a Major</t>
  </si>
  <si>
    <t>Study a unit from the Option list below</t>
  </si>
  <si>
    <t>Option</t>
  </si>
  <si>
    <t>Teaching Area Options</t>
  </si>
  <si>
    <t>Second Teaching Area (study Lower before Senior OR EDUC5033 before EDSC5059)</t>
  </si>
  <si>
    <t>Second Teaching Area LOWER subject (see below)</t>
  </si>
  <si>
    <t>STAOption</t>
  </si>
  <si>
    <t>Second Teaching Area Options</t>
  </si>
  <si>
    <t>Second Teaching Area SENIOR subject (see below)</t>
  </si>
  <si>
    <t>The Arts Teaching Area Stream (MTch Sec)</t>
  </si>
  <si>
    <t>English Teaching Area Stream (MTch Sec)</t>
  </si>
  <si>
    <t>First Teaching Area Only Stream (MTch Sec)</t>
  </si>
  <si>
    <t>Health and Physical Education Teaching Area Stream (MTch Sec)</t>
  </si>
  <si>
    <t>Humanities and Social Sciences Teaching Area Stream (MTch Sec)</t>
  </si>
  <si>
    <t>Mathematics Teaching Area Stream (MTch Sec)</t>
  </si>
  <si>
    <t>Science Teaching Area Stream (MTch Sec)</t>
  </si>
  <si>
    <t>Structures downloaded from S1 (check instructions before copy/pasting into tables)</t>
  </si>
  <si>
    <t>Effective:</t>
  </si>
  <si>
    <t>Downloaded:</t>
  </si>
  <si>
    <t>Version</t>
  </si>
  <si>
    <t>OUA Code</t>
  </si>
  <si>
    <t>CPs</t>
  </si>
  <si>
    <t>No.</t>
  </si>
  <si>
    <t>Component Type</t>
  </si>
  <si>
    <t>Year Level</t>
  </si>
  <si>
    <t>Study Package Code</t>
  </si>
  <si>
    <t>Structure Line</t>
  </si>
  <si>
    <t>Effective</t>
  </si>
  <si>
    <t>Discont.</t>
  </si>
  <si>
    <t>Column1</t>
  </si>
  <si>
    <t>Column2</t>
  </si>
  <si>
    <t>Core</t>
  </si>
  <si>
    <t>NA</t>
  </si>
  <si>
    <t/>
  </si>
  <si>
    <t>Majors</t>
  </si>
  <si>
    <t>Graduate Certificate in Teaching English to Speakers of Other Languages (TESOL)</t>
  </si>
  <si>
    <t>Master of Education </t>
  </si>
  <si>
    <t>Semester 1</t>
  </si>
  <si>
    <t>OptionMC-EDUC</t>
  </si>
  <si>
    <t>Choose a Specialisation or 100 credits of Options</t>
  </si>
  <si>
    <t>Choose Options</t>
  </si>
  <si>
    <t>Special Study Period 1</t>
  </si>
  <si>
    <t>Special Study Period 2</t>
  </si>
  <si>
    <t>Special Study Period 3</t>
  </si>
  <si>
    <t>Special Study Period 4</t>
  </si>
  <si>
    <t>Downloaded 2024:</t>
  </si>
  <si>
    <t>Row Labels</t>
  </si>
  <si>
    <t>SSP1 Internal</t>
  </si>
  <si>
    <t>SSP1 Online</t>
  </si>
  <si>
    <t>SSP2 Internal</t>
  </si>
  <si>
    <t>SSP2 Online</t>
  </si>
  <si>
    <t>SSP3 Internal</t>
  </si>
  <si>
    <t>SSP3 Online</t>
  </si>
  <si>
    <t>SSP4 Internal</t>
  </si>
  <si>
    <t>SSP4 Online</t>
  </si>
  <si>
    <t>Course</t>
  </si>
  <si>
    <t>Issue</t>
  </si>
  <si>
    <t>Note</t>
  </si>
  <si>
    <t>GD-EDUC (Prim Accel)</t>
  </si>
  <si>
    <t>Accelerated GD needs an availability for EDPR5003 in SSP2 (was online only in 2024)</t>
  </si>
  <si>
    <t>Will not publish Accel Planner</t>
  </si>
  <si>
    <t>GD-EDUC (Sec Accel)</t>
  </si>
  <si>
    <t>Accelerated GD needs an availability for EDSC5030 in SSP3 (was online only in 2024)</t>
  </si>
  <si>
    <t>Accelerated GD needs an availability for EDSC5032 in SSP3 (was online only in 2024)</t>
  </si>
  <si>
    <t>Accelerated GD needs an availability for EDSC5033 in SSP3 (was online only in 2024)</t>
  </si>
  <si>
    <t>Accelerated GD needs an availability for EDSC5034 in SSP3 (was online only in 2024)</t>
  </si>
  <si>
    <t>Accelerated GD needs an availability for EDSC5053 in SSP3 (was online only in 2024)</t>
  </si>
  <si>
    <t>Accelerated GD needs an availability for EDSC5057 in SSP3 (was online only in 2024)</t>
  </si>
  <si>
    <t>MEd</t>
  </si>
  <si>
    <t>Newly added OPTION unit, however unit only available in Semesters, not SSPs. Available in both Semesters.</t>
  </si>
  <si>
    <t>No Action, noted on planner.</t>
  </si>
  <si>
    <t>2025 Full-Time (Accelerated Study) Enrolment Planner</t>
  </si>
  <si>
    <t>Course Notes:</t>
  </si>
  <si>
    <t>Content Focus:</t>
  </si>
  <si>
    <t>Introduction to Learning and Teaching Principles</t>
  </si>
  <si>
    <t>Choose your Content Focus (drop-down list)</t>
  </si>
  <si>
    <t>Introduction to Early Childhood Education</t>
  </si>
  <si>
    <t>Introduction to Primary Education</t>
  </si>
  <si>
    <t>Customise your degree</t>
  </si>
  <si>
    <t>ILTP</t>
  </si>
  <si>
    <t>IECE</t>
  </si>
  <si>
    <t>IPE</t>
  </si>
  <si>
    <t>CYD</t>
  </si>
  <si>
    <t>ILTPSSP1</t>
  </si>
  <si>
    <t>ILTPSSP3</t>
  </si>
  <si>
    <t>TableGCEDUCFocus</t>
  </si>
  <si>
    <t>IECESSP1</t>
  </si>
  <si>
    <t>IECESSP3</t>
  </si>
  <si>
    <t>IPESSP1</t>
  </si>
  <si>
    <t>IPESSP3</t>
  </si>
  <si>
    <t>CYDSSP1</t>
  </si>
  <si>
    <t>CYDSSP3</t>
  </si>
  <si>
    <t>RangeCourseNotesGradCerts</t>
  </si>
  <si>
    <t>Content focus: Foundations of learning and teaching. Explore theories of learning and development which underpin learning design; investigate the features of environments that facilitate learning and the role of technologies in effective learning and teaching; develop an appreciation of learner diversity and discover teaching approaches that cater for differences.
Student profile: You have a qualification in a discipline other than Education and want to develop your capabilities as an educator in your existing work context or discipline area.</t>
  </si>
  <si>
    <t xml:space="preserve">Students may fully customise their degree by selecting from the complete list of available units. </t>
  </si>
  <si>
    <t>Content focus: Foundations of learning and teaching for young children (aged birth to 8 years). Explore fundamental educational principles with a focus on the early childhood context.
Student profile: You have qualification in a discipline other than Education and are interested in the education of young children. You may be considering pursuing a career as an early childhood educator in a school or early learning centre. If you are considering applying for entry to Master of Teaching (Early Childhood Education) you should choose this Content Focus and enrol in the study sequence shown in this enrolment planner.</t>
  </si>
  <si>
    <t>Content focus: Foundations of learning and teaching for children (aged 5 to 12 years). Explore fundamental educational principles with a focus on the primary school context.
Student profile: You have qualification in a discipline other than Education and are interested in the education of children. You may be considering pursuing a career as a primary school teacher. If you are considering applying for entry to Master of Teaching (Primary Education) you should choose this Content Focus and enrol in the study sequence shown in this enrolment planner.</t>
  </si>
  <si>
    <t>Created &amp; Published GC-EDUC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</si>
</sst>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8"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sz val="9"/>
      <color rgb="FFFF0000"/>
      <name val="Segoe UI"/>
      <family val="2"/>
    </font>
    <font>
      <b/>
      <sz val="10"/>
      <name val="Segoe UI"/>
      <family val="2"/>
    </font>
    <font>
      <b/>
      <sz val="10"/>
      <color theme="1"/>
      <name val="Segoe UI"/>
      <family val="2"/>
    </font>
    <font>
      <b/>
      <sz val="18"/>
      <color theme="1"/>
      <name val="Segoe UI"/>
      <family val="2"/>
    </font>
    <font>
      <sz val="8"/>
      <color rgb="FFC00000"/>
      <name val="Arial"/>
      <family val="2"/>
    </font>
    <font>
      <b/>
      <i/>
      <sz val="10"/>
      <color theme="0" tint="-0.499984740745262"/>
      <name val="Arial"/>
      <family val="2"/>
    </font>
    <font>
      <i/>
      <sz val="10"/>
      <color theme="0" tint="-0.34998626667073579"/>
      <name val="Arial"/>
      <family val="2"/>
    </font>
    <font>
      <i/>
      <sz val="8"/>
      <color theme="0" tint="-0.499984740745262"/>
      <name val="Arial"/>
      <family val="2"/>
    </font>
    <font>
      <b/>
      <sz val="9"/>
      <color rgb="FFFF0000"/>
      <name val="Segoe UI"/>
      <family val="2"/>
    </font>
    <font>
      <b/>
      <sz val="16"/>
      <color theme="0"/>
      <name val="Segoe UI"/>
      <family val="2"/>
    </font>
    <font>
      <sz val="12"/>
      <name val="Calibri"/>
      <family val="2"/>
      <scheme val="minor"/>
    </font>
    <font>
      <b/>
      <sz val="11"/>
      <name val="Segoe UI"/>
      <family val="2"/>
    </font>
    <font>
      <b/>
      <sz val="10"/>
      <color theme="0"/>
      <name val="Segoe UI"/>
      <family val="2"/>
    </font>
    <font>
      <b/>
      <sz val="10"/>
      <name val="Arial"/>
      <family val="2"/>
    </font>
    <font>
      <b/>
      <sz val="14"/>
      <color theme="0"/>
      <name val="Segoe UI"/>
      <family val="2"/>
    </font>
    <font>
      <b/>
      <i/>
      <sz val="10"/>
      <color rgb="FFFF0000"/>
      <name val="Arial"/>
      <family val="2"/>
    </font>
    <font>
      <sz val="11"/>
      <color rgb="FF006100"/>
      <name val="Calibri"/>
      <family val="2"/>
      <scheme val="minor"/>
    </font>
    <font>
      <sz val="10"/>
      <color rgb="FF00B050"/>
      <name val="Arial"/>
      <family val="2"/>
    </font>
    <font>
      <b/>
      <i/>
      <sz val="12"/>
      <color rgb="FF00B050"/>
      <name val="Calibri"/>
      <family val="2"/>
      <scheme val="minor"/>
    </font>
    <font>
      <sz val="12"/>
      <color rgb="FFFF0000"/>
      <name val="Calibri"/>
      <family val="2"/>
      <scheme val="minor"/>
    </font>
    <font>
      <b/>
      <sz val="10"/>
      <color rgb="FFFF0000"/>
      <name val="Segoe UI"/>
      <family val="2"/>
    </font>
    <font>
      <sz val="10"/>
      <color theme="1"/>
      <name val="Segoe UI"/>
      <family val="2"/>
    </font>
    <font>
      <sz val="10"/>
      <color rgb="FFFF0000"/>
      <name val="Segoe UI"/>
      <family val="2"/>
    </font>
    <font>
      <b/>
      <sz val="11"/>
      <color theme="7"/>
      <name val="Calibri"/>
      <family val="2"/>
      <scheme val="minor"/>
    </font>
  </fonts>
  <fills count="16">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bgColor indexed="64"/>
      </patternFill>
    </fill>
    <fill>
      <patternFill patternType="solid">
        <fgColor rgb="FFC6EFCE"/>
      </patternFill>
    </fill>
    <fill>
      <patternFill patternType="solid">
        <fgColor rgb="FF92D050"/>
        <bgColor indexed="64"/>
      </patternFill>
    </fill>
    <fill>
      <patternFill patternType="solid">
        <fgColor rgb="FF00B050"/>
        <bgColor indexed="64"/>
      </patternFill>
    </fill>
  </fills>
  <borders count="31">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28" fillId="0" borderId="0" applyNumberFormat="0" applyFill="0" applyBorder="0" applyAlignment="0" applyProtection="0"/>
    <xf numFmtId="0" fontId="60" fillId="13" borderId="0" applyNumberFormat="0" applyBorder="0" applyAlignment="0" applyProtection="0"/>
  </cellStyleXfs>
  <cellXfs count="351">
    <xf numFmtId="0" fontId="0" fillId="0" borderId="0" xfId="0"/>
    <xf numFmtId="0" fontId="0" fillId="0" borderId="0" xfId="0" applyAlignment="1">
      <alignment horizontal="center"/>
    </xf>
    <xf numFmtId="0" fontId="10" fillId="0" borderId="0" xfId="0" applyFont="1"/>
    <xf numFmtId="0" fontId="10" fillId="0" borderId="0" xfId="0" applyFont="1" applyAlignment="1">
      <alignment horizontal="center"/>
    </xf>
    <xf numFmtId="0" fontId="18" fillId="0" borderId="11" xfId="1" applyFont="1" applyBorder="1" applyAlignment="1">
      <alignment horizontal="center"/>
    </xf>
    <xf numFmtId="0" fontId="18" fillId="0" borderId="12" xfId="1" applyFont="1" applyBorder="1" applyAlignment="1">
      <alignment horizontal="center"/>
    </xf>
    <xf numFmtId="0" fontId="18" fillId="0" borderId="12" xfId="1" applyFont="1" applyBorder="1"/>
    <xf numFmtId="0" fontId="18" fillId="0" borderId="13" xfId="1" applyFont="1" applyBorder="1"/>
    <xf numFmtId="0" fontId="1" fillId="0" borderId="0" xfId="1"/>
    <xf numFmtId="0" fontId="1" fillId="0" borderId="0" xfId="1" applyAlignment="1">
      <alignment horizontal="center"/>
    </xf>
    <xf numFmtId="0" fontId="1" fillId="0" borderId="0" xfId="1" applyProtection="1">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5" fillId="2" borderId="0" xfId="1" applyFont="1" applyFill="1" applyAlignment="1" applyProtection="1">
      <alignment wrapText="1"/>
      <protection locked="0"/>
    </xf>
    <xf numFmtId="0" fontId="25" fillId="2" borderId="0" xfId="1" applyFont="1" applyFill="1" applyAlignment="1">
      <alignment wrapText="1"/>
    </xf>
    <xf numFmtId="0" fontId="25" fillId="2" borderId="0" xfId="1" applyFont="1" applyFill="1" applyProtection="1">
      <protection locked="0"/>
    </xf>
    <xf numFmtId="0" fontId="25" fillId="2" borderId="0" xfId="1" applyFont="1" applyFill="1"/>
    <xf numFmtId="0" fontId="12" fillId="2" borderId="0" xfId="1" applyFont="1" applyFill="1" applyProtection="1">
      <protection locked="0"/>
    </xf>
    <xf numFmtId="0" fontId="12"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8" fillId="0" borderId="0" xfId="0" applyFont="1" applyAlignment="1">
      <alignment horizontal="center"/>
    </xf>
    <xf numFmtId="0" fontId="22" fillId="2" borderId="20" xfId="1" applyFont="1" applyFill="1" applyBorder="1" applyAlignment="1" applyProtection="1">
      <alignment horizontal="left" vertical="center" wrapText="1"/>
      <protection locked="0"/>
    </xf>
    <xf numFmtId="0" fontId="22" fillId="2" borderId="20" xfId="1" applyFont="1" applyFill="1" applyBorder="1" applyAlignment="1" applyProtection="1">
      <alignment horizontal="center" vertical="center" wrapText="1"/>
      <protection locked="0"/>
    </xf>
    <xf numFmtId="0" fontId="22" fillId="0" borderId="20" xfId="1" applyFont="1" applyBorder="1" applyAlignment="1" applyProtection="1">
      <alignment horizontal="center" vertical="center"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2"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14" fontId="10" fillId="0" borderId="0" xfId="0" applyNumberFormat="1" applyFont="1" applyProtection="1">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13"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43" fillId="0" borderId="0" xfId="0" applyFont="1"/>
    <xf numFmtId="0" fontId="43" fillId="0" borderId="0" xfId="0" applyFont="1" applyAlignment="1">
      <alignment horizontal="right"/>
    </xf>
    <xf numFmtId="0" fontId="43" fillId="0" borderId="0" xfId="0" applyFont="1" applyAlignment="1">
      <alignment horizontal="center"/>
    </xf>
    <xf numFmtId="0" fontId="0" fillId="0" borderId="24" xfId="0" applyBorder="1" applyAlignment="1">
      <alignment horizontal="center"/>
    </xf>
    <xf numFmtId="0" fontId="10" fillId="5" borderId="0" xfId="0" applyFont="1" applyFill="1"/>
    <xf numFmtId="0" fontId="10" fillId="4" borderId="0" xfId="0" applyFont="1" applyFill="1" applyAlignment="1">
      <alignment horizontal="center"/>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6" borderId="7" xfId="0" applyFont="1" applyFill="1" applyBorder="1" applyAlignment="1" applyProtection="1">
      <alignment horizontal="center" vertical="center"/>
      <protection locked="0"/>
    </xf>
    <xf numFmtId="0" fontId="3" fillId="0" borderId="7" xfId="0" quotePrefix="1" applyFont="1" applyBorder="1" applyAlignment="1" applyProtection="1">
      <alignment horizontal="center" vertical="center"/>
      <protection locked="0"/>
    </xf>
    <xf numFmtId="0" fontId="3" fillId="0" borderId="8" xfId="0" quotePrefix="1" applyFont="1" applyBorder="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29" fillId="9" borderId="0" xfId="2" applyFont="1" applyFill="1" applyAlignment="1" applyProtection="1">
      <alignment vertical="center"/>
    </xf>
    <xf numFmtId="0" fontId="28" fillId="9" borderId="0" xfId="2" applyFill="1" applyAlignment="1" applyProtection="1">
      <alignment vertical="center"/>
    </xf>
    <xf numFmtId="0" fontId="48" fillId="0" borderId="0" xfId="1" applyFont="1" applyAlignment="1">
      <alignment horizontal="center"/>
    </xf>
    <xf numFmtId="0" fontId="10" fillId="0" borderId="6" xfId="0" applyFont="1" applyBorder="1" applyProtection="1">
      <protection locked="0"/>
    </xf>
    <xf numFmtId="0" fontId="10" fillId="0" borderId="7" xfId="0" applyFont="1" applyBorder="1" applyProtection="1">
      <protection locked="0"/>
    </xf>
    <xf numFmtId="0" fontId="10" fillId="0" borderId="9" xfId="0" applyFont="1" applyBorder="1" applyProtection="1">
      <protection locked="0"/>
    </xf>
    <xf numFmtId="0" fontId="10" fillId="0" borderId="8" xfId="0" applyFont="1" applyBorder="1" applyProtection="1">
      <protection locked="0"/>
    </xf>
    <xf numFmtId="0" fontId="49" fillId="0" borderId="0" xfId="0" applyFont="1" applyAlignment="1" applyProtection="1">
      <alignment horizontal="left"/>
      <protection locked="0"/>
    </xf>
    <xf numFmtId="0" fontId="10" fillId="0" borderId="3" xfId="0" applyFont="1" applyBorder="1" applyProtection="1">
      <protection locked="0"/>
    </xf>
    <xf numFmtId="0" fontId="50" fillId="0" borderId="4" xfId="0" applyFont="1" applyBorder="1" applyProtection="1">
      <protection locked="0"/>
    </xf>
    <xf numFmtId="0" fontId="50" fillId="0" borderId="0" xfId="0" applyFont="1" applyProtection="1">
      <protection locked="0"/>
    </xf>
    <xf numFmtId="0" fontId="50" fillId="0" borderId="10" xfId="0" applyFont="1" applyBorder="1" applyProtection="1">
      <protection locked="0"/>
    </xf>
    <xf numFmtId="0" fontId="18" fillId="0" borderId="0" xfId="1" applyFont="1" applyAlignment="1">
      <alignment horizontal="center"/>
    </xf>
    <xf numFmtId="0" fontId="18" fillId="0" borderId="0" xfId="1" applyFont="1"/>
    <xf numFmtId="0" fontId="2" fillId="3" borderId="27" xfId="0" applyFont="1" applyFill="1" applyBorder="1" applyAlignment="1" applyProtection="1">
      <alignment horizontal="right"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51" fillId="0" borderId="28" xfId="0" applyFont="1" applyBorder="1" applyAlignment="1" applyProtection="1">
      <alignment horizontal="center" vertical="center"/>
      <protection locked="0"/>
    </xf>
    <xf numFmtId="0" fontId="51" fillId="0" borderId="29" xfId="0" applyFont="1" applyBorder="1" applyAlignment="1" applyProtection="1">
      <alignment horizontal="center" vertical="center"/>
      <protection locked="0"/>
    </xf>
    <xf numFmtId="0" fontId="3" fillId="10" borderId="7"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1" fillId="0" borderId="0" xfId="1" applyAlignment="1">
      <alignment horizontal="center" vertical="center"/>
    </xf>
    <xf numFmtId="0" fontId="9" fillId="0" borderId="0" xfId="1" applyFont="1" applyAlignment="1">
      <alignment horizontal="center"/>
    </xf>
    <xf numFmtId="0" fontId="10" fillId="0" borderId="4" xfId="0" applyFont="1" applyBorder="1" applyProtection="1">
      <protection locked="0"/>
    </xf>
    <xf numFmtId="0" fontId="10" fillId="0" borderId="5" xfId="0" applyFont="1" applyBorder="1" applyProtection="1">
      <protection locked="0"/>
    </xf>
    <xf numFmtId="14" fontId="54" fillId="0" borderId="0" xfId="0" applyNumberFormat="1" applyFont="1"/>
    <xf numFmtId="0" fontId="49" fillId="0" borderId="0" xfId="0" applyFont="1" applyAlignment="1" applyProtection="1">
      <alignment horizontal="right"/>
      <protection locked="0"/>
    </xf>
    <xf numFmtId="0" fontId="54" fillId="8" borderId="0" xfId="0" applyFont="1" applyFill="1" applyAlignment="1">
      <alignment horizontal="right"/>
    </xf>
    <xf numFmtId="14" fontId="0" fillId="8" borderId="0" xfId="0" applyNumberFormat="1" applyFill="1"/>
    <xf numFmtId="0" fontId="10" fillId="0" borderId="28" xfId="0" applyFont="1" applyBorder="1"/>
    <xf numFmtId="0" fontId="10" fillId="0" borderId="29" xfId="0" applyFont="1" applyBorder="1"/>
    <xf numFmtId="0" fontId="10" fillId="0" borderId="27" xfId="0" applyFont="1" applyBorder="1"/>
    <xf numFmtId="0" fontId="2" fillId="3" borderId="3" xfId="0" applyFont="1" applyFill="1" applyBorder="1" applyAlignment="1" applyProtection="1">
      <alignment horizontal="right" vertical="center"/>
      <protection locked="0"/>
    </xf>
    <xf numFmtId="0" fontId="2" fillId="3" borderId="5" xfId="0" applyFont="1" applyFill="1" applyBorder="1" applyAlignment="1" applyProtection="1">
      <alignment horizontal="right" vertical="center"/>
      <protection locked="0"/>
    </xf>
    <xf numFmtId="0" fontId="3" fillId="0" borderId="5" xfId="0" quotePrefix="1" applyFont="1" applyBorder="1" applyAlignment="1" applyProtection="1">
      <alignment horizontal="center" vertical="center"/>
      <protection locked="0"/>
    </xf>
    <xf numFmtId="0" fontId="7" fillId="8" borderId="0" xfId="0" applyFont="1" applyFill="1" applyAlignment="1" applyProtection="1">
      <alignment horizontal="left"/>
      <protection locked="0"/>
    </xf>
    <xf numFmtId="0" fontId="10" fillId="0" borderId="0" xfId="0" applyFont="1" applyAlignment="1" applyProtection="1">
      <alignment horizontal="center"/>
      <protection locked="0"/>
    </xf>
    <xf numFmtId="0" fontId="0" fillId="0" borderId="0" xfId="0" applyAlignment="1">
      <alignment wrapText="1"/>
    </xf>
    <xf numFmtId="14" fontId="6" fillId="0" borderId="0" xfId="0" applyNumberFormat="1" applyFont="1" applyProtection="1">
      <protection locked="0"/>
    </xf>
    <xf numFmtId="0" fontId="22" fillId="11" borderId="17" xfId="1" applyFont="1" applyFill="1" applyBorder="1" applyAlignment="1" applyProtection="1">
      <alignment horizontal="center" vertical="center" wrapText="1"/>
      <protection locked="0"/>
    </xf>
    <xf numFmtId="0" fontId="2" fillId="3" borderId="4" xfId="0" applyFont="1" applyFill="1" applyBorder="1" applyAlignment="1" applyProtection="1">
      <alignment horizontal="right" vertical="center"/>
      <protection locked="0"/>
    </xf>
    <xf numFmtId="0" fontId="3" fillId="0" borderId="4" xfId="0" applyFont="1" applyBorder="1" applyAlignment="1" applyProtection="1">
      <alignment horizontal="center" vertical="center"/>
      <protection locked="0"/>
    </xf>
    <xf numFmtId="0" fontId="3" fillId="0" borderId="10" xfId="0" quotePrefix="1" applyFont="1" applyBorder="1" applyAlignment="1" applyProtection="1">
      <alignment horizontal="center" vertical="center"/>
      <protection locked="0"/>
    </xf>
    <xf numFmtId="0" fontId="3" fillId="0" borderId="0" xfId="0" quotePrefix="1" applyFont="1" applyAlignment="1" applyProtection="1">
      <alignment horizontal="center" vertical="center"/>
      <protection locked="0"/>
    </xf>
    <xf numFmtId="0" fontId="3" fillId="10" borderId="0" xfId="0" applyFont="1" applyFill="1" applyAlignment="1" applyProtection="1">
      <alignment horizontal="center" vertical="center"/>
      <protection locked="0"/>
    </xf>
    <xf numFmtId="0" fontId="3" fillId="10" borderId="10" xfId="0" applyFont="1" applyFill="1" applyBorder="1" applyAlignment="1" applyProtection="1">
      <alignment horizontal="center" vertical="center"/>
      <protection locked="0"/>
    </xf>
    <xf numFmtId="14" fontId="7" fillId="0" borderId="0" xfId="0" applyNumberFormat="1" applyFont="1" applyProtection="1">
      <protection locked="0"/>
    </xf>
    <xf numFmtId="0" fontId="6" fillId="0" borderId="0" xfId="0" applyFont="1" applyAlignment="1" applyProtection="1">
      <alignment horizontal="left"/>
      <protection locked="0"/>
    </xf>
    <xf numFmtId="14" fontId="6" fillId="0" borderId="0" xfId="0" applyNumberFormat="1" applyFont="1" applyAlignment="1" applyProtection="1">
      <alignment horizont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38" fillId="12" borderId="0" xfId="1" applyFont="1" applyFill="1" applyAlignment="1">
      <alignment vertical="center" wrapText="1"/>
    </xf>
    <xf numFmtId="0" fontId="20" fillId="2" borderId="0" xfId="1" applyFont="1" applyFill="1" applyAlignment="1">
      <alignment horizontal="right" vertical="center" indent="1"/>
    </xf>
    <xf numFmtId="0" fontId="22" fillId="2" borderId="0" xfId="1" applyFont="1" applyFill="1" applyAlignment="1">
      <alignment horizontal="right" vertical="center" indent="1"/>
    </xf>
    <xf numFmtId="0" fontId="55" fillId="2" borderId="0" xfId="1" applyFont="1" applyFill="1" applyAlignment="1">
      <alignment vertical="center"/>
    </xf>
    <xf numFmtId="0" fontId="20" fillId="2" borderId="0" xfId="1" applyFont="1" applyFill="1" applyAlignment="1">
      <alignment vertical="center"/>
    </xf>
    <xf numFmtId="0" fontId="52" fillId="2" borderId="0" xfId="1" applyFont="1" applyFill="1" applyAlignment="1">
      <alignment vertical="center"/>
    </xf>
    <xf numFmtId="14" fontId="44" fillId="2" borderId="0" xfId="1" applyNumberFormat="1" applyFont="1" applyFill="1" applyAlignment="1">
      <alignment vertical="center"/>
    </xf>
    <xf numFmtId="0" fontId="45" fillId="2" borderId="0" xfId="1" applyFont="1" applyFill="1" applyAlignment="1">
      <alignment vertical="center"/>
    </xf>
    <xf numFmtId="14" fontId="36" fillId="2" borderId="0" xfId="1" applyNumberFormat="1" applyFont="1" applyFill="1" applyAlignment="1">
      <alignment horizontal="righ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46" fillId="2" borderId="0" xfId="1" applyFont="1" applyFill="1" applyAlignment="1">
      <alignment vertical="center"/>
    </xf>
    <xf numFmtId="0" fontId="22" fillId="2" borderId="0" xfId="1" applyFont="1" applyFill="1" applyAlignment="1">
      <alignment horizontal="left" vertical="center" wrapText="1"/>
    </xf>
    <xf numFmtId="0" fontId="22" fillId="0" borderId="0" xfId="1" applyFont="1" applyAlignment="1">
      <alignment vertical="top" wrapText="1"/>
    </xf>
    <xf numFmtId="0" fontId="44" fillId="0" borderId="0" xfId="1" applyFont="1" applyAlignment="1">
      <alignment vertical="top" wrapText="1"/>
    </xf>
    <xf numFmtId="0" fontId="23" fillId="7" borderId="0" xfId="1" applyFont="1" applyFill="1" applyAlignment="1">
      <alignment horizontal="center" vertical="center"/>
    </xf>
    <xf numFmtId="0" fontId="23" fillId="7" borderId="0" xfId="1" applyFont="1" applyFill="1" applyAlignment="1">
      <alignment horizontal="left" vertical="center" indent="1"/>
    </xf>
    <xf numFmtId="0" fontId="23" fillId="7" borderId="0" xfId="1" applyFont="1" applyFill="1" applyAlignment="1">
      <alignment vertical="center"/>
    </xf>
    <xf numFmtId="0" fontId="23" fillId="7" borderId="21" xfId="1" applyFont="1" applyFill="1" applyBorder="1" applyAlignment="1">
      <alignment horizontal="left" vertical="center"/>
    </xf>
    <xf numFmtId="0" fontId="23" fillId="7" borderId="0" xfId="1" applyFont="1" applyFill="1" applyAlignment="1">
      <alignment horizontal="left" vertical="center"/>
    </xf>
    <xf numFmtId="0" fontId="23" fillId="7" borderId="17" xfId="1" applyFont="1" applyFill="1" applyBorder="1" applyAlignment="1">
      <alignment horizontal="left" vertical="center"/>
    </xf>
    <xf numFmtId="0" fontId="24" fillId="2" borderId="0" xfId="1" applyFont="1" applyFill="1" applyAlignment="1">
      <alignment vertical="center"/>
    </xf>
    <xf numFmtId="0" fontId="23" fillId="7" borderId="0" xfId="1" applyFont="1" applyFill="1" applyAlignment="1">
      <alignment horizontal="center" vertical="center" wrapText="1"/>
    </xf>
    <xf numFmtId="0" fontId="23" fillId="7" borderId="25" xfId="1" applyFont="1" applyFill="1" applyBorder="1" applyAlignment="1">
      <alignment horizontal="center" vertical="center" wrapText="1"/>
    </xf>
    <xf numFmtId="0" fontId="23" fillId="7" borderId="26" xfId="1" applyFont="1" applyFill="1" applyBorder="1" applyAlignment="1">
      <alignment horizontal="center" vertical="center" wrapText="1"/>
    </xf>
    <xf numFmtId="0" fontId="22" fillId="2" borderId="18"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19" xfId="1" applyFont="1" applyFill="1" applyBorder="1" applyAlignment="1">
      <alignment vertical="center" wrapText="1"/>
    </xf>
    <xf numFmtId="0" fontId="25" fillId="2" borderId="19"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23" xfId="1" applyFont="1" applyFill="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2" fillId="0" borderId="19" xfId="1" applyFont="1" applyBorder="1" applyAlignment="1">
      <alignment horizontal="center" vertical="center" wrapText="1"/>
    </xf>
    <xf numFmtId="0" fontId="22" fillId="0" borderId="22" xfId="1" applyFont="1" applyBorder="1" applyAlignment="1">
      <alignment horizontal="center" vertical="center" wrapText="1"/>
    </xf>
    <xf numFmtId="0" fontId="22" fillId="0" borderId="23" xfId="1" applyFont="1" applyBorder="1" applyAlignment="1">
      <alignment horizontal="center" vertical="center" wrapText="1"/>
    </xf>
    <xf numFmtId="0" fontId="24" fillId="2" borderId="0" xfId="1" applyFont="1" applyFill="1"/>
    <xf numFmtId="0" fontId="22" fillId="0" borderId="19" xfId="1" applyFont="1" applyBorder="1" applyAlignment="1">
      <alignment horizontal="left" vertical="center" wrapText="1"/>
    </xf>
    <xf numFmtId="0" fontId="23" fillId="7" borderId="0" xfId="1" applyFont="1" applyFill="1" applyAlignment="1">
      <alignment horizontal="left" vertical="center" wrapText="1"/>
    </xf>
    <xf numFmtId="0" fontId="24" fillId="2" borderId="0" xfId="1" applyFont="1" applyFill="1" applyAlignment="1">
      <alignment horizontal="center" vertical="center"/>
    </xf>
    <xf numFmtId="0" fontId="22" fillId="0" borderId="19" xfId="1" applyFont="1" applyBorder="1" applyAlignment="1">
      <alignment vertical="center" wrapText="1"/>
    </xf>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33" fillId="2" borderId="0" xfId="1" applyFont="1" applyFill="1" applyAlignment="1">
      <alignment vertical="center"/>
    </xf>
    <xf numFmtId="0" fontId="34" fillId="2" borderId="0" xfId="1" applyFont="1" applyFill="1"/>
    <xf numFmtId="0" fontId="31" fillId="2" borderId="0" xfId="1" applyFont="1" applyFill="1" applyAlignment="1">
      <alignment vertical="center"/>
    </xf>
    <xf numFmtId="0" fontId="12" fillId="2" borderId="0" xfId="1" applyFont="1" applyFill="1" applyAlignment="1">
      <alignment vertical="center"/>
    </xf>
    <xf numFmtId="0" fontId="33" fillId="2" borderId="0" xfId="1" applyFont="1" applyFill="1" applyAlignment="1">
      <alignment horizontal="right" vertical="center"/>
    </xf>
    <xf numFmtId="0" fontId="46" fillId="2" borderId="0" xfId="1" applyFont="1" applyFill="1" applyAlignment="1" applyProtection="1">
      <alignment vertical="center"/>
      <protection locked="0"/>
    </xf>
    <xf numFmtId="0" fontId="20" fillId="2" borderId="0" xfId="1" applyFont="1" applyFill="1" applyAlignment="1">
      <alignment horizontal="center" vertical="center"/>
    </xf>
    <xf numFmtId="14" fontId="21" fillId="2" borderId="0" xfId="1" applyNumberFormat="1" applyFont="1" applyFill="1" applyAlignment="1">
      <alignment vertical="center"/>
    </xf>
    <xf numFmtId="0" fontId="56" fillId="0" borderId="0" xfId="1" applyFont="1" applyAlignment="1">
      <alignment horizontal="right" vertical="center"/>
    </xf>
    <xf numFmtId="0" fontId="22" fillId="2" borderId="18" xfId="1" quotePrefix="1" applyFont="1" applyFill="1" applyBorder="1" applyAlignment="1">
      <alignment horizontal="center" vertical="center" wrapText="1"/>
    </xf>
    <xf numFmtId="0" fontId="22" fillId="11" borderId="13" xfId="1" applyFont="1" applyFill="1" applyBorder="1" applyAlignment="1">
      <alignment horizontal="center" vertical="center" wrapText="1"/>
    </xf>
    <xf numFmtId="0" fontId="22" fillId="11" borderId="0" xfId="1" applyFont="1" applyFill="1" applyAlignment="1">
      <alignment horizontal="center" vertical="center" wrapText="1"/>
    </xf>
    <xf numFmtId="0" fontId="22" fillId="11" borderId="0" xfId="1" applyFont="1" applyFill="1" applyAlignment="1">
      <alignment vertical="center" wrapText="1"/>
    </xf>
    <xf numFmtId="0" fontId="25" fillId="11" borderId="0" xfId="1" applyFont="1" applyFill="1" applyAlignment="1">
      <alignment horizontal="left" vertical="center" wrapText="1"/>
    </xf>
    <xf numFmtId="0" fontId="44" fillId="11" borderId="21" xfId="1" applyFont="1" applyFill="1" applyBorder="1" applyAlignment="1">
      <alignment horizontal="center" vertical="center" wrapText="1"/>
    </xf>
    <xf numFmtId="0" fontId="44" fillId="11" borderId="17" xfId="1" applyFont="1" applyFill="1" applyBorder="1" applyAlignment="1">
      <alignment horizontal="center" vertical="center" wrapText="1"/>
    </xf>
    <xf numFmtId="0" fontId="22" fillId="0" borderId="19" xfId="1" applyFont="1" applyBorder="1" applyAlignment="1">
      <alignment horizontal="left" vertical="center"/>
    </xf>
    <xf numFmtId="0" fontId="53" fillId="12" borderId="0" xfId="1" applyFont="1" applyFill="1" applyAlignment="1">
      <alignment horizontal="left" vertical="center" readingOrder="1"/>
    </xf>
    <xf numFmtId="0" fontId="36" fillId="12" borderId="0" xfId="1" applyFont="1" applyFill="1" applyAlignment="1">
      <alignment horizontal="left" vertical="center" readingOrder="1"/>
    </xf>
    <xf numFmtId="0" fontId="21" fillId="12" borderId="0" xfId="1" applyFont="1" applyFill="1" applyAlignment="1">
      <alignment horizontal="left" vertical="center" readingOrder="1"/>
    </xf>
    <xf numFmtId="0" fontId="40" fillId="12" borderId="0" xfId="1" applyFont="1" applyFill="1" applyAlignment="1">
      <alignment horizontal="center" vertical="center" readingOrder="1"/>
    </xf>
    <xf numFmtId="0" fontId="23" fillId="12" borderId="21" xfId="1" applyFont="1" applyFill="1" applyBorder="1" applyAlignment="1">
      <alignment vertical="center" readingOrder="1"/>
    </xf>
    <xf numFmtId="0" fontId="23" fillId="12" borderId="0" xfId="1" applyFont="1" applyFill="1" applyAlignment="1">
      <alignment vertical="center" readingOrder="1"/>
    </xf>
    <xf numFmtId="0" fontId="40" fillId="12" borderId="0" xfId="1" applyFont="1" applyFill="1" applyAlignment="1">
      <alignment vertical="center" readingOrder="1"/>
    </xf>
    <xf numFmtId="0" fontId="40" fillId="12" borderId="17" xfId="1" applyFont="1" applyFill="1" applyBorder="1" applyAlignment="1">
      <alignment vertical="center" readingOrder="1"/>
    </xf>
    <xf numFmtId="0" fontId="37" fillId="12" borderId="0" xfId="1" applyFont="1" applyFill="1"/>
    <xf numFmtId="0" fontId="35" fillId="0" borderId="18" xfId="1" applyFont="1" applyBorder="1" applyAlignment="1">
      <alignment horizontal="center" vertical="center"/>
    </xf>
    <xf numFmtId="0" fontId="35" fillId="0" borderId="19" xfId="1" applyFont="1" applyBorder="1" applyAlignment="1">
      <alignment horizontal="center" vertical="center"/>
    </xf>
    <xf numFmtId="0" fontId="35" fillId="0" borderId="19" xfId="1" applyFont="1" applyBorder="1" applyAlignment="1">
      <alignment vertical="center"/>
    </xf>
    <xf numFmtId="0" fontId="35" fillId="0" borderId="19" xfId="1" applyFont="1" applyBorder="1" applyAlignment="1">
      <alignment vertical="center" wrapText="1"/>
    </xf>
    <xf numFmtId="0" fontId="35" fillId="0" borderId="19" xfId="1" applyFont="1" applyBorder="1" applyAlignment="1">
      <alignment horizontal="center" vertical="center" wrapText="1"/>
    </xf>
    <xf numFmtId="0" fontId="35" fillId="0" borderId="0" xfId="1" applyFont="1" applyAlignment="1">
      <alignment horizontal="center"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7" fillId="2" borderId="0" xfId="1" applyFont="1" applyFill="1" applyAlignment="1">
      <alignment horizontal="centerContinuous" vertical="center" wrapText="1"/>
    </xf>
    <xf numFmtId="0" fontId="45" fillId="2" borderId="0" xfId="1" applyFont="1" applyFill="1" applyAlignment="1" applyProtection="1">
      <alignment vertical="center"/>
      <protection locked="0"/>
    </xf>
    <xf numFmtId="14" fontId="22" fillId="2" borderId="0" xfId="1" applyNumberFormat="1" applyFont="1" applyFill="1" applyAlignment="1">
      <alignment vertical="center"/>
    </xf>
    <xf numFmtId="0" fontId="45" fillId="10" borderId="0" xfId="1" applyFont="1" applyFill="1" applyAlignment="1" applyProtection="1">
      <alignment vertical="center"/>
      <protection locked="0"/>
    </xf>
    <xf numFmtId="0" fontId="35" fillId="10" borderId="18" xfId="1" applyFont="1" applyFill="1" applyBorder="1" applyAlignment="1">
      <alignment horizontal="center" vertical="center"/>
    </xf>
    <xf numFmtId="0" fontId="35" fillId="10" borderId="19" xfId="1" applyFont="1" applyFill="1" applyBorder="1" applyAlignment="1">
      <alignment horizontal="center" vertical="center"/>
    </xf>
    <xf numFmtId="0" fontId="35" fillId="10" borderId="19" xfId="1" applyFont="1" applyFill="1" applyBorder="1" applyAlignment="1">
      <alignment vertical="center"/>
    </xf>
    <xf numFmtId="0" fontId="35" fillId="10" borderId="19" xfId="1" applyFont="1" applyFill="1" applyBorder="1" applyAlignment="1">
      <alignment vertical="center" wrapText="1"/>
    </xf>
    <xf numFmtId="0" fontId="35" fillId="10" borderId="19" xfId="1" applyFont="1" applyFill="1" applyBorder="1" applyAlignment="1">
      <alignment horizontal="center" vertical="center" wrapText="1"/>
    </xf>
    <xf numFmtId="0" fontId="22" fillId="10" borderId="22" xfId="1" applyFont="1" applyFill="1" applyBorder="1" applyAlignment="1">
      <alignment horizontal="center" vertical="center" wrapText="1"/>
    </xf>
    <xf numFmtId="0" fontId="22" fillId="10" borderId="23" xfId="1" applyFont="1" applyFill="1" applyBorder="1" applyAlignment="1">
      <alignment horizontal="center" vertical="center" wrapText="1"/>
    </xf>
    <xf numFmtId="0" fontId="22" fillId="10" borderId="19" xfId="1" applyFont="1" applyFill="1" applyBorder="1" applyAlignment="1">
      <alignment horizontal="center" vertical="center" wrapText="1"/>
    </xf>
    <xf numFmtId="0" fontId="26" fillId="10" borderId="0" xfId="1" applyFont="1" applyFill="1" applyAlignment="1">
      <alignment horizontal="center" vertical="center" wrapText="1"/>
    </xf>
    <xf numFmtId="0" fontId="35" fillId="4" borderId="18" xfId="1" applyFont="1" applyFill="1" applyBorder="1" applyAlignment="1">
      <alignment horizontal="center" vertical="center"/>
    </xf>
    <xf numFmtId="0" fontId="35" fillId="4" borderId="19" xfId="1" applyFont="1" applyFill="1" applyBorder="1" applyAlignment="1">
      <alignment horizontal="center" vertical="center"/>
    </xf>
    <xf numFmtId="0" fontId="35" fillId="4" borderId="19" xfId="1" applyFont="1" applyFill="1" applyBorder="1" applyAlignment="1">
      <alignment vertical="center"/>
    </xf>
    <xf numFmtId="0" fontId="35" fillId="4" borderId="19" xfId="1" applyFont="1" applyFill="1" applyBorder="1" applyAlignment="1">
      <alignment vertical="center" wrapText="1"/>
    </xf>
    <xf numFmtId="0" fontId="35" fillId="4" borderId="19" xfId="1" applyFont="1" applyFill="1" applyBorder="1" applyAlignment="1">
      <alignment horizontal="center" vertical="center" wrapText="1"/>
    </xf>
    <xf numFmtId="0" fontId="22" fillId="4" borderId="22" xfId="1" applyFont="1" applyFill="1" applyBorder="1" applyAlignment="1">
      <alignment horizontal="center" vertical="center" wrapText="1"/>
    </xf>
    <xf numFmtId="0" fontId="22" fillId="4" borderId="23" xfId="1" applyFont="1" applyFill="1" applyBorder="1" applyAlignment="1">
      <alignment horizontal="center" vertical="center" wrapText="1"/>
    </xf>
    <xf numFmtId="0" fontId="22" fillId="4" borderId="19" xfId="1" applyFont="1" applyFill="1" applyBorder="1" applyAlignment="1">
      <alignment horizontal="center" vertical="center" wrapText="1"/>
    </xf>
    <xf numFmtId="0" fontId="26" fillId="4" borderId="0" xfId="1" applyFont="1" applyFill="1" applyAlignment="1">
      <alignment horizontal="center" vertical="center" wrapText="1"/>
    </xf>
    <xf numFmtId="0" fontId="45" fillId="4" borderId="0" xfId="1" applyFont="1" applyFill="1" applyAlignment="1" applyProtection="1">
      <alignment vertical="center"/>
      <protection locked="0"/>
    </xf>
    <xf numFmtId="0" fontId="22" fillId="10" borderId="20" xfId="1" applyFont="1" applyFill="1" applyBorder="1" applyAlignment="1" applyProtection="1">
      <alignment horizontal="center" vertical="center" wrapText="1"/>
      <protection locked="0"/>
    </xf>
    <xf numFmtId="0" fontId="22" fillId="4" borderId="20" xfId="1" applyFont="1" applyFill="1" applyBorder="1" applyAlignment="1" applyProtection="1">
      <alignment horizontal="center" vertical="center" wrapText="1"/>
      <protection locked="0"/>
    </xf>
    <xf numFmtId="0" fontId="0" fillId="0" borderId="0" xfId="0" applyAlignment="1">
      <alignment horizontal="left" textRotation="90"/>
    </xf>
    <xf numFmtId="0" fontId="57" fillId="0" borderId="0" xfId="0" applyFont="1" applyAlignment="1" applyProtection="1">
      <alignment horizontal="left"/>
      <protection locked="0"/>
    </xf>
    <xf numFmtId="14" fontId="43" fillId="0" borderId="0" xfId="0" applyNumberFormat="1" applyFont="1"/>
    <xf numFmtId="14" fontId="0" fillId="0" borderId="0" xfId="0" applyNumberFormat="1"/>
    <xf numFmtId="0" fontId="57" fillId="0" borderId="0" xfId="0" applyFont="1" applyAlignment="1" applyProtection="1">
      <alignment horizontal="right"/>
      <protection locked="0"/>
    </xf>
    <xf numFmtId="0" fontId="10" fillId="0" borderId="0" xfId="0" applyFont="1" applyAlignment="1">
      <alignment horizontal="left"/>
    </xf>
    <xf numFmtId="0" fontId="10" fillId="0" borderId="0" xfId="0" applyFont="1" applyAlignment="1">
      <alignment horizontal="left" textRotation="90"/>
    </xf>
    <xf numFmtId="0" fontId="10" fillId="0" borderId="0" xfId="0" applyFont="1" applyAlignment="1">
      <alignment wrapText="1"/>
    </xf>
    <xf numFmtId="0" fontId="10" fillId="10" borderId="0" xfId="0" applyFont="1" applyFill="1" applyAlignment="1">
      <alignment horizontal="center"/>
    </xf>
    <xf numFmtId="0" fontId="10" fillId="10" borderId="6" xfId="0" applyFont="1" applyFill="1" applyBorder="1" applyAlignment="1">
      <alignment horizontal="center"/>
    </xf>
    <xf numFmtId="0" fontId="10" fillId="0" borderId="6" xfId="0" applyFont="1" applyBorder="1" applyAlignment="1">
      <alignment horizontal="left" textRotation="90"/>
    </xf>
    <xf numFmtId="0" fontId="19" fillId="11" borderId="15" xfId="1" applyFont="1" applyFill="1" applyBorder="1" applyAlignment="1">
      <alignment vertical="center"/>
    </xf>
    <xf numFmtId="0" fontId="19" fillId="11" borderId="16" xfId="1" applyFont="1" applyFill="1" applyBorder="1" applyAlignment="1">
      <alignment vertical="center"/>
    </xf>
    <xf numFmtId="0" fontId="19" fillId="11" borderId="16" xfId="1" applyFont="1" applyFill="1" applyBorder="1" applyAlignment="1">
      <alignment horizontal="right" vertical="center"/>
    </xf>
    <xf numFmtId="0" fontId="47" fillId="11" borderId="16" xfId="1" applyFont="1" applyFill="1" applyBorder="1" applyAlignment="1">
      <alignment horizontal="center" vertical="center"/>
    </xf>
    <xf numFmtId="0" fontId="41" fillId="11" borderId="16" xfId="1" applyFont="1" applyFill="1" applyBorder="1" applyAlignment="1">
      <alignment vertical="center"/>
    </xf>
    <xf numFmtId="0" fontId="23" fillId="7" borderId="0" xfId="1" applyFont="1" applyFill="1" applyAlignment="1">
      <alignment horizontal="left" vertical="center" shrinkToFit="1"/>
    </xf>
    <xf numFmtId="0" fontId="22" fillId="2" borderId="19" xfId="1" applyFont="1" applyFill="1" applyBorder="1" applyAlignment="1">
      <alignment vertical="center" shrinkToFit="1"/>
    </xf>
    <xf numFmtId="0" fontId="22" fillId="0" borderId="19" xfId="1" applyFont="1" applyBorder="1" applyAlignment="1">
      <alignment horizontal="left" vertical="center" shrinkToFit="1"/>
    </xf>
    <xf numFmtId="0" fontId="22" fillId="0" borderId="19" xfId="1" applyFont="1" applyBorder="1" applyAlignment="1">
      <alignment vertical="center" shrinkToFit="1"/>
    </xf>
    <xf numFmtId="0" fontId="22" fillId="11" borderId="0" xfId="1" applyFont="1" applyFill="1" applyAlignment="1">
      <alignment vertical="center" shrinkToFit="1"/>
    </xf>
    <xf numFmtId="0" fontId="19" fillId="11" borderId="0" xfId="1" applyFont="1" applyFill="1" applyAlignment="1">
      <alignment vertical="center"/>
    </xf>
    <xf numFmtId="0" fontId="19" fillId="11" borderId="0" xfId="1" applyFont="1" applyFill="1" applyAlignment="1">
      <alignment horizontal="right" vertical="center"/>
    </xf>
    <xf numFmtId="0" fontId="47" fillId="11" borderId="0" xfId="1" applyFont="1" applyFill="1" applyAlignment="1">
      <alignment horizontal="center" vertical="center"/>
    </xf>
    <xf numFmtId="0" fontId="41" fillId="11" borderId="0" xfId="1" applyFont="1" applyFill="1" applyAlignment="1">
      <alignment vertical="center"/>
    </xf>
    <xf numFmtId="0" fontId="58" fillId="12" borderId="0" xfId="1" applyFont="1" applyFill="1" applyAlignment="1">
      <alignment horizontal="left" vertical="center" readingOrder="1"/>
    </xf>
    <xf numFmtId="0" fontId="59" fillId="0" borderId="0" xfId="0" applyFont="1" applyProtection="1">
      <protection locked="0"/>
    </xf>
    <xf numFmtId="0" fontId="10" fillId="14" borderId="0" xfId="0" applyFont="1" applyFill="1" applyAlignment="1" applyProtection="1">
      <alignment horizontal="center"/>
      <protection locked="0"/>
    </xf>
    <xf numFmtId="14" fontId="10" fillId="14" borderId="0" xfId="0" applyNumberFormat="1" applyFont="1" applyFill="1" applyAlignment="1" applyProtection="1">
      <alignment horizontal="center"/>
      <protection locked="0"/>
    </xf>
    <xf numFmtId="0" fontId="61" fillId="0" borderId="0" xfId="0" applyFont="1" applyAlignment="1" applyProtection="1">
      <alignment horizontal="center"/>
      <protection locked="0"/>
    </xf>
    <xf numFmtId="14" fontId="61" fillId="0" borderId="0" xfId="0" applyNumberFormat="1" applyFont="1" applyAlignment="1" applyProtection="1">
      <alignment horizontal="center"/>
      <protection locked="0"/>
    </xf>
    <xf numFmtId="14" fontId="62" fillId="0" borderId="0" xfId="0" applyNumberFormat="1" applyFont="1"/>
    <xf numFmtId="0" fontId="62" fillId="0" borderId="0" xfId="0" applyFont="1" applyAlignment="1">
      <alignment horizontal="center"/>
    </xf>
    <xf numFmtId="14" fontId="60" fillId="13" borderId="0" xfId="3" applyNumberFormat="1" applyAlignment="1">
      <alignment horizontal="center"/>
    </xf>
    <xf numFmtId="0" fontId="62" fillId="0" borderId="0" xfId="0" applyFont="1"/>
    <xf numFmtId="0" fontId="61" fillId="0" borderId="0" xfId="0" applyFont="1" applyAlignment="1">
      <alignment horizontal="center"/>
    </xf>
    <xf numFmtId="0" fontId="63" fillId="0" borderId="0" xfId="0" applyFont="1"/>
    <xf numFmtId="0" fontId="10" fillId="8" borderId="0" xfId="0" applyFont="1" applyFill="1"/>
    <xf numFmtId="0" fontId="22" fillId="0" borderId="22" xfId="1" applyFont="1" applyBorder="1" applyAlignment="1">
      <alignment horizontal="center" vertical="center" shrinkToFit="1"/>
    </xf>
    <xf numFmtId="0" fontId="22" fillId="0" borderId="23" xfId="1" applyFont="1" applyBorder="1" applyAlignment="1">
      <alignment horizontal="center" vertical="center" shrinkToFit="1"/>
    </xf>
    <xf numFmtId="0" fontId="22" fillId="0" borderId="19" xfId="1" applyFont="1" applyBorder="1" applyAlignment="1">
      <alignment horizontal="center" vertical="center" shrinkToFit="1"/>
    </xf>
    <xf numFmtId="0" fontId="22" fillId="2" borderId="22" xfId="1" applyFont="1" applyFill="1" applyBorder="1" applyAlignment="1">
      <alignment horizontal="center" vertical="center" shrinkToFit="1"/>
    </xf>
    <xf numFmtId="0" fontId="22" fillId="2" borderId="23" xfId="1" applyFont="1" applyFill="1" applyBorder="1" applyAlignment="1">
      <alignment horizontal="center" vertical="center" shrinkToFit="1"/>
    </xf>
    <xf numFmtId="0" fontId="22" fillId="2" borderId="19" xfId="1" applyFont="1" applyFill="1" applyBorder="1" applyAlignment="1">
      <alignment horizontal="center" vertical="center" shrinkToFit="1"/>
    </xf>
    <xf numFmtId="0" fontId="55" fillId="2" borderId="0" xfId="1" applyFont="1" applyFill="1" applyAlignment="1" applyProtection="1">
      <alignment vertical="center" shrinkToFit="1"/>
      <protection locked="0"/>
    </xf>
    <xf numFmtId="0" fontId="61" fillId="5" borderId="0" xfId="0" applyFont="1" applyFill="1"/>
    <xf numFmtId="0" fontId="60" fillId="13" borderId="0" xfId="3"/>
    <xf numFmtId="0" fontId="64" fillId="0" borderId="0" xfId="1" applyFont="1" applyAlignment="1">
      <alignment horizontal="right" vertical="center"/>
    </xf>
    <xf numFmtId="0" fontId="10" fillId="15" borderId="0" xfId="0" applyFont="1" applyFill="1" applyAlignment="1" applyProtection="1">
      <alignment horizontal="center"/>
      <protection locked="0"/>
    </xf>
    <xf numFmtId="0" fontId="6" fillId="14" borderId="0" xfId="0" applyFont="1" applyFill="1" applyAlignment="1" applyProtection="1">
      <alignment horizontal="center"/>
      <protection locked="0"/>
    </xf>
    <xf numFmtId="0" fontId="20" fillId="2" borderId="1" xfId="1" applyFont="1" applyFill="1" applyBorder="1" applyAlignment="1">
      <alignment horizontal="right" vertical="center"/>
    </xf>
    <xf numFmtId="0" fontId="22" fillId="2" borderId="30" xfId="1" applyFont="1" applyFill="1" applyBorder="1" applyAlignment="1">
      <alignment horizontal="centerContinuous" vertical="center" wrapText="1"/>
    </xf>
    <xf numFmtId="0" fontId="22" fillId="0" borderId="30" xfId="1" applyFont="1" applyBorder="1" applyAlignment="1">
      <alignment horizontal="centerContinuous" vertical="top" wrapText="1"/>
    </xf>
    <xf numFmtId="0" fontId="65" fillId="2" borderId="30" xfId="1" applyFont="1" applyFill="1" applyBorder="1" applyAlignment="1">
      <alignment horizontal="centerContinuous" vertical="center" wrapText="1"/>
    </xf>
    <xf numFmtId="0" fontId="66" fillId="0" borderId="2" xfId="1" applyFont="1" applyBorder="1" applyAlignment="1">
      <alignment horizontal="centerContinuous" vertical="center" wrapText="1"/>
    </xf>
    <xf numFmtId="0" fontId="0" fillId="0" borderId="3" xfId="0" applyBorder="1" applyProtection="1">
      <protection locked="0"/>
    </xf>
    <xf numFmtId="0" fontId="0" fillId="0" borderId="5" xfId="0" applyBorder="1" applyProtection="1">
      <protection locked="0"/>
    </xf>
    <xf numFmtId="0" fontId="0" fillId="0" borderId="6" xfId="0" applyBorder="1" applyProtection="1">
      <protection locked="0"/>
    </xf>
    <xf numFmtId="0" fontId="0" fillId="0" borderId="9" xfId="0" applyBorder="1" applyProtection="1">
      <protection locked="0"/>
    </xf>
    <xf numFmtId="0" fontId="0" fillId="0" borderId="7" xfId="0" applyBorder="1" applyProtection="1">
      <protection locked="0"/>
    </xf>
    <xf numFmtId="0" fontId="0" fillId="0" borderId="8" xfId="0" applyBorder="1" applyProtection="1">
      <protection locked="0"/>
    </xf>
    <xf numFmtId="0" fontId="67" fillId="12" borderId="0" xfId="1" applyFont="1" applyFill="1" applyAlignment="1">
      <alignment horizontal="right" vertical="center"/>
    </xf>
    <xf numFmtId="0" fontId="36" fillId="2" borderId="0" xfId="1" applyFont="1" applyFill="1" applyAlignment="1">
      <alignment horizontal="left" vertical="center"/>
    </xf>
    <xf numFmtId="0" fontId="38" fillId="12" borderId="14" xfId="1" applyFont="1" applyFill="1" applyBorder="1" applyAlignment="1">
      <alignment horizontal="left" vertical="center" wrapText="1"/>
    </xf>
    <xf numFmtId="0" fontId="27" fillId="2" borderId="0" xfId="1" applyFont="1" applyFill="1" applyAlignment="1">
      <alignment horizontal="center" vertical="center" wrapText="1"/>
    </xf>
    <xf numFmtId="0" fontId="38" fillId="12" borderId="0" xfId="1" applyFont="1" applyFill="1" applyAlignment="1">
      <alignment horizontal="left" vertical="center" wrapText="1"/>
    </xf>
    <xf numFmtId="0" fontId="18" fillId="0" borderId="11" xfId="1" applyFont="1" applyBorder="1" applyAlignment="1" applyProtection="1">
      <alignment horizontal="center"/>
    </xf>
    <xf numFmtId="0" fontId="18" fillId="0" borderId="12" xfId="1" applyFont="1" applyBorder="1" applyAlignment="1" applyProtection="1">
      <alignment horizontal="center"/>
    </xf>
    <xf numFmtId="0" fontId="18" fillId="0" borderId="12" xfId="1" applyFont="1" applyBorder="1" applyProtection="1"/>
    <xf numFmtId="0" fontId="18" fillId="0" borderId="13" xfId="1" applyFont="1" applyBorder="1" applyProtection="1"/>
    <xf numFmtId="0" fontId="1" fillId="0" borderId="0" xfId="1" applyAlignment="1" applyProtection="1">
      <alignment horizontal="center" vertical="center"/>
    </xf>
    <xf numFmtId="0" fontId="1" fillId="0" borderId="0" xfId="1" applyProtection="1"/>
    <xf numFmtId="0" fontId="48" fillId="0" borderId="0" xfId="1" applyFont="1" applyAlignment="1" applyProtection="1">
      <alignment horizontal="center"/>
    </xf>
    <xf numFmtId="0" fontId="9" fillId="0" borderId="0" xfId="1" applyFont="1" applyAlignment="1" applyProtection="1">
      <alignment horizontal="center"/>
    </xf>
    <xf numFmtId="0" fontId="38" fillId="12" borderId="0" xfId="1" applyFont="1" applyFill="1" applyAlignment="1" applyProtection="1">
      <alignment horizontal="left" vertical="center" wrapText="1"/>
    </xf>
    <xf numFmtId="0" fontId="38" fillId="12" borderId="0" xfId="1" applyFont="1" applyFill="1" applyAlignment="1" applyProtection="1">
      <alignment vertical="center" wrapText="1"/>
    </xf>
    <xf numFmtId="0" fontId="19" fillId="11" borderId="0" xfId="1" applyFont="1" applyFill="1" applyAlignment="1" applyProtection="1">
      <alignment vertical="center"/>
    </xf>
    <xf numFmtId="0" fontId="19" fillId="11" borderId="0" xfId="1" applyFont="1" applyFill="1" applyAlignment="1" applyProtection="1">
      <alignment horizontal="right" vertical="center"/>
    </xf>
    <xf numFmtId="0" fontId="47" fillId="11" borderId="0" xfId="1" applyFont="1" applyFill="1" applyAlignment="1" applyProtection="1">
      <alignment horizontal="center" vertical="center"/>
    </xf>
    <xf numFmtId="0" fontId="41" fillId="11" borderId="0" xfId="1" applyFont="1" applyFill="1" applyAlignment="1" applyProtection="1">
      <alignment vertical="center"/>
    </xf>
    <xf numFmtId="0" fontId="20" fillId="2" borderId="0" xfId="1" applyFont="1" applyFill="1" applyAlignment="1" applyProtection="1">
      <alignment horizontal="right" vertical="center" indent="1"/>
    </xf>
    <xf numFmtId="0" fontId="22" fillId="2" borderId="0" xfId="1" applyFont="1" applyFill="1" applyAlignment="1" applyProtection="1">
      <alignment horizontal="right" vertical="center" indent="1"/>
    </xf>
    <xf numFmtId="0" fontId="45" fillId="2" borderId="0" xfId="1" applyFont="1" applyFill="1" applyAlignment="1" applyProtection="1">
      <alignment vertical="center"/>
    </xf>
    <xf numFmtId="0" fontId="20" fillId="2" borderId="0" xfId="1" applyFont="1" applyFill="1" applyAlignment="1" applyProtection="1">
      <alignment vertical="center"/>
    </xf>
    <xf numFmtId="0" fontId="20" fillId="2" borderId="0" xfId="1" applyFont="1" applyFill="1" applyAlignment="1" applyProtection="1">
      <alignment horizontal="left" vertical="center"/>
    </xf>
    <xf numFmtId="0" fontId="20" fillId="2" borderId="0" xfId="1" applyFont="1" applyFill="1" applyAlignment="1" applyProtection="1">
      <alignment horizontal="center" vertical="center"/>
    </xf>
    <xf numFmtId="0" fontId="56" fillId="0" borderId="0" xfId="1" applyFont="1" applyAlignment="1" applyProtection="1">
      <alignment horizontal="right" vertical="center"/>
    </xf>
    <xf numFmtId="0" fontId="20" fillId="2" borderId="0" xfId="1" applyFont="1" applyFill="1" applyAlignment="1" applyProtection="1">
      <alignment horizontal="left" vertical="center" indent="1"/>
    </xf>
    <xf numFmtId="0" fontId="22" fillId="2" borderId="0" xfId="1" applyFont="1" applyFill="1" applyAlignment="1" applyProtection="1">
      <alignment horizontal="left" vertical="center" wrapText="1"/>
    </xf>
    <xf numFmtId="0" fontId="22" fillId="0" borderId="0" xfId="1" applyFont="1" applyAlignment="1" applyProtection="1">
      <alignment vertical="top" wrapText="1"/>
    </xf>
    <xf numFmtId="0" fontId="23" fillId="7" borderId="0" xfId="1" applyFont="1" applyFill="1" applyAlignment="1" applyProtection="1">
      <alignment horizontal="center" vertical="center"/>
    </xf>
    <xf numFmtId="0" fontId="23" fillId="7" borderId="0" xfId="1" applyFont="1" applyFill="1" applyAlignment="1" applyProtection="1">
      <alignment horizontal="left" vertical="center" indent="1"/>
    </xf>
    <xf numFmtId="0" fontId="23" fillId="7" borderId="0" xfId="1" applyFont="1" applyFill="1" applyAlignment="1" applyProtection="1">
      <alignment vertical="center"/>
    </xf>
    <xf numFmtId="0" fontId="23" fillId="7" borderId="21" xfId="1" applyFont="1" applyFill="1" applyBorder="1" applyAlignment="1" applyProtection="1">
      <alignment horizontal="left" vertical="center"/>
    </xf>
    <xf numFmtId="0" fontId="23" fillId="7" borderId="0" xfId="1" applyFont="1" applyFill="1" applyAlignment="1" applyProtection="1">
      <alignment horizontal="left" vertical="center"/>
    </xf>
    <xf numFmtId="0" fontId="23" fillId="7" borderId="17" xfId="1" applyFont="1" applyFill="1" applyBorder="1" applyAlignment="1" applyProtection="1">
      <alignment horizontal="left" vertical="center"/>
    </xf>
    <xf numFmtId="0" fontId="24" fillId="2" borderId="0" xfId="1" applyFont="1" applyFill="1" applyAlignment="1" applyProtection="1">
      <alignment horizontal="center" vertical="center"/>
    </xf>
    <xf numFmtId="0" fontId="24" fillId="2" borderId="0" xfId="1" applyFont="1" applyFill="1" applyAlignment="1" applyProtection="1">
      <alignment vertical="center"/>
    </xf>
    <xf numFmtId="0" fontId="25" fillId="2" borderId="0" xfId="1" applyFont="1" applyFill="1" applyAlignment="1" applyProtection="1">
      <alignment vertical="center"/>
    </xf>
    <xf numFmtId="0" fontId="23" fillId="7" borderId="0" xfId="1" applyFont="1" applyFill="1" applyAlignment="1" applyProtection="1">
      <alignment horizontal="center" vertical="center" wrapText="1"/>
    </xf>
    <xf numFmtId="0" fontId="23" fillId="7" borderId="25" xfId="1" applyFont="1" applyFill="1" applyBorder="1" applyAlignment="1" applyProtection="1">
      <alignment horizontal="center" vertical="center" wrapText="1"/>
    </xf>
    <xf numFmtId="0" fontId="23" fillId="7" borderId="26" xfId="1" applyFont="1" applyFill="1" applyBorder="1" applyAlignment="1" applyProtection="1">
      <alignment horizontal="center" vertical="center" wrapText="1"/>
    </xf>
    <xf numFmtId="0" fontId="22" fillId="2" borderId="18" xfId="1" applyFont="1" applyFill="1" applyBorder="1" applyAlignment="1" applyProtection="1">
      <alignment horizontal="center" vertical="center" wrapText="1"/>
    </xf>
    <xf numFmtId="0" fontId="22" fillId="2" borderId="19" xfId="1" applyFont="1" applyFill="1" applyBorder="1" applyAlignment="1" applyProtection="1">
      <alignment horizontal="center" vertical="center" wrapText="1"/>
    </xf>
    <xf numFmtId="0" fontId="22" fillId="2" borderId="19" xfId="1" applyFont="1" applyFill="1" applyBorder="1" applyAlignment="1" applyProtection="1">
      <alignment vertical="center" wrapText="1"/>
    </xf>
    <xf numFmtId="0" fontId="25" fillId="2" borderId="19" xfId="1" applyFont="1" applyFill="1" applyBorder="1" applyAlignment="1" applyProtection="1">
      <alignment horizontal="center" vertical="center" wrapText="1"/>
    </xf>
    <xf numFmtId="0" fontId="22" fillId="2" borderId="22" xfId="1" applyFont="1" applyFill="1" applyBorder="1" applyAlignment="1" applyProtection="1">
      <alignment horizontal="center" vertical="center" wrapText="1"/>
    </xf>
    <xf numFmtId="0" fontId="22" fillId="2" borderId="23" xfId="1" applyFont="1" applyFill="1" applyBorder="1" applyAlignment="1" applyProtection="1">
      <alignment horizontal="center" vertical="center" wrapText="1"/>
    </xf>
    <xf numFmtId="0" fontId="26" fillId="0" borderId="0" xfId="1" applyFont="1" applyAlignment="1" applyProtection="1">
      <alignment horizontal="center" vertical="center" wrapText="1"/>
    </xf>
    <xf numFmtId="0" fontId="24" fillId="2" borderId="0" xfId="1" applyFont="1" applyFill="1" applyAlignment="1" applyProtection="1">
      <alignment wrapText="1"/>
    </xf>
    <xf numFmtId="0" fontId="25" fillId="2" borderId="0" xfId="1" applyFont="1" applyFill="1" applyAlignment="1" applyProtection="1">
      <alignment wrapText="1"/>
    </xf>
    <xf numFmtId="0" fontId="22" fillId="2" borderId="18" xfId="1" quotePrefix="1" applyFont="1" applyFill="1" applyBorder="1" applyAlignment="1" applyProtection="1">
      <alignment horizontal="center" vertical="center" wrapText="1"/>
    </xf>
    <xf numFmtId="0" fontId="22" fillId="11" borderId="13" xfId="1" applyFont="1" applyFill="1" applyBorder="1" applyAlignment="1" applyProtection="1">
      <alignment horizontal="center" vertical="center" wrapText="1"/>
    </xf>
    <xf numFmtId="0" fontId="22" fillId="11" borderId="0" xfId="1" applyFont="1" applyFill="1" applyAlignment="1" applyProtection="1">
      <alignment horizontal="center" vertical="center" wrapText="1"/>
    </xf>
    <xf numFmtId="0" fontId="22" fillId="11" borderId="0" xfId="1" applyFont="1" applyFill="1" applyAlignment="1" applyProtection="1">
      <alignment vertical="center" wrapText="1"/>
    </xf>
    <xf numFmtId="0" fontId="25" fillId="11" borderId="0" xfId="1" applyFont="1" applyFill="1" applyAlignment="1" applyProtection="1">
      <alignment horizontal="left" vertical="center" wrapText="1"/>
    </xf>
    <xf numFmtId="0" fontId="44" fillId="11" borderId="21" xfId="1" applyFont="1" applyFill="1" applyBorder="1" applyAlignment="1" applyProtection="1">
      <alignment horizontal="center" vertical="center" wrapText="1"/>
    </xf>
    <xf numFmtId="0" fontId="44" fillId="11" borderId="17" xfId="1" applyFont="1" applyFill="1" applyBorder="1" applyAlignment="1" applyProtection="1">
      <alignment horizontal="center" vertical="center" wrapText="1"/>
    </xf>
    <xf numFmtId="0" fontId="31" fillId="2" borderId="0" xfId="1" applyFont="1" applyFill="1" applyAlignment="1" applyProtection="1">
      <alignment horizontal="left" vertical="center" wrapText="1"/>
    </xf>
    <xf numFmtId="0" fontId="32" fillId="2" borderId="0" xfId="1" applyFont="1" applyFill="1" applyAlignment="1" applyProtection="1">
      <alignment horizontal="left" vertical="center" wrapText="1"/>
    </xf>
    <xf numFmtId="0" fontId="33" fillId="2" borderId="0" xfId="1" applyFont="1" applyFill="1" applyAlignment="1" applyProtection="1">
      <alignment vertical="center"/>
    </xf>
    <xf numFmtId="0" fontId="27" fillId="2" borderId="0" xfId="1" applyFont="1" applyFill="1" applyAlignment="1" applyProtection="1">
      <alignment horizontal="centerContinuous" vertical="center" wrapText="1"/>
    </xf>
    <xf numFmtId="0" fontId="34" fillId="2" borderId="0" xfId="1" applyFont="1" applyFill="1" applyProtection="1"/>
    <xf numFmtId="0" fontId="12" fillId="2" borderId="0" xfId="1" applyFont="1" applyFill="1" applyProtection="1"/>
    <xf numFmtId="0" fontId="31" fillId="2" borderId="0" xfId="1" applyFont="1" applyFill="1" applyAlignment="1" applyProtection="1">
      <alignment vertical="center"/>
    </xf>
    <xf numFmtId="0" fontId="12" fillId="2" borderId="0" xfId="1" applyFont="1" applyFill="1" applyAlignment="1" applyProtection="1">
      <alignment vertical="center"/>
    </xf>
    <xf numFmtId="0" fontId="33" fillId="2" borderId="0" xfId="1" applyFont="1" applyFill="1" applyAlignment="1" applyProtection="1">
      <alignment horizontal="right" vertical="center"/>
    </xf>
    <xf numFmtId="0" fontId="1" fillId="0" borderId="0" xfId="1" applyAlignment="1" applyProtection="1">
      <alignment horizontal="center"/>
    </xf>
  </cellXfs>
  <cellStyles count="4">
    <cellStyle name="Good" xfId="3" builtinId="26"/>
    <cellStyle name="Hyperlink" xfId="2" builtinId="8"/>
    <cellStyle name="Normal" xfId="0" builtinId="0"/>
    <cellStyle name="Normal 2" xfId="1" xr:uid="{00000000-0005-0000-0000-000003000000}"/>
  </cellStyles>
  <dxfs count="498">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val="0"/>
        <i/>
      </font>
      <fill>
        <patternFill>
          <bgColor theme="4" tint="0.79998168889431442"/>
        </patternFill>
      </fill>
    </dxf>
    <dxf>
      <font>
        <b val="0"/>
        <i/>
      </font>
      <fill>
        <patternFill>
          <bgColor theme="9" tint="0.79998168889431442"/>
        </patternFill>
      </fill>
    </dxf>
    <dxf>
      <fill>
        <patternFill>
          <bgColor theme="0" tint="-0.14996795556505021"/>
        </patternFill>
      </fill>
    </dxf>
    <dxf>
      <font>
        <b val="0"/>
        <i/>
      </font>
      <fill>
        <patternFill>
          <bgColor theme="9" tint="0.79998168889431442"/>
        </patternFill>
      </fill>
    </dxf>
    <dxf>
      <font>
        <b val="0"/>
        <i/>
      </font>
      <fill>
        <patternFill>
          <bgColor theme="4" tint="0.79998168889431442"/>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patternType="solid">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dxf>
    <dxf>
      <font>
        <color auto="1"/>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9" formatCode="d/mm/yyyy"/>
      <alignment horizontal="center" vertical="bottom" textRotation="0" wrapText="0" indent="0" justifyLastLine="0" shrinkToFit="0" readingOrder="0"/>
      <protection locked="0" hidden="0"/>
    </dxf>
    <dxf>
      <font>
        <strike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strike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protection locked="0" hidden="0"/>
    </dxf>
    <dxf>
      <font>
        <strike val="0"/>
        <outline val="0"/>
        <shadow val="0"/>
        <u val="none"/>
        <vertAlign val="baseline"/>
        <sz val="10"/>
        <color auto="1"/>
        <name val="Arial"/>
        <scheme val="none"/>
      </font>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family val="2"/>
        <scheme val="none"/>
      </font>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alignment horizontal="center" vertical="bottom" textRotation="0" wrapText="0" indent="0" justifyLastLine="0" shrinkToFit="0" readingOrder="0"/>
      <protection locked="0" hidden="0"/>
    </dxf>
    <dxf>
      <font>
        <sz val="1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17</xdr:col>
      <xdr:colOff>196216</xdr:colOff>
      <xdr:row>3</xdr:row>
      <xdr:rowOff>152401</xdr:rowOff>
    </xdr:from>
    <xdr:ext cx="5642610" cy="6400342"/>
    <xdr:sp macro="" textlink="">
      <xdr:nvSpPr>
        <xdr:cNvPr id="11" name="TextBox 1">
          <a:extLst>
            <a:ext uri="{FF2B5EF4-FFF2-40B4-BE49-F238E27FC236}">
              <a16:creationId xmlns:a16="http://schemas.microsoft.com/office/drawing/2014/main" id="{00000000-0008-0000-0000-00000B000000}"/>
            </a:ext>
          </a:extLst>
        </xdr:cNvPr>
        <xdr:cNvSpPr txBox="1"/>
      </xdr:nvSpPr>
      <xdr:spPr>
        <a:xfrm>
          <a:off x="11654791" y="657226"/>
          <a:ext cx="5642610" cy="640034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Full-Time Enrolment Guidelines</a:t>
          </a:r>
        </a:p>
        <a:p>
          <a:pPr marL="0" indent="0" algn="ctr"/>
          <a:endParaRPr lang="en-AU" sz="1100" b="0">
            <a:solidFill>
              <a:sysClr val="windowText" lastClr="000000"/>
            </a:solidFill>
            <a:effectLst/>
            <a:latin typeface="+mn-lt"/>
            <a:ea typeface="+mn-ea"/>
            <a:cs typeface="Segoe UI" panose="020B0502040204020203" pitchFamily="34" charset="0"/>
          </a:endParaRPr>
        </a:p>
        <a:p>
          <a:pPr marL="0" indent="0" algn="ctr"/>
          <a:r>
            <a:rPr lang="en-AU" sz="1100" b="1">
              <a:solidFill>
                <a:schemeClr val="accent5"/>
              </a:solidFill>
              <a:effectLst/>
              <a:latin typeface="+mn-lt"/>
              <a:ea typeface="+mn-ea"/>
              <a:cs typeface="Segoe UI" panose="020B0502040204020203" pitchFamily="34" charset="0"/>
            </a:rPr>
            <a:t>Master of Teaching - Early Childhood Education Major</a:t>
          </a:r>
        </a:p>
        <a:p>
          <a:pPr marL="0" indent="0" algn="ctr"/>
          <a:endParaRPr lang="en-AU" sz="1100" b="1">
            <a:solidFill>
              <a:schemeClr val="accent5"/>
            </a:solidFill>
            <a:effectLst/>
            <a:latin typeface="+mn-lt"/>
            <a:ea typeface="+mn-ea"/>
            <a:cs typeface="Segoe UI" panose="020B0502040204020203"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marL="0" indent="0" algn="ctr"/>
          <a:endParaRPr lang="en-AU" sz="1100" b="0">
            <a:solidFill>
              <a:sysClr val="windowText" lastClr="000000"/>
            </a:solidFill>
            <a:effectLst/>
            <a:latin typeface="+mn-lt"/>
            <a:ea typeface="+mn-ea"/>
            <a:cs typeface="Segoe UI" panose="020B0502040204020203" pitchFamily="34" charset="0"/>
          </a:endParaRPr>
        </a:p>
        <a:p>
          <a:pPr marL="0" indent="0" algn="l"/>
          <a:r>
            <a:rPr lang="en-AU" sz="1100" b="0">
              <a:solidFill>
                <a:sysClr val="windowText" lastClr="000000"/>
              </a:solidFill>
              <a:effectLst/>
              <a:latin typeface="+mn-lt"/>
              <a:ea typeface="+mn-ea"/>
              <a:cs typeface="Segoe UI" panose="020B0502040204020203" pitchFamily="34" charset="0"/>
            </a:rPr>
            <a:t>This planner shows the </a:t>
          </a:r>
          <a:r>
            <a:rPr lang="en-AU" sz="1100" b="1" u="sng">
              <a:solidFill>
                <a:sysClr val="windowText" lastClr="000000"/>
              </a:solidFill>
              <a:effectLst/>
              <a:latin typeface="+mn-lt"/>
              <a:cs typeface="Segoe UI" panose="020B0502040204020203" pitchFamily="34" charset="0"/>
            </a:rPr>
            <a:t>recommende</a:t>
          </a:r>
          <a:r>
            <a:rPr lang="en-AU" sz="1100" b="1" u="sng" baseline="0">
              <a:solidFill>
                <a:sysClr val="windowText" lastClr="000000"/>
              </a:solidFill>
              <a:effectLst/>
              <a:latin typeface="+mn-lt"/>
              <a:cs typeface="Segoe UI" panose="020B0502040204020203" pitchFamily="34" charset="0"/>
            </a:rPr>
            <a:t>d</a:t>
          </a:r>
          <a:r>
            <a:rPr lang="en-AU" sz="1100" b="0" baseline="0">
              <a:solidFill>
                <a:sysClr val="windowText" lastClr="000000"/>
              </a:solidFill>
              <a:effectLst/>
              <a:latin typeface="+mn-lt"/>
              <a:cs typeface="Segoe UI" panose="020B0502040204020203" pitchFamily="34" charset="0"/>
            </a:rPr>
            <a:t> sequence of </a:t>
          </a:r>
          <a:r>
            <a:rPr lang="en-AU" sz="1100" b="1" i="1" baseline="0">
              <a:solidFill>
                <a:sysClr val="windowText" lastClr="000000"/>
              </a:solidFill>
              <a:effectLst/>
              <a:latin typeface="+mn-lt"/>
              <a:cs typeface="Segoe UI" panose="020B0502040204020203" pitchFamily="34" charset="0"/>
            </a:rPr>
            <a:t>full-time study </a:t>
          </a:r>
          <a:r>
            <a:rPr lang="en-AU" sz="1100" b="0" baseline="0">
              <a:solidFill>
                <a:sysClr val="windowText" lastClr="000000"/>
              </a:solidFill>
              <a:effectLst/>
              <a:latin typeface="+mn-lt"/>
              <a:cs typeface="Segoe UI" panose="020B0502040204020203" pitchFamily="34" charset="0"/>
            </a:rPr>
            <a:t>based on your study period of commencement. The standard full-time study load is </a:t>
          </a:r>
          <a:r>
            <a:rPr lang="en-AU" sz="1100" b="1" i="1" baseline="0">
              <a:solidFill>
                <a:sysClr val="windowText" lastClr="000000"/>
              </a:solidFill>
              <a:effectLst/>
              <a:latin typeface="+mn-lt"/>
              <a:cs typeface="Segoe UI" panose="020B0502040204020203" pitchFamily="34" charset="0"/>
            </a:rPr>
            <a:t>50 credit points </a:t>
          </a:r>
          <a:r>
            <a:rPr lang="en-AU" sz="1100" b="0" baseline="0">
              <a:solidFill>
                <a:sysClr val="windowText" lastClr="000000"/>
              </a:solidFill>
              <a:effectLst/>
              <a:latin typeface="+mn-lt"/>
              <a:cs typeface="Segoe UI" panose="020B0502040204020203" pitchFamily="34" charset="0"/>
            </a:rPr>
            <a:t>per Special Study Period. 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 </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b="1"/>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953500" y="2667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106681</xdr:colOff>
      <xdr:row>22</xdr:row>
      <xdr:rowOff>36511</xdr:rowOff>
    </xdr:from>
    <xdr:ext cx="2889886" cy="264560"/>
    <xdr:sp macro="" textlink="">
      <xdr:nvSpPr>
        <xdr:cNvPr id="2" name="TextBox 1">
          <a:hlinkClick xmlns:r="http://schemas.openxmlformats.org/officeDocument/2006/relationships" r:id="rId2"/>
          <a:extLst>
            <a:ext uri="{FF2B5EF4-FFF2-40B4-BE49-F238E27FC236}">
              <a16:creationId xmlns:a16="http://schemas.microsoft.com/office/drawing/2014/main" id="{00000000-0008-0000-0000-000002000000}"/>
            </a:ext>
          </a:extLst>
        </xdr:cNvPr>
        <xdr:cNvSpPr txBox="1"/>
      </xdr:nvSpPr>
      <xdr:spPr>
        <a:xfrm>
          <a:off x="14308456" y="5218111"/>
          <a:ext cx="2889886"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619126</xdr:colOff>
      <xdr:row>2</xdr:row>
      <xdr:rowOff>361950</xdr:rowOff>
    </xdr:from>
    <xdr:to>
      <xdr:col>25</xdr:col>
      <xdr:colOff>352426</xdr:colOff>
      <xdr:row>3</xdr:row>
      <xdr:rowOff>152400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15097126" y="361950"/>
          <a:ext cx="2476500" cy="2952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201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0</xdr:colOff>
      <xdr:row>3</xdr:row>
      <xdr:rowOff>133350</xdr:rowOff>
    </xdr:from>
    <xdr:ext cx="5629275" cy="5017527"/>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1191875" y="638175"/>
          <a:ext cx="5629275" cy="501752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Enrolment Guidelines</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ct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Graduate Diploma in Education (Primary Education)</a:t>
          </a:r>
          <a:r>
            <a:rPr lang="en-AU" sz="1000" b="1" baseline="0">
              <a:solidFill>
                <a:schemeClr val="accent5"/>
              </a:solidFill>
              <a:latin typeface="Segoe UI" panose="020B0502040204020203" pitchFamily="34" charset="0"/>
              <a:ea typeface="Segoe UI" panose="020B0502040204020203" pitchFamily="34" charset="0"/>
              <a:cs typeface="Segoe UI" panose="020B0502040204020203" pitchFamily="34" charset="0"/>
            </a:rPr>
            <a:t> </a:t>
          </a: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(Accelerated Study</a:t>
          </a:r>
          <a:r>
            <a:rPr lang="en-AU" sz="1000" b="1" baseline="0">
              <a:solidFill>
                <a:schemeClr val="accent5"/>
              </a:solidFill>
              <a:latin typeface="Segoe UI" panose="020B0502040204020203" pitchFamily="34" charset="0"/>
              <a:ea typeface="Segoe UI" panose="020B0502040204020203" pitchFamily="34" charset="0"/>
              <a:cs typeface="Segoe UI" panose="020B0502040204020203" pitchFamily="34" charset="0"/>
            </a:rPr>
            <a:t> Plan)</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study for the </a:t>
          </a:r>
          <a:r>
            <a:rPr lang="en-AU" sz="1100" b="1" u="sng" baseline="0">
              <a:solidFill>
                <a:sysClr val="windowText" lastClr="000000"/>
              </a:solidFill>
              <a:effectLst/>
              <a:latin typeface="+mn-lt"/>
              <a:cs typeface="Segoe UI" panose="020B0502040204020203" pitchFamily="34" charset="0"/>
            </a:rPr>
            <a:t>Accelerated</a:t>
          </a:r>
          <a:r>
            <a:rPr lang="en-AU" sz="1100" b="0" baseline="0">
              <a:solidFill>
                <a:sysClr val="windowText" lastClr="000000"/>
              </a:solidFill>
              <a:effectLst/>
              <a:latin typeface="+mn-lt"/>
              <a:cs typeface="Segoe UI" panose="020B0502040204020203" pitchFamily="34" charset="0"/>
            </a:rPr>
            <a:t> Graduate Diploma in Education (Primary Education). Students are strongly advised to follow the recommended sequence of study as shown in this Planner. Due to the accelerated nature of this program, some units may only be offered online.</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22</xdr:col>
      <xdr:colOff>409575</xdr:colOff>
      <xdr:row>2</xdr:row>
      <xdr:rowOff>304800</xdr:rowOff>
    </xdr:from>
    <xdr:to>
      <xdr:col>26</xdr:col>
      <xdr:colOff>142875</xdr:colOff>
      <xdr:row>3</xdr:row>
      <xdr:rowOff>137555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600-000004000000}"/>
            </a:ext>
          </a:extLst>
        </xdr:cNvPr>
        <xdr:cNvSpPr txBox="1"/>
      </xdr:nvSpPr>
      <xdr:spPr>
        <a:xfrm>
          <a:off x="14154150" y="3048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oneCellAnchor>
    <xdr:from>
      <xdr:col>21</xdr:col>
      <xdr:colOff>628650</xdr:colOff>
      <xdr:row>17</xdr:row>
      <xdr:rowOff>48892</xdr:rowOff>
    </xdr:from>
    <xdr:ext cx="2857501" cy="264560"/>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600-000005000000}"/>
            </a:ext>
          </a:extLst>
        </xdr:cNvPr>
        <xdr:cNvSpPr txBox="1"/>
      </xdr:nvSpPr>
      <xdr:spPr>
        <a:xfrm>
          <a:off x="13877925" y="395414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725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114300</xdr:colOff>
      <xdr:row>3</xdr:row>
      <xdr:rowOff>57151</xdr:rowOff>
    </xdr:from>
    <xdr:ext cx="5629275" cy="5697394"/>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1268075" y="561976"/>
          <a:ext cx="5629275" cy="5697394"/>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Full-Time Enrolment Guidelines</a:t>
          </a:r>
          <a:endParaRPr lang="en-AU" sz="1100" b="0" u="none">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(Secondary Education)</a:t>
          </a:r>
          <a:r>
            <a:rPr lang="en-AU" sz="1100" b="1" baseline="0">
              <a:solidFill>
                <a:schemeClr val="accent5"/>
              </a:solidFill>
              <a:effectLst/>
              <a:latin typeface="+mn-lt"/>
              <a:ea typeface="+mn-ea"/>
              <a:cs typeface="+mn-cs"/>
            </a:rPr>
            <a:t> </a:t>
          </a:r>
          <a:r>
            <a:rPr lang="en-AU" sz="1100" b="1">
              <a:solidFill>
                <a:schemeClr val="accent5"/>
              </a:solidFill>
              <a:effectLst/>
              <a:latin typeface="+mn-lt"/>
              <a:ea typeface="+mn-ea"/>
              <a:cs typeface="+mn-cs"/>
            </a:rPr>
            <a:t>(Accelerated Study</a:t>
          </a:r>
          <a:r>
            <a:rPr lang="en-AU" sz="1100" b="1" baseline="0">
              <a:solidFill>
                <a:schemeClr val="accent5"/>
              </a:solidFill>
              <a:effectLst/>
              <a:latin typeface="+mn-lt"/>
              <a:ea typeface="+mn-ea"/>
              <a:cs typeface="+mn-cs"/>
            </a:rPr>
            <a:t> Plan)</a:t>
          </a:r>
          <a:endParaRPr lang="en-AU">
            <a:solidFill>
              <a:schemeClr val="accent5"/>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lang="en-AU" sz="1100" i="1">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(Secondary Education). Students are strongly advised to follow the recommended sequence of study as shown in this Planner. Due to the accelerated nature of this program, some units may only be offered online.</a:t>
          </a:r>
          <a:endParaRPr lang="en-AU">
            <a:effectLst/>
          </a:endParaRP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22</xdr:col>
      <xdr:colOff>57150</xdr:colOff>
      <xdr:row>19</xdr:row>
      <xdr:rowOff>115567</xdr:rowOff>
    </xdr:from>
    <xdr:ext cx="2857501"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954125" y="4535167"/>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22</xdr:col>
      <xdr:colOff>523875</xdr:colOff>
      <xdr:row>2</xdr:row>
      <xdr:rowOff>228600</xdr:rowOff>
    </xdr:from>
    <xdr:to>
      <xdr:col>26</xdr:col>
      <xdr:colOff>257175</xdr:colOff>
      <xdr:row>3</xdr:row>
      <xdr:rowOff>61355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4420850" y="2286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17</xdr:col>
      <xdr:colOff>142875</xdr:colOff>
      <xdr:row>3</xdr:row>
      <xdr:rowOff>123827</xdr:rowOff>
    </xdr:from>
    <xdr:ext cx="5642610" cy="6229782"/>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1563350" y="628652"/>
          <a:ext cx="5642610" cy="622978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 Primary Education Major</a:t>
          </a:r>
          <a:endParaRPr lang="en-AU" sz="1000">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pPr algn="l"/>
          <a:endParaRPr lang="en-AU" sz="1100" b="0">
            <a:solidFill>
              <a:sysClr val="windowText" lastClr="000000"/>
            </a:solidFill>
            <a:effectLst/>
            <a:latin typeface="+mn-lt"/>
            <a:cs typeface="Segoe UI" panose="020B0502040204020203" pitchFamily="34" charset="0"/>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 </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b="1"/>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305925" y="76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97156</xdr:colOff>
      <xdr:row>21</xdr:row>
      <xdr:rowOff>246061</xdr:rowOff>
    </xdr:from>
    <xdr:ext cx="2889886"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3775056" y="5160961"/>
          <a:ext cx="2889886"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565785</xdr:colOff>
      <xdr:row>2</xdr:row>
      <xdr:rowOff>361950</xdr:rowOff>
    </xdr:from>
    <xdr:to>
      <xdr:col>25</xdr:col>
      <xdr:colOff>299085</xdr:colOff>
      <xdr:row>3</xdr:row>
      <xdr:rowOff>123825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729460" y="361950"/>
          <a:ext cx="2476500" cy="26670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17</xdr:col>
      <xdr:colOff>295276</xdr:colOff>
      <xdr:row>3</xdr:row>
      <xdr:rowOff>142877</xdr:rowOff>
    </xdr:from>
    <xdr:ext cx="5634990" cy="5822491"/>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972926" y="647702"/>
          <a:ext cx="5634990" cy="5822491"/>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Teaching English to Speakers of Other Languages</a:t>
          </a:r>
        </a:p>
        <a:p>
          <a:pPr algn="ctr"/>
          <a:r>
            <a:rPr lang="en-AU" sz="1100" b="1">
              <a:solidFill>
                <a:schemeClr val="accent5"/>
              </a:solidFill>
              <a:effectLst/>
              <a:latin typeface="+mn-lt"/>
              <a:ea typeface="+mn-ea"/>
              <a:cs typeface="+mn-cs"/>
            </a:rPr>
            <a:t>Master of Arts (Applied Linguistics)</a:t>
          </a:r>
        </a:p>
        <a:p>
          <a:pPr algn="ctr"/>
          <a:r>
            <a:rPr lang="en-AU" sz="1100" b="1">
              <a:solidFill>
                <a:schemeClr val="accent5"/>
              </a:solidFill>
              <a:effectLst/>
              <a:latin typeface="+mn-lt"/>
              <a:ea typeface="+mn-ea"/>
              <a:cs typeface="+mn-cs"/>
            </a:rPr>
            <a:t>Master of TESOL (Teaching English to Speakers of Other Languages)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Course</a:t>
          </a:r>
          <a:r>
            <a:rPr lang="en-AU" sz="1100" i="1" baseline="0">
              <a:solidFill>
                <a:schemeClr val="dk1"/>
              </a:solidFill>
              <a:effectLst/>
              <a:latin typeface="+mn-lt"/>
              <a:ea typeface="+mn-ea"/>
              <a:cs typeface="+mn-cs"/>
            </a:rPr>
            <a:t> and you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p>
        <a:p>
          <a:pPr algn="ctr" rtl="0" eaLnBrk="1" fontAlgn="auto" latinLnBrk="0" hangingPunct="1"/>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Online attendance mode</a:t>
          </a:r>
        </a:p>
        <a:p>
          <a:pPr eaLnBrk="1" fontAlgn="auto" latinLnBrk="0" hangingPunct="1"/>
          <a:r>
            <a:rPr lang="en-AU" sz="1100" b="0">
              <a:solidFill>
                <a:schemeClr val="dk1"/>
              </a:solidFill>
              <a:effectLst/>
              <a:latin typeface="+mn-lt"/>
              <a:ea typeface="+mn-ea"/>
              <a:cs typeface="+mn-cs"/>
            </a:rPr>
            <a:t>Units</a:t>
          </a:r>
          <a:r>
            <a:rPr lang="en-AU" sz="1100" b="0" baseline="0">
              <a:solidFill>
                <a:schemeClr val="dk1"/>
              </a:solidFill>
              <a:effectLst/>
              <a:latin typeface="+mn-lt"/>
              <a:ea typeface="+mn-ea"/>
              <a:cs typeface="+mn-cs"/>
            </a:rPr>
            <a:t> denoted by * may </a:t>
          </a:r>
          <a:r>
            <a:rPr lang="en-AU" sz="1100" b="0" u="sng" baseline="0">
              <a:solidFill>
                <a:schemeClr val="dk1"/>
              </a:solidFill>
              <a:effectLst/>
              <a:latin typeface="+mn-lt"/>
              <a:ea typeface="+mn-ea"/>
              <a:cs typeface="+mn-cs"/>
            </a:rPr>
            <a:t>only</a:t>
          </a:r>
          <a:r>
            <a:rPr lang="en-AU" sz="1100" b="0" baseline="0">
              <a:solidFill>
                <a:schemeClr val="dk1"/>
              </a:solidFill>
              <a:effectLst/>
              <a:latin typeface="+mn-lt"/>
              <a:ea typeface="+mn-ea"/>
              <a:cs typeface="+mn-cs"/>
            </a:rPr>
            <a:t> be available in the Online attendance mode in given study periods.</a:t>
          </a:r>
          <a:endParaRPr lang="en-AU" sz="1000">
            <a:effectLst/>
          </a:endParaRPr>
        </a:p>
        <a:p>
          <a:pPr algn="l"/>
          <a:endParaRPr lang="en-AU" sz="1000">
            <a:solidFill>
              <a:srgbClr val="FF0000"/>
            </a:solidFill>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 </a:t>
          </a:r>
        </a:p>
        <a:p>
          <a:endParaRPr lang="en-AU">
            <a:effectLst/>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b="1">
            <a:solidFill>
              <a:srgbClr val="FF0000"/>
            </a:solidFill>
          </a:endParaRPr>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53575" y="457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22</xdr:col>
      <xdr:colOff>64771</xdr:colOff>
      <xdr:row>2</xdr:row>
      <xdr:rowOff>384173</xdr:rowOff>
    </xdr:from>
    <xdr:ext cx="2436495"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980921" y="384173"/>
          <a:ext cx="2436495"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262891</xdr:colOff>
      <xdr:row>3</xdr:row>
      <xdr:rowOff>104775</xdr:rowOff>
    </xdr:from>
    <xdr:ext cx="5642610" cy="4992777"/>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1092816" y="609600"/>
          <a:ext cx="5642610" cy="499277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Education</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Specialisation</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a:effectLst/>
          </a:endParaRP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000">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 </a:t>
          </a:r>
        </a:p>
        <a:p>
          <a:endParaRPr lang="en-AU">
            <a:effectLst/>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34291</xdr:colOff>
      <xdr:row>2</xdr:row>
      <xdr:rowOff>264796</xdr:rowOff>
    </xdr:from>
    <xdr:to>
      <xdr:col>25</xdr:col>
      <xdr:colOff>419101</xdr:colOff>
      <xdr:row>3</xdr:row>
      <xdr:rowOff>103266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4293216" y="264796"/>
          <a:ext cx="244221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14955DA4-39F9-4066-A60C-291D61B253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05950"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57150</xdr:colOff>
      <xdr:row>3</xdr:row>
      <xdr:rowOff>171450</xdr:rowOff>
    </xdr:from>
    <xdr:ext cx="5629275" cy="6558527"/>
    <xdr:sp macro="" textlink="">
      <xdr:nvSpPr>
        <xdr:cNvPr id="3" name="TextBox 2">
          <a:extLst>
            <a:ext uri="{FF2B5EF4-FFF2-40B4-BE49-F238E27FC236}">
              <a16:creationId xmlns:a16="http://schemas.microsoft.com/office/drawing/2014/main" id="{F0F53404-CB01-4981-9C7C-A61130300EB7}"/>
            </a:ext>
          </a:extLst>
        </xdr:cNvPr>
        <xdr:cNvSpPr txBox="1"/>
      </xdr:nvSpPr>
      <xdr:spPr>
        <a:xfrm>
          <a:off x="11925300" y="676275"/>
          <a:ext cx="5629275" cy="655852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Education (GC-EDUC v.1)</a:t>
          </a:r>
        </a:p>
        <a:p>
          <a:pPr algn="ctr"/>
          <a:endParaRPr lang="en-AU" sz="1100" b="1">
            <a:solidFill>
              <a:schemeClr val="accent5"/>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Content Focus</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i="1">
            <a:solidFill>
              <a:schemeClr val="dk1"/>
            </a:solidFill>
            <a:effectLst/>
            <a:latin typeface="+mn-lt"/>
            <a:ea typeface="+mn-ea"/>
            <a:cs typeface="+mn-cs"/>
          </a:endParaRPr>
        </a:p>
        <a:p>
          <a:r>
            <a:rPr lang="en-AU" sz="1100" b="0">
              <a:solidFill>
                <a:sysClr val="windowText" lastClr="000000"/>
              </a:solidFill>
              <a:effectLst/>
              <a:latin typeface="+mn-lt"/>
              <a:ea typeface="+mn-ea"/>
              <a:cs typeface="+mn-cs"/>
            </a:rPr>
            <a:t>This planner shows the </a:t>
          </a:r>
          <a:r>
            <a:rPr lang="en-AU" sz="1100" b="1" u="sng">
              <a:solidFill>
                <a:sysClr val="windowText" lastClr="000000"/>
              </a:solidFill>
              <a:effectLst/>
              <a:latin typeface="+mn-lt"/>
              <a:ea typeface="+mn-ea"/>
              <a:cs typeface="+mn-cs"/>
            </a:rPr>
            <a:t>recommende</a:t>
          </a:r>
          <a:r>
            <a:rPr lang="en-AU" sz="1100" b="1" u="sng" baseline="0">
              <a:solidFill>
                <a:sysClr val="windowText" lastClr="000000"/>
              </a:solidFill>
              <a:effectLst/>
              <a:latin typeface="+mn-lt"/>
              <a:ea typeface="+mn-ea"/>
              <a:cs typeface="+mn-cs"/>
            </a:rPr>
            <a:t>d</a:t>
          </a:r>
          <a:r>
            <a:rPr lang="en-AU" sz="1100" b="0" baseline="0">
              <a:solidFill>
                <a:sysClr val="windowText" lastClr="000000"/>
              </a:solidFill>
              <a:effectLst/>
              <a:latin typeface="+mn-lt"/>
              <a:ea typeface="+mn-ea"/>
              <a:cs typeface="+mn-cs"/>
            </a:rPr>
            <a:t> sequence of </a:t>
          </a:r>
          <a:r>
            <a:rPr lang="en-AU" sz="1100" b="1" i="1" baseline="0">
              <a:solidFill>
                <a:sysClr val="windowText" lastClr="000000"/>
              </a:solidFill>
              <a:effectLst/>
              <a:latin typeface="+mn-lt"/>
              <a:ea typeface="+mn-ea"/>
              <a:cs typeface="+mn-cs"/>
            </a:rPr>
            <a:t>full-time study </a:t>
          </a:r>
          <a:r>
            <a:rPr lang="en-AU" sz="1100" b="0" baseline="0">
              <a:solidFill>
                <a:sysClr val="windowText" lastClr="000000"/>
              </a:solidFill>
              <a:effectLst/>
              <a:latin typeface="+mn-lt"/>
              <a:ea typeface="+mn-ea"/>
              <a:cs typeface="+mn-cs"/>
            </a:rPr>
            <a:t>based on your study period of commencement. The standard full-time study load is </a:t>
          </a:r>
          <a:r>
            <a:rPr lang="en-AU" sz="1100" b="1" i="1" baseline="0">
              <a:solidFill>
                <a:sysClr val="windowText" lastClr="000000"/>
              </a:solidFill>
              <a:effectLst/>
              <a:latin typeface="+mn-lt"/>
              <a:ea typeface="+mn-ea"/>
              <a:cs typeface="+mn-cs"/>
            </a:rPr>
            <a:t>50 credit points </a:t>
          </a:r>
          <a:r>
            <a:rPr lang="en-AU" sz="1100" b="0" baseline="0">
              <a:solidFill>
                <a:sysClr val="windowText" lastClr="000000"/>
              </a:solidFill>
              <a:effectLst/>
              <a:latin typeface="+mn-lt"/>
              <a:ea typeface="+mn-ea"/>
              <a:cs typeface="+mn-cs"/>
            </a:rPr>
            <a:t>per Special Study Period. Students are strongly advised to follow the recommended sequence of study as shown in this Planner.</a:t>
          </a:r>
        </a:p>
        <a:p>
          <a:endParaRPr lang="en-AU" sz="1100" b="0" baseline="0">
            <a:solidFill>
              <a:sysClr val="windowText" lastClr="000000"/>
            </a:solidFill>
            <a:effectLst/>
            <a:latin typeface="+mn-lt"/>
            <a:ea typeface="+mn-ea"/>
            <a:cs typeface="+mn-cs"/>
          </a:endParaRPr>
        </a:p>
        <a:p>
          <a:pPr eaLnBrk="1" fontAlgn="auto" latinLnBrk="0" hangingPunct="1"/>
          <a:r>
            <a:rPr lang="en-AU" sz="1100" b="1">
              <a:solidFill>
                <a:sysClr val="windowText" lastClr="000000"/>
              </a:solidFill>
              <a:effectLst/>
              <a:latin typeface="+mn-lt"/>
              <a:ea typeface="+mn-ea"/>
              <a:cs typeface="+mn-cs"/>
            </a:rPr>
            <a:t>Content Focus</a:t>
          </a:r>
          <a:endParaRPr lang="en-AU" sz="1100">
            <a:solidFill>
              <a:sysClr val="windowText" lastClr="000000"/>
            </a:solidFill>
            <a:effectLst/>
            <a:latin typeface="+mn-lt"/>
            <a:ea typeface="+mn-ea"/>
            <a:cs typeface="+mn-cs"/>
          </a:endParaRPr>
        </a:p>
        <a:p>
          <a:pPr eaLnBrk="1" fontAlgn="auto" latinLnBrk="0" hangingPunct="1"/>
          <a:r>
            <a:rPr lang="en-AU" sz="1100">
              <a:solidFill>
                <a:sysClr val="windowText" lastClr="000000"/>
              </a:solidFill>
              <a:effectLst/>
              <a:latin typeface="+mn-lt"/>
              <a:ea typeface="+mn-ea"/>
              <a:cs typeface="+mn-cs"/>
            </a:rPr>
            <a:t>By selecting course content </a:t>
          </a:r>
          <a:r>
            <a:rPr lang="en-AU" sz="1100">
              <a:solidFill>
                <a:schemeClr val="dk1"/>
              </a:solidFill>
              <a:effectLst/>
              <a:latin typeface="+mn-lt"/>
              <a:ea typeface="+mn-ea"/>
              <a:cs typeface="+mn-cs"/>
            </a:rPr>
            <a:t>with a specific area of educational focus you will be well-placed to utilise this Graduate Certificate as the basis for further study in education. You can choose from one of the pre-selected groups of units which have been carefully designed for:</a:t>
          </a:r>
          <a:endParaRPr lang="en-AU" sz="1000">
            <a:effectLst/>
          </a:endParaRPr>
        </a:p>
        <a:p>
          <a:pPr eaLnBrk="1" fontAlgn="auto" latinLnBrk="0" hangingPunct="1"/>
          <a:r>
            <a:rPr lang="en-AU" sz="1100">
              <a:solidFill>
                <a:schemeClr val="dk1"/>
              </a:solidFill>
              <a:effectLst/>
              <a:latin typeface="+mn-lt"/>
              <a:ea typeface="+mn-ea"/>
              <a:cs typeface="+mn-cs"/>
            </a:rPr>
            <a:t>i)</a:t>
          </a:r>
          <a:r>
            <a:rPr lang="en-AU" sz="1100" baseline="0">
              <a:solidFill>
                <a:schemeClr val="dk1"/>
              </a:solidFill>
              <a:effectLst/>
              <a:latin typeface="+mn-lt"/>
              <a:ea typeface="+mn-ea"/>
              <a:cs typeface="+mn-cs"/>
            </a:rPr>
            <a:t> </a:t>
          </a:r>
          <a:r>
            <a:rPr lang="en-AU" sz="1100">
              <a:solidFill>
                <a:schemeClr val="dk1"/>
              </a:solidFill>
              <a:effectLst/>
              <a:latin typeface="+mn-lt"/>
              <a:ea typeface="+mn-ea"/>
              <a:cs typeface="+mn-cs"/>
            </a:rPr>
            <a:t>Content focus - providing course content in a particular area of educational focus; </a:t>
          </a:r>
          <a:endParaRPr lang="en-AU" sz="1000">
            <a:effectLst/>
          </a:endParaRPr>
        </a:p>
        <a:p>
          <a:pPr eaLnBrk="1" fontAlgn="auto" latinLnBrk="0" hangingPunct="1"/>
          <a:r>
            <a:rPr lang="en-AU" sz="1100">
              <a:solidFill>
                <a:schemeClr val="dk1"/>
              </a:solidFill>
              <a:effectLst/>
              <a:latin typeface="+mn-lt"/>
              <a:ea typeface="+mn-ea"/>
              <a:cs typeface="+mn-cs"/>
            </a:rPr>
            <a:t>ii) Student profile - learning is targeted for students with similar educational background and/or experience</a:t>
          </a:r>
          <a:endParaRPr lang="en-AU" sz="1000">
            <a:effectLst/>
          </a:endParaRPr>
        </a:p>
        <a:p>
          <a:endParaRPr lang="en-AU" sz="1000">
            <a:solidFill>
              <a:sysClr val="windowText" lastClr="000000"/>
            </a:solidFill>
            <a:effectLst/>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a:t>
          </a:r>
        </a:p>
        <a:p>
          <a:pPr eaLnBrk="1" fontAlgn="auto" latinLnBrk="0" hangingPunct="1"/>
          <a:r>
            <a:rPr lang="en-AU" sz="1100" b="0">
              <a:solidFill>
                <a:sysClr val="windowText" lastClr="000000"/>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ysClr val="windowText" lastClr="000000"/>
              </a:solidFill>
              <a:effectLst/>
              <a:latin typeface="+mn-lt"/>
              <a:ea typeface="+mn-ea"/>
              <a:cs typeface="+mn-cs"/>
            </a:rPr>
            <a:t>If you wish to enrol in a part-time load,</a:t>
          </a:r>
          <a:r>
            <a:rPr lang="en-AU" sz="1100" b="0" baseline="0">
              <a:solidFill>
                <a:sysClr val="windowText" lastClr="000000"/>
              </a:solidFill>
              <a:effectLst/>
              <a:latin typeface="+mn-lt"/>
              <a:ea typeface="+mn-ea"/>
              <a:cs typeface="+mn-cs"/>
            </a:rPr>
            <a:t> please select one unit from the two listed for each study period.</a:t>
          </a:r>
        </a:p>
        <a:p>
          <a:pPr eaLnBrk="1" fontAlgn="auto" latinLnBrk="0" hangingPunct="1"/>
          <a:endParaRPr lang="en-AU" sz="1100" b="0" baseline="0">
            <a:solidFill>
              <a:sysClr val="windowText" lastClr="000000"/>
            </a:solidFill>
            <a:effectLst/>
            <a:latin typeface="+mn-lt"/>
            <a:ea typeface="+mn-ea"/>
            <a:cs typeface="+mn-cs"/>
          </a:endParaRPr>
        </a:p>
        <a:p>
          <a:r>
            <a:rPr lang="en-AU" b="1">
              <a:solidFill>
                <a:sysClr val="windowText" lastClr="000000"/>
              </a:solidFill>
            </a:rPr>
            <a:t>Need more support?</a:t>
          </a:r>
        </a:p>
        <a:p>
          <a:r>
            <a:rPr lang="en-AU" b="0">
              <a:solidFill>
                <a:sysClr val="windowText" lastClr="000000"/>
              </a:solidFill>
            </a:rPr>
            <a:t>This planner is desig</a:t>
          </a:r>
          <a:r>
            <a:rPr lang="en-AU" b="0"/>
            <a:t>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22</xdr:col>
      <xdr:colOff>466725</xdr:colOff>
      <xdr:row>2</xdr:row>
      <xdr:rowOff>342900</xdr:rowOff>
    </xdr:from>
    <xdr:to>
      <xdr:col>26</xdr:col>
      <xdr:colOff>200025</xdr:colOff>
      <xdr:row>3</xdr:row>
      <xdr:rowOff>175655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852D5472-4649-4469-97CD-DB54F97AD73C}"/>
            </a:ext>
          </a:extLst>
        </xdr:cNvPr>
        <xdr:cNvSpPr txBox="1"/>
      </xdr:nvSpPr>
      <xdr:spPr>
        <a:xfrm>
          <a:off x="14925675" y="3429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61A1326F-5482-44E2-932E-FDF34A4E48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201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57150</xdr:colOff>
      <xdr:row>3</xdr:row>
      <xdr:rowOff>171450</xdr:rowOff>
    </xdr:from>
    <xdr:ext cx="5629275" cy="4505849"/>
    <xdr:sp macro="" textlink="">
      <xdr:nvSpPr>
        <xdr:cNvPr id="3" name="TextBox 2">
          <a:extLst>
            <a:ext uri="{FF2B5EF4-FFF2-40B4-BE49-F238E27FC236}">
              <a16:creationId xmlns:a16="http://schemas.microsoft.com/office/drawing/2014/main" id="{027D66D1-ACF1-4762-8C7D-7E66471062DB}"/>
            </a:ext>
          </a:extLst>
        </xdr:cNvPr>
        <xdr:cNvSpPr txBox="1"/>
      </xdr:nvSpPr>
      <xdr:spPr>
        <a:xfrm>
          <a:off x="11963400" y="676275"/>
          <a:ext cx="5629275" cy="450584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Higher Education Innovative Learning and Teaching</a:t>
          </a:r>
        </a:p>
        <a:p>
          <a:pPr algn="ctr"/>
          <a:endParaRPr lang="en-AU" sz="1100" i="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sz="1000">
            <a:effectLst/>
          </a:endParaRPr>
        </a:p>
        <a:p>
          <a:pPr algn="l"/>
          <a:endParaRPr lang="en-AU" sz="1000" b="1">
            <a:latin typeface="Segoe UI" panose="020B0502040204020203" pitchFamily="34" charset="0"/>
            <a:ea typeface="Segoe UI" panose="020B0502040204020203" pitchFamily="34" charset="0"/>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22</xdr:col>
      <xdr:colOff>466725</xdr:colOff>
      <xdr:row>2</xdr:row>
      <xdr:rowOff>342900</xdr:rowOff>
    </xdr:from>
    <xdr:to>
      <xdr:col>26</xdr:col>
      <xdr:colOff>200025</xdr:colOff>
      <xdr:row>3</xdr:row>
      <xdr:rowOff>175655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C35CA2F3-C439-44D4-A86B-88990DB12679}"/>
            </a:ext>
          </a:extLst>
        </xdr:cNvPr>
        <xdr:cNvSpPr txBox="1"/>
      </xdr:nvSpPr>
      <xdr:spPr>
        <a:xfrm>
          <a:off x="14401800" y="3429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57150</xdr:colOff>
      <xdr:row>3</xdr:row>
      <xdr:rowOff>171450</xdr:rowOff>
    </xdr:from>
    <xdr:ext cx="5629275" cy="6055889"/>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1058525" y="676275"/>
          <a:ext cx="5629275" cy="605588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(Primary Education)</a:t>
          </a:r>
        </a:p>
        <a:p>
          <a:pPr algn="ctr"/>
          <a:endParaRPr lang="en-AU" sz="1100" i="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sz="1000">
            <a:effectLst/>
          </a:endParaRPr>
        </a:p>
        <a:p>
          <a:pPr algn="l"/>
          <a:endParaRPr lang="en-AU" sz="1000" b="1">
            <a:latin typeface="Segoe UI" panose="020B0502040204020203" pitchFamily="34" charset="0"/>
            <a:ea typeface="Segoe UI" panose="020B0502040204020203" pitchFamily="34" charset="0"/>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baseline="0">
              <a:solidFill>
                <a:schemeClr val="dk1"/>
              </a:solidFill>
              <a:effectLst/>
              <a:latin typeface="+mn-lt"/>
              <a:ea typeface="+mn-ea"/>
              <a:cs typeface="+mn-cs"/>
            </a:rPr>
            <a:t>Accelerated Study Plan</a:t>
          </a: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Accelerated study plan for the Graduate Diploma in Education (Primary Education).</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22</xdr:col>
      <xdr:colOff>466725</xdr:colOff>
      <xdr:row>2</xdr:row>
      <xdr:rowOff>342900</xdr:rowOff>
    </xdr:from>
    <xdr:to>
      <xdr:col>26</xdr:col>
      <xdr:colOff>200025</xdr:colOff>
      <xdr:row>3</xdr:row>
      <xdr:rowOff>175655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211300" y="3429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22</xdr:col>
      <xdr:colOff>19050</xdr:colOff>
      <xdr:row>22</xdr:row>
      <xdr:rowOff>114300</xdr:rowOff>
    </xdr:from>
    <xdr:to>
      <xdr:col>26</xdr:col>
      <xdr:colOff>133351</xdr:colOff>
      <xdr:row>24</xdr:row>
      <xdr:rowOff>48020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500-000005000000}"/>
            </a:ext>
          </a:extLst>
        </xdr:cNvPr>
        <xdr:cNvSpPr txBox="1"/>
      </xdr:nvSpPr>
      <xdr:spPr>
        <a:xfrm>
          <a:off x="13763625" y="5067300"/>
          <a:ext cx="2857501"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76200</xdr:colOff>
      <xdr:row>3</xdr:row>
      <xdr:rowOff>76200</xdr:rowOff>
    </xdr:from>
    <xdr:ext cx="5629275" cy="7090916"/>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1420475" y="581025"/>
          <a:ext cx="5629275" cy="709091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(Secondary Education)</a:t>
          </a:r>
          <a:endParaRPr lang="en-AU">
            <a:solidFill>
              <a:schemeClr val="accent5"/>
            </a:solidFill>
            <a:effectLst/>
          </a:endParaRPr>
        </a:p>
        <a:p>
          <a:pPr algn="ctr"/>
          <a:endParaRPr lang="en-AU">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Accelerated Study Plan</a:t>
          </a:r>
          <a:endParaRPr lang="en-AU">
            <a:effectLst/>
          </a:endParaRPr>
        </a:p>
        <a:p>
          <a:pPr eaLnBrk="1" fontAlgn="auto" latinLnBrk="0" hangingPunct="1"/>
          <a:r>
            <a:rPr lang="en-AU" sz="1100" b="0">
              <a:solidFill>
                <a:schemeClr val="dk1"/>
              </a:solidFill>
              <a:effectLst/>
              <a:latin typeface="+mn-lt"/>
              <a:ea typeface="+mn-ea"/>
              <a:cs typeface="+mn-cs"/>
            </a:rPr>
            <a:t>Please see</a:t>
          </a:r>
          <a:r>
            <a:rPr lang="en-AU" sz="1100" b="0" baseline="0">
              <a:solidFill>
                <a:schemeClr val="dk1"/>
              </a:solidFill>
              <a:effectLst/>
              <a:latin typeface="+mn-lt"/>
              <a:ea typeface="+mn-ea"/>
              <a:cs typeface="+mn-cs"/>
            </a:rPr>
            <a:t> the second tab in this workbook for the </a:t>
          </a:r>
          <a:r>
            <a:rPr lang="en-AU" sz="1100" b="0" u="none" baseline="0">
              <a:solidFill>
                <a:schemeClr val="dk1"/>
              </a:solidFill>
              <a:effectLst/>
              <a:latin typeface="+mn-lt"/>
              <a:ea typeface="+mn-ea"/>
              <a:cs typeface="+mn-cs"/>
            </a:rPr>
            <a:t>Accelerated study plan </a:t>
          </a:r>
          <a:r>
            <a:rPr lang="en-AU" sz="1100" b="0" baseline="0">
              <a:solidFill>
                <a:schemeClr val="dk1"/>
              </a:solidFill>
              <a:effectLst/>
              <a:latin typeface="+mn-lt"/>
              <a:ea typeface="+mn-ea"/>
              <a:cs typeface="+mn-cs"/>
            </a:rPr>
            <a:t>for the Graduate Diploma in Education (Secondary Education).</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22</xdr:col>
      <xdr:colOff>38100</xdr:colOff>
      <xdr:row>25</xdr:row>
      <xdr:rowOff>153667</xdr:rowOff>
    </xdr:from>
    <xdr:ext cx="2857501" cy="264560"/>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700-000006000000}"/>
            </a:ext>
          </a:extLst>
        </xdr:cNvPr>
        <xdr:cNvSpPr txBox="1"/>
      </xdr:nvSpPr>
      <xdr:spPr>
        <a:xfrm>
          <a:off x="14125575" y="597344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22</xdr:col>
      <xdr:colOff>485775</xdr:colOff>
      <xdr:row>2</xdr:row>
      <xdr:rowOff>247650</xdr:rowOff>
    </xdr:from>
    <xdr:to>
      <xdr:col>26</xdr:col>
      <xdr:colOff>219075</xdr:colOff>
      <xdr:row>3</xdr:row>
      <xdr:rowOff>80405</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700-000007000000}"/>
            </a:ext>
          </a:extLst>
        </xdr:cNvPr>
        <xdr:cNvSpPr txBox="1"/>
      </xdr:nvSpPr>
      <xdr:spPr>
        <a:xfrm>
          <a:off x="14382750" y="24765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34</xdr:col>
      <xdr:colOff>310516</xdr:colOff>
      <xdr:row>10</xdr:row>
      <xdr:rowOff>180975</xdr:rowOff>
    </xdr:from>
    <xdr:to>
      <xdr:col>42</xdr:col>
      <xdr:colOff>466726</xdr:colOff>
      <xdr:row>43</xdr:row>
      <xdr:rowOff>161925</xdr:rowOff>
    </xdr:to>
    <xdr:sp macro="" textlink="">
      <xdr:nvSpPr>
        <xdr:cNvPr id="4" name="TextBox 1">
          <a:extLst>
            <a:ext uri="{FF2B5EF4-FFF2-40B4-BE49-F238E27FC236}">
              <a16:creationId xmlns:a16="http://schemas.microsoft.com/office/drawing/2014/main" id="{00000000-0008-0000-0900-000004000000}"/>
            </a:ext>
          </a:extLst>
        </xdr:cNvPr>
        <xdr:cNvSpPr txBox="1"/>
      </xdr:nvSpPr>
      <xdr:spPr>
        <a:xfrm>
          <a:off x="23713441" y="2809875"/>
          <a:ext cx="5642610" cy="790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endParaRPr lang="en-AU" sz="1000">
            <a:effectLst/>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a:t>
          </a:r>
          <a:r>
            <a:rPr lang="en-AU" sz="1100">
              <a:solidFill>
                <a:schemeClr val="dk1"/>
              </a:solidFill>
              <a:effectLst/>
              <a:latin typeface="+mn-lt"/>
              <a:ea typeface="+mn-ea"/>
              <a:cs typeface="+mn-cs"/>
            </a:rPr>
            <a:t>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pPr eaLnBrk="1" fontAlgn="auto" latinLnBrk="0" hangingPunct="1"/>
          <a:r>
            <a:rPr lang="en-AU" sz="1100" b="0">
              <a:solidFill>
                <a:schemeClr val="dk1"/>
              </a:solidFill>
              <a:effectLst/>
              <a:latin typeface="+mn-lt"/>
              <a:ea typeface="+mn-ea"/>
              <a:cs typeface="+mn-cs"/>
            </a:rPr>
            <a:t>Please note that there are specific requirements for undertaking each professional experience placement: </a:t>
          </a:r>
          <a:r>
            <a:rPr lang="en-AU" sz="1100" b="1">
              <a:solidFill>
                <a:schemeClr val="dk1"/>
              </a:solidFill>
              <a:effectLst/>
              <a:latin typeface="+mn-lt"/>
              <a:ea typeface="+mn-ea"/>
              <a:cs typeface="+mn-cs"/>
            </a:rPr>
            <a:t>https://www.curtin.edu.au/engage/partnerships/humanities-partnerships/education-experience/</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endParaRPr lang="en-AU">
            <a:effectLst/>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17</xdr:col>
      <xdr:colOff>236220</xdr:colOff>
      <xdr:row>3</xdr:row>
      <xdr:rowOff>95250</xdr:rowOff>
    </xdr:from>
    <xdr:ext cx="5629275" cy="64003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1790045" y="600075"/>
          <a:ext cx="5629275" cy="640034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 Secondary Education Major</a:t>
          </a:r>
          <a:endParaRPr lang="en-AU" sz="1000">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approved </a:t>
          </a:r>
          <a:r>
            <a:rPr lang="en-AU" sz="1100" b="1" i="1" baseline="0">
              <a:solidFill>
                <a:schemeClr val="dk1"/>
              </a:solidFill>
              <a:effectLst/>
              <a:latin typeface="+mn-lt"/>
              <a:ea typeface="+mn-ea"/>
              <a:cs typeface="+mn-cs"/>
            </a:rPr>
            <a:t>First &amp; Second Teaching Areas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 </a:t>
          </a:r>
          <a:endParaRPr lang="en-AU" sz="1000">
            <a:effectLst/>
          </a:endParaRPr>
        </a:p>
        <a:p>
          <a:pPr algn="l"/>
          <a:endParaRPr lang="en-AU" sz="1000" b="1">
            <a:latin typeface="Segoe UI" panose="020B0502040204020203" pitchFamily="34" charset="0"/>
            <a:ea typeface="Segoe UI" panose="020B0502040204020203" pitchFamily="34" charset="0"/>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21</xdr:col>
      <xdr:colOff>169545</xdr:colOff>
      <xdr:row>22</xdr:row>
      <xdr:rowOff>307972</xdr:rowOff>
    </xdr:from>
    <xdr:ext cx="2857501" cy="264560"/>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900-000005000000}"/>
            </a:ext>
          </a:extLst>
        </xdr:cNvPr>
        <xdr:cNvSpPr txBox="1"/>
      </xdr:nvSpPr>
      <xdr:spPr>
        <a:xfrm>
          <a:off x="14466570" y="531812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645795</xdr:colOff>
      <xdr:row>2</xdr:row>
      <xdr:rowOff>259080</xdr:rowOff>
    </xdr:from>
    <xdr:to>
      <xdr:col>25</xdr:col>
      <xdr:colOff>379095</xdr:colOff>
      <xdr:row>3</xdr:row>
      <xdr:rowOff>91835</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900-000007000000}"/>
            </a:ext>
          </a:extLst>
        </xdr:cNvPr>
        <xdr:cNvSpPr txBox="1"/>
      </xdr:nvSpPr>
      <xdr:spPr>
        <a:xfrm>
          <a:off x="14942820" y="25908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3:H12" totalsRowShown="0" headerRowDxfId="497" dataDxfId="496">
  <autoFilter ref="A3:H12" xr:uid="{00000000-0009-0000-0100-000003000000}"/>
  <sortState xmlns:xlrd2="http://schemas.microsoft.com/office/spreadsheetml/2017/richdata2" ref="A4:H12">
    <sortCondition ref="A3:A12"/>
  </sortState>
  <tableColumns count="8">
    <tableColumn id="3" xr3:uid="{00000000-0010-0000-0000-000003000000}" name="Choose your Course" dataDxfId="495"/>
    <tableColumn id="1" xr3:uid="{00000000-0010-0000-0000-000001000000}" name="UDC" dataDxfId="494"/>
    <tableColumn id="2" xr3:uid="{00000000-0010-0000-0000-000002000000}" name="SM Version" dataDxfId="493"/>
    <tableColumn id="5" xr3:uid="{00000000-0010-0000-0000-000005000000}" name="SM Effective Date" dataDxfId="492"/>
    <tableColumn id="4" xr3:uid="{00000000-0010-0000-0000-000004000000}" name="Akari Iteration" dataDxfId="491"/>
    <tableColumn id="7" xr3:uid="{00000000-0010-0000-0000-000007000000}" name="Akari Effective Date" dataDxfId="490"/>
    <tableColumn id="6" xr3:uid="{00000000-0010-0000-0000-000006000000}" name="Credit Points" dataDxfId="489"/>
    <tableColumn id="8" xr3:uid="{00000000-0010-0000-0000-000008000000}" name="SM Availabilities" dataDxfId="488"/>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leHandbook" displayName="TableHandbook" ref="A2:AL106" totalsRowShown="0" headerRowDxfId="424" dataDxfId="423">
  <autoFilter ref="A2:AL106" xr:uid="{00000000-0009-0000-0100-000002000000}"/>
  <sortState xmlns:xlrd2="http://schemas.microsoft.com/office/spreadsheetml/2017/richdata2" ref="A3:AL106">
    <sortCondition ref="A2:A106"/>
  </sortState>
  <tableColumns count="38">
    <tableColumn id="1" xr3:uid="{00000000-0010-0000-0800-000001000000}" name="UDC" dataDxfId="422"/>
    <tableColumn id="2" xr3:uid="{00000000-0010-0000-0800-000002000000}" name="Ver" dataDxfId="421"/>
    <tableColumn id="3" xr3:uid="{00000000-0010-0000-0800-000003000000}" name="OUA Cd" dataDxfId="420"/>
    <tableColumn id="4" xr3:uid="{00000000-0010-0000-0800-000004000000}" name="Title" dataDxfId="419"/>
    <tableColumn id="5" xr3:uid="{00000000-0010-0000-0800-000005000000}" name="Credits" dataDxfId="418"/>
    <tableColumn id="6" xr3:uid="{00000000-0010-0000-0800-000006000000}" name="Pre-reqs (8/11/2024)" dataDxfId="417"/>
    <tableColumn id="12" xr3:uid="{00000000-0010-0000-0800-00000C000000}" name="SSP1 BEN" dataDxfId="416">
      <calculatedColumnFormula>IFERROR(IF(VLOOKUP(TableHandbook[[#This Row],[UDC]],TableAvailabilities[],2,FALSE)&gt;0,"Y",""),"")</calculatedColumnFormula>
    </tableColumn>
    <tableColumn id="17" xr3:uid="{00000000-0010-0000-0800-000011000000}" name="SSP1 FO" dataDxfId="415">
      <calculatedColumnFormula>IFERROR(IF(VLOOKUP(TableHandbook[[#This Row],[UDC]],TableAvailabilities[],3,FALSE)&gt;0,"Y",""),"")</calculatedColumnFormula>
    </tableColumn>
    <tableColumn id="18" xr3:uid="{00000000-0010-0000-0800-000012000000}" name="SSP2 BEN" dataDxfId="414">
      <calculatedColumnFormula>IFERROR(IF(VLOOKUP(TableHandbook[[#This Row],[UDC]],TableAvailabilities[],4,FALSE)&gt;0,"Y",""),"")</calculatedColumnFormula>
    </tableColumn>
    <tableColumn id="7" xr3:uid="{00000000-0010-0000-0800-000007000000}" name="SSP2 FO" dataDxfId="413">
      <calculatedColumnFormula>IFERROR(IF(VLOOKUP(TableHandbook[[#This Row],[UDC]],TableAvailabilities[],5,FALSE)&gt;0,"Y",""),"")</calculatedColumnFormula>
    </tableColumn>
    <tableColumn id="11" xr3:uid="{00000000-0010-0000-0800-00000B000000}" name="SSP3 BEN" dataDxfId="412">
      <calculatedColumnFormula>IFERROR(IF(VLOOKUP(TableHandbook[[#This Row],[UDC]],TableAvailabilities[],6,FALSE)&gt;0,"Y",""),"")</calculatedColumnFormula>
    </tableColumn>
    <tableColumn id="13" xr3:uid="{00000000-0010-0000-0800-00000D000000}" name="SSP3 FO" dataDxfId="411">
      <calculatedColumnFormula>IFERROR(IF(VLOOKUP(TableHandbook[[#This Row],[UDC]],TableAvailabilities[],7,FALSE)&gt;0,"Y",""),"")</calculatedColumnFormula>
    </tableColumn>
    <tableColumn id="14" xr3:uid="{00000000-0010-0000-0800-00000E000000}" name="SSP4 BEN" dataDxfId="410">
      <calculatedColumnFormula>IFERROR(IF(VLOOKUP(TableHandbook[[#This Row],[UDC]],TableAvailabilities[],8,FALSE)&gt;0,"Y",""),"")</calculatedColumnFormula>
    </tableColumn>
    <tableColumn id="15" xr3:uid="{00000000-0010-0000-0800-00000F000000}" name="SSP4 FO" dataDxfId="409">
      <calculatedColumnFormula>IFERROR(IF(VLOOKUP(TableHandbook[[#This Row],[UDC]],TableAvailabilities[],9,FALSE)&gt;0,"Y",""),"")</calculatedColumnFormula>
    </tableColumn>
    <tableColumn id="16" xr3:uid="{00000000-0010-0000-0800-000010000000}" name="Notes" dataDxfId="408"/>
    <tableColumn id="8" xr3:uid="{00000000-0010-0000-0800-000008000000}" name="MC-TEACH" dataDxfId="407">
      <calculatedColumnFormula>IFERROR(VLOOKUP(TableHandbook[[#This Row],[UDC]],TableMCTEACH[],7,FALSE),"")</calculatedColumnFormula>
    </tableColumn>
    <tableColumn id="9" xr3:uid="{00000000-0010-0000-0800-000009000000}" name="MJRP-TCHEC" dataDxfId="406">
      <calculatedColumnFormula>IFERROR(VLOOKUP(TableHandbook[[#This Row],[UDC]],TableMJRPTCHEC[],7,FALSE),"")</calculatedColumnFormula>
    </tableColumn>
    <tableColumn id="10" xr3:uid="{00000000-0010-0000-0800-00000A000000}" name="MJRP-TCHPR" dataDxfId="405">
      <calculatedColumnFormula>IFERROR(VLOOKUP(TableHandbook[[#This Row],[UDC]],TableMJRPTCHPR[],7,FALSE),"")</calculatedColumnFormula>
    </tableColumn>
    <tableColumn id="20" xr3:uid="{00000000-0010-0000-0800-000014000000}" name="MJRP-TCHSC" dataDxfId="404">
      <calculatedColumnFormula>IFERROR(VLOOKUP(TableHandbook[[#This Row],[UDC]],TableMJRPTCHSC[],7,FALSE),"")</calculatedColumnFormula>
    </tableColumn>
    <tableColumn id="19" xr3:uid="{00000000-0010-0000-0800-000013000000}" name="STRP-SCART" dataDxfId="403">
      <calculatedColumnFormula>IFERROR(VLOOKUP(TableHandbook[[#This Row],[UDC]],TableSTRPSCART[],7,FALSE),"")</calculatedColumnFormula>
    </tableColumn>
    <tableColumn id="21" xr3:uid="{00000000-0010-0000-0800-000015000000}" name="STRP-SCENG" dataDxfId="402">
      <calculatedColumnFormula>IFERROR(VLOOKUP(TableHandbook[[#This Row],[UDC]],TableSTRPSCENG[],7,FALSE),"")</calculatedColumnFormula>
    </tableColumn>
    <tableColumn id="22" xr3:uid="{00000000-0010-0000-0800-000016000000}" name="STRP-SCHLP" dataDxfId="401">
      <calculatedColumnFormula>IFERROR(VLOOKUP(TableHandbook[[#This Row],[UDC]],TableSTRPSCHLP[],7,FALSE),"")</calculatedColumnFormula>
    </tableColumn>
    <tableColumn id="23" xr3:uid="{00000000-0010-0000-0800-000017000000}" name="STRP-SCHUS" dataDxfId="400">
      <calculatedColumnFormula>IFERROR(VLOOKUP(TableHandbook[[#This Row],[UDC]],TableSTRPSCHUS[],7,FALSE),"")</calculatedColumnFormula>
    </tableColumn>
    <tableColumn id="24" xr3:uid="{00000000-0010-0000-0800-000018000000}" name="STRP-SCMAT" dataDxfId="399">
      <calculatedColumnFormula>IFERROR(VLOOKUP(TableHandbook[[#This Row],[UDC]],TableSTRPSCMAT[],7,FALSE),"")</calculatedColumnFormula>
    </tableColumn>
    <tableColumn id="25" xr3:uid="{00000000-0010-0000-0800-000019000000}" name="STRP-SCSCI" dataDxfId="398">
      <calculatedColumnFormula>IFERROR(VLOOKUP(TableHandbook[[#This Row],[UDC]],TableSTRPSCSCI[],7,FALSE),"")</calculatedColumnFormula>
    </tableColumn>
    <tableColumn id="26" xr3:uid="{00000000-0010-0000-0800-00001A000000}" name="STRP-SCFON" dataDxfId="397">
      <calculatedColumnFormula>IFERROR(VLOOKUP(TableHandbook[[#This Row],[UDC]],TableSTRPSCFON[],7,FALSE),"")</calculatedColumnFormula>
    </tableColumn>
    <tableColumn id="29" xr3:uid="{00000000-0010-0000-0800-00001D000000}" name="GC-TESOL" dataDxfId="396">
      <calculatedColumnFormula>IFERROR(VLOOKUP(TableHandbook[[#This Row],[UDC]],TableGCTESOL[],7,FALSE),"")</calculatedColumnFormula>
    </tableColumn>
    <tableColumn id="27" xr3:uid="{00000000-0010-0000-0800-00001B000000}" name="MC-TESOL" dataDxfId="395">
      <calculatedColumnFormula>IFERROR(VLOOKUP(TableHandbook[[#This Row],[UDC]],TableMCTESOL[],7,FALSE),"")</calculatedColumnFormula>
    </tableColumn>
    <tableColumn id="28" xr3:uid="{00000000-0010-0000-0800-00001C000000}" name="MC-APLING" dataDxfId="394">
      <calculatedColumnFormula>IFERROR(VLOOKUP(TableHandbook[[#This Row],[UDC]],TableMCAPLING[],7,FALSE),"")</calculatedColumnFormula>
    </tableColumn>
    <tableColumn id="35" xr3:uid="{00000000-0010-0000-0800-000023000000}" name="GC-EDHE" dataDxfId="393">
      <calculatedColumnFormula>IFERROR(VLOOKUP(TableHandbook[[#This Row],[UDC]],TableGCEDHE[],7,FALSE),"")</calculatedColumnFormula>
    </tableColumn>
    <tableColumn id="34" xr3:uid="{00000000-0010-0000-0800-000022000000}" name="GC-EDUC" dataDxfId="392">
      <calculatedColumnFormula>IFERROR(VLOOKUP(TableHandbook[[#This Row],[UDC]],TableGCEDUC[],7,FALSE),"")</calculatedColumnFormula>
    </tableColumn>
    <tableColumn id="36" xr3:uid="{00000000-0010-0000-0800-000024000000}" name="GD-EDUC" dataDxfId="391">
      <calculatedColumnFormula>IFERROR(VLOOKUP(TableHandbook[[#This Row],[UDC]],TableGDEDUC[],7,FALSE),"")</calculatedColumnFormula>
    </tableColumn>
    <tableColumn id="37" xr3:uid="{00000000-0010-0000-0800-000025000000}" name="MJRP-EDUPR" dataDxfId="390">
      <calculatedColumnFormula>IFERROR(VLOOKUP(TableHandbook[[#This Row],[UDC]],TableMJRPEDUPR[],7,FALSE),"")</calculatedColumnFormula>
    </tableColumn>
    <tableColumn id="38" xr3:uid="{00000000-0010-0000-0800-000026000000}" name="MJRP-EDUSC" dataDxfId="389">
      <calculatedColumnFormula>IFERROR(VLOOKUP(TableHandbook[[#This Row],[UDC]],TableMJRPEDUSC[],7,FALSE),"")</calculatedColumnFormula>
    </tableColumn>
    <tableColumn id="30" xr3:uid="{00000000-0010-0000-0800-00001E000000}" name="MC-EDUC" dataDxfId="388">
      <calculatedColumnFormula>IFERROR(VLOOKUP(TableHandbook[[#This Row],[UDC]],TableMCEDUC[],7,FALSE),"")</calculatedColumnFormula>
    </tableColumn>
    <tableColumn id="31" xr3:uid="{00000000-0010-0000-0800-00001F000000}" name="SPPE-CULIN" dataDxfId="387">
      <calculatedColumnFormula>IFERROR(VLOOKUP(TableHandbook[[#This Row],[UDC]],TableSPPECULIN[],7,FALSE),"")</calculatedColumnFormula>
    </tableColumn>
    <tableColumn id="32" xr3:uid="{00000000-0010-0000-0800-000020000000}" name="SPPE-LNTCH" dataDxfId="386">
      <calculatedColumnFormula>IFERROR(VLOOKUP(TableHandbook[[#This Row],[UDC]],TableSPPELNTCH[],7,FALSE),"")</calculatedColumnFormula>
    </tableColumn>
    <tableColumn id="33" xr3:uid="{00000000-0010-0000-0800-000021000000}" name="SPPE-STEME" dataDxfId="385">
      <calculatedColumnFormula>IFERROR(VLOOKUP(TableHandbook[[#This Row],[UDC]],TableSPPESTEME[],7,FALSE),"")</calculatedColumnFormula>
    </tableColumn>
  </tableColumns>
  <tableStyleInfo name="TableStyleLight11" showFirstColumn="0" showLastColumn="0" showRowStripes="1" showColumnStripes="1"/>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MCTEACH" displayName="TableMCTEACH" ref="A3:O7" totalsRowShown="0">
  <autoFilter ref="A3:O7" xr:uid="{00000000-0009-0000-0100-000007000000}"/>
  <sortState xmlns:xlrd2="http://schemas.microsoft.com/office/spreadsheetml/2017/richdata2" ref="AF24:AW31">
    <sortCondition ref="AS11:AS19"/>
  </sortState>
  <tableColumns count="15">
    <tableColumn id="15" xr3:uid="{00000000-0010-0000-0900-00000F000000}" name="UDC" dataDxfId="384">
      <calculatedColumnFormula>TableMCTEACH[[#This Row],[Study Package Code]]</calculatedColumnFormula>
    </tableColumn>
    <tableColumn id="16" xr3:uid="{00000000-0010-0000-0900-000010000000}" name="Version" dataDxfId="383">
      <calculatedColumnFormula>TableMCTEACH[[#This Row],[Ver]]</calculatedColumnFormula>
    </tableColumn>
    <tableColumn id="17" xr3:uid="{00000000-0010-0000-0900-000011000000}" name="OUA Code"/>
    <tableColumn id="18" xr3:uid="{00000000-0010-0000-0900-000012000000}" name="Unit Title" dataDxfId="382">
      <calculatedColumnFormula>TableMCTEACH[[#This Row],[Structure Line]]</calculatedColumnFormula>
    </tableColumn>
    <tableColumn id="19" xr3:uid="{00000000-0010-0000-0900-000013000000}" name="CPs" dataDxfId="381">
      <calculatedColumnFormula>TableMCTEACH[[#This Row],[Credit Points]]</calculatedColumnFormula>
    </tableColumn>
    <tableColumn id="1" xr3:uid="{00000000-0010-0000-0900-000001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dataDxfId="380"/>
    <tableColumn id="7" xr3:uid="{00000000-0010-0000-0900-000007000000}" name="Structure Line"/>
    <tableColumn id="8" xr3:uid="{00000000-0010-0000-0900-000008000000}" name="Credit Points"/>
    <tableColumn id="9" xr3:uid="{00000000-0010-0000-0900-000009000000}" name="Effective" dataDxfId="379"/>
    <tableColumn id="10" xr3:uid="{00000000-0010-0000-0900-00000A000000}" name="Discont." dataDxfId="378"/>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MJRPTCHEC" displayName="TableMJRPTCHEC" ref="A9:O25" totalsRowShown="0">
  <autoFilter ref="A9:O25" xr:uid="{00000000-0009-0000-0100-000008000000}"/>
  <sortState xmlns:xlrd2="http://schemas.microsoft.com/office/spreadsheetml/2017/richdata2" ref="A11:M42">
    <sortCondition ref="F10:F42"/>
  </sortState>
  <tableColumns count="15">
    <tableColumn id="9" xr3:uid="{00000000-0010-0000-0A00-000009000000}" name="UDC" dataDxfId="377">
      <calculatedColumnFormula>TableMJRPTCHEC[[#This Row],[Study Package Code]]</calculatedColumnFormula>
    </tableColumn>
    <tableColumn id="10" xr3:uid="{00000000-0010-0000-0A00-00000A000000}" name="Version" dataDxfId="376">
      <calculatedColumnFormula>TableMJRPTCHEC[[#This Row],[Ver]]</calculatedColumnFormula>
    </tableColumn>
    <tableColumn id="11" xr3:uid="{00000000-0010-0000-0A00-00000B000000}" name="OUA Code"/>
    <tableColumn id="12" xr3:uid="{00000000-0010-0000-0A00-00000C000000}" name="Unit Title" dataDxfId="375">
      <calculatedColumnFormula>TableMJRPTCHEC[[#This Row],[Structure Line]]</calculatedColumnFormula>
    </tableColumn>
    <tableColumn id="13" xr3:uid="{00000000-0010-0000-0A00-00000D000000}" name="CPs" dataDxfId="374">
      <calculatedColumnFormula>TableMJRPTCHEC[[#This Row],[Credit Points]]</calculatedColumnFormula>
    </tableColumn>
    <tableColumn id="1" xr3:uid="{00000000-0010-0000-0A00-000001000000}" name="No." dataDxfId="373"/>
    <tableColumn id="2" xr3:uid="{00000000-0010-0000-0A00-000002000000}" name="Component Type" dataDxfId="372"/>
    <tableColumn id="3" xr3:uid="{00000000-0010-0000-0A00-000003000000}" name="Year Level" dataDxfId="371"/>
    <tableColumn id="4" xr3:uid="{00000000-0010-0000-0A00-000004000000}" name="Study Period" dataDxfId="370"/>
    <tableColumn id="5" xr3:uid="{00000000-0010-0000-0A00-000005000000}" name="Study Package Code" dataDxfId="369"/>
    <tableColumn id="6" xr3:uid="{00000000-0010-0000-0A00-000006000000}" name="Ver" dataDxfId="368"/>
    <tableColumn id="7" xr3:uid="{00000000-0010-0000-0A00-000007000000}" name="Structure Line" dataDxfId="367"/>
    <tableColumn id="8" xr3:uid="{00000000-0010-0000-0A00-000008000000}" name="Credit Points" dataDxfId="366"/>
    <tableColumn id="14" xr3:uid="{00000000-0010-0000-0A00-00000E000000}" name="Effective" dataDxfId="365"/>
    <tableColumn id="15" xr3:uid="{00000000-0010-0000-0A00-00000F000000}" name="Discont." dataDxfId="364"/>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MJRPTCHPR" displayName="TableMJRPTCHPR" ref="A27:O43" totalsRowShown="0">
  <autoFilter ref="A27:O43" xr:uid="{00000000-0009-0000-0100-000009000000}"/>
  <sortState xmlns:xlrd2="http://schemas.microsoft.com/office/spreadsheetml/2017/richdata2" ref="AF43:AW53">
    <sortCondition ref="AR42:AR53"/>
  </sortState>
  <tableColumns count="15">
    <tableColumn id="9" xr3:uid="{00000000-0010-0000-0B00-000009000000}" name="UDC" dataDxfId="363">
      <calculatedColumnFormula>TableMJRPTCHPR[[#This Row],[Study Package Code]]</calculatedColumnFormula>
    </tableColumn>
    <tableColumn id="10" xr3:uid="{00000000-0010-0000-0B00-00000A000000}" name="Version" dataDxfId="362">
      <calculatedColumnFormula>TableMJRPTCHPR[[#This Row],[Ver]]</calculatedColumnFormula>
    </tableColumn>
    <tableColumn id="11" xr3:uid="{00000000-0010-0000-0B00-00000B000000}" name="OUA Code"/>
    <tableColumn id="12" xr3:uid="{00000000-0010-0000-0B00-00000C000000}" name="Unit Title" dataDxfId="361">
      <calculatedColumnFormula>TableMJRPTCHPR[[#This Row],[Structure Line]]</calculatedColumnFormula>
    </tableColumn>
    <tableColumn id="13" xr3:uid="{00000000-0010-0000-0B00-00000D000000}" name="CPs" dataDxfId="360">
      <calculatedColumnFormula>TableMJRPTCHPR[[#This Row],[Credit Points]]</calculatedColumnFormula>
    </tableColumn>
    <tableColumn id="1" xr3:uid="{00000000-0010-0000-0B00-000001000000}" name="No."/>
    <tableColumn id="2" xr3:uid="{00000000-0010-0000-0B00-000002000000}" name="Component Type"/>
    <tableColumn id="3" xr3:uid="{00000000-0010-0000-0B00-000003000000}" name="Year Level"/>
    <tableColumn id="4" xr3:uid="{00000000-0010-0000-0B00-000004000000}" name="Study Period"/>
    <tableColumn id="5" xr3:uid="{00000000-0010-0000-0B00-000005000000}" name="Study Package Code"/>
    <tableColumn id="6" xr3:uid="{00000000-0010-0000-0B00-000006000000}" name="Ver" dataDxfId="359"/>
    <tableColumn id="7" xr3:uid="{00000000-0010-0000-0B00-000007000000}" name="Structure Line"/>
    <tableColumn id="8" xr3:uid="{00000000-0010-0000-0B00-000008000000}" name="Credit Points"/>
    <tableColumn id="14" xr3:uid="{00000000-0010-0000-0B00-00000E000000}" name="Effective" dataDxfId="358"/>
    <tableColumn id="15" xr3:uid="{00000000-0010-0000-0B00-00000F000000}" name="Discont." dataDxfId="357"/>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C000000}" name="TableMJRPTCHSC" displayName="TableMJRPTCHSC" ref="A45:O72" totalsRowShown="0">
  <autoFilter ref="A45:O72" xr:uid="{00000000-0009-0000-0100-000001000000}"/>
  <sortState xmlns:xlrd2="http://schemas.microsoft.com/office/spreadsheetml/2017/richdata2" ref="A37:R47">
    <sortCondition ref="M28:M39"/>
  </sortState>
  <tableColumns count="15">
    <tableColumn id="9" xr3:uid="{00000000-0010-0000-0C00-000009000000}" name="UDC" dataDxfId="356">
      <calculatedColumnFormula>TableMJRPTCHSC[[#This Row],[Study Package Code]]</calculatedColumnFormula>
    </tableColumn>
    <tableColumn id="10" xr3:uid="{00000000-0010-0000-0C00-00000A000000}" name="Version" dataDxfId="355">
      <calculatedColumnFormula>TableMJRPTCHSC[[#This Row],[Ver]]</calculatedColumnFormula>
    </tableColumn>
    <tableColumn id="11" xr3:uid="{00000000-0010-0000-0C00-00000B000000}" name="OUA Code"/>
    <tableColumn id="12" xr3:uid="{00000000-0010-0000-0C00-00000C000000}" name="Unit Title" dataDxfId="354">
      <calculatedColumnFormula>TableMJRPTCHSC[[#This Row],[Structure Line]]</calculatedColumnFormula>
    </tableColumn>
    <tableColumn id="13" xr3:uid="{00000000-0010-0000-0C00-00000D000000}" name="CPs" dataDxfId="353">
      <calculatedColumnFormula>TableMJRPTCHSC[[#This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dataDxfId="352"/>
    <tableColumn id="7" xr3:uid="{00000000-0010-0000-0C00-000007000000}" name="Structure Line"/>
    <tableColumn id="8" xr3:uid="{00000000-0010-0000-0C00-000008000000}" name="Credit Points"/>
    <tableColumn id="14" xr3:uid="{00000000-0010-0000-0C00-00000E000000}" name="Effective" dataDxfId="351"/>
    <tableColumn id="15" xr3:uid="{00000000-0010-0000-0C00-00000F000000}" name="Discont." dataDxfId="350"/>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leSTRPSCART" displayName="TableSTRPSCART" ref="A74:O76" totalsRowShown="0">
  <autoFilter ref="A74:O76" xr:uid="{00000000-0009-0000-0100-00000C000000}"/>
  <sortState xmlns:xlrd2="http://schemas.microsoft.com/office/spreadsheetml/2017/richdata2" ref="A77:R87">
    <sortCondition ref="M28:M39"/>
  </sortState>
  <tableColumns count="15">
    <tableColumn id="9" xr3:uid="{00000000-0010-0000-0D00-000009000000}" name="UDC" dataDxfId="349">
      <calculatedColumnFormula>TableSTRPSCART[[#This Row],[Study Package Code]]</calculatedColumnFormula>
    </tableColumn>
    <tableColumn id="10" xr3:uid="{00000000-0010-0000-0D00-00000A000000}" name="Version" dataDxfId="348">
      <calculatedColumnFormula>TableSTRPSCART[[#This Row],[Ver]]</calculatedColumnFormula>
    </tableColumn>
    <tableColumn id="11" xr3:uid="{00000000-0010-0000-0D00-00000B000000}" name="OUA Code"/>
    <tableColumn id="12" xr3:uid="{00000000-0010-0000-0D00-00000C000000}" name="Unit Title" dataDxfId="347">
      <calculatedColumnFormula>TableSTRPSCART[[#This Row],[Structure Line]]</calculatedColumnFormula>
    </tableColumn>
    <tableColumn id="13" xr3:uid="{00000000-0010-0000-0D00-00000D000000}" name="CPs" dataDxfId="346">
      <calculatedColumnFormula>TableSTRPSCART[[#This Row],[Credit Points]]</calculatedColumnFormula>
    </tableColumn>
    <tableColumn id="1" xr3:uid="{00000000-0010-0000-0D00-000001000000}" name="No."/>
    <tableColumn id="2" xr3:uid="{00000000-0010-0000-0D00-000002000000}" name="Component Type" dataDxfId="345"/>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dataDxfId="344"/>
    <tableColumn id="7" xr3:uid="{00000000-0010-0000-0D00-000007000000}" name="Structure Line"/>
    <tableColumn id="8" xr3:uid="{00000000-0010-0000-0D00-000008000000}" name="Credit Points"/>
    <tableColumn id="14" xr3:uid="{00000000-0010-0000-0D00-00000E000000}" name="Effective" dataDxfId="343"/>
    <tableColumn id="15" xr3:uid="{00000000-0010-0000-0D00-00000F000000}" name="Discont." dataDxfId="342"/>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eSTRPSCENG" displayName="TableSTRPSCENG" ref="A78:O80" totalsRowShown="0">
  <autoFilter ref="A78:O80" xr:uid="{00000000-0009-0000-0100-00000E000000}"/>
  <sortState xmlns:xlrd2="http://schemas.microsoft.com/office/spreadsheetml/2017/richdata2" ref="A82:R92">
    <sortCondition ref="M28:M39"/>
  </sortState>
  <tableColumns count="15">
    <tableColumn id="9" xr3:uid="{00000000-0010-0000-0E00-000009000000}" name="UDC" dataDxfId="341">
      <calculatedColumnFormula>TableSTRPSCENG[[#This Row],[Study Package Code]]</calculatedColumnFormula>
    </tableColumn>
    <tableColumn id="10" xr3:uid="{00000000-0010-0000-0E00-00000A000000}" name="Version" dataDxfId="340">
      <calculatedColumnFormula>TableSTRPSCENG[[#This Row],[Ver]]</calculatedColumnFormula>
    </tableColumn>
    <tableColumn id="11" xr3:uid="{00000000-0010-0000-0E00-00000B000000}" name="OUA Code"/>
    <tableColumn id="12" xr3:uid="{00000000-0010-0000-0E00-00000C000000}" name="Unit Title" dataDxfId="339">
      <calculatedColumnFormula>TableSTRPSCENG[[#This Row],[Structure Line]]</calculatedColumnFormula>
    </tableColumn>
    <tableColumn id="13" xr3:uid="{00000000-0010-0000-0E00-00000D000000}" name="CPs" dataDxfId="338">
      <calculatedColumnFormula>TableSTRPSCENG[[#This Row],[Credit Points]]</calculatedColumnFormula>
    </tableColumn>
    <tableColumn id="1" xr3:uid="{00000000-0010-0000-0E00-000001000000}" name="No."/>
    <tableColumn id="2" xr3:uid="{00000000-0010-0000-0E00-000002000000}" name="Component Type"/>
    <tableColumn id="3" xr3:uid="{00000000-0010-0000-0E00-000003000000}" name="Year Level"/>
    <tableColumn id="4" xr3:uid="{00000000-0010-0000-0E00-000004000000}" name="Study Period"/>
    <tableColumn id="5" xr3:uid="{00000000-0010-0000-0E00-000005000000}" name="Study Package Code"/>
    <tableColumn id="6" xr3:uid="{00000000-0010-0000-0E00-000006000000}" name="Ver" dataDxfId="337"/>
    <tableColumn id="7" xr3:uid="{00000000-0010-0000-0E00-000007000000}" name="Structure Line"/>
    <tableColumn id="8" xr3:uid="{00000000-0010-0000-0E00-000008000000}" name="Credit Points"/>
    <tableColumn id="14" xr3:uid="{00000000-0010-0000-0E00-00000E000000}" name="Effective" dataDxfId="336"/>
    <tableColumn id="15" xr3:uid="{00000000-0010-0000-0E00-00000F000000}" name="Discont." dataDxfId="335"/>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eSTRPSCHLP" displayName="TableSTRPSCHLP" ref="A82:O84" totalsRowShown="0">
  <autoFilter ref="A82:O84" xr:uid="{00000000-0009-0000-0100-00000F000000}"/>
  <sortState xmlns:xlrd2="http://schemas.microsoft.com/office/spreadsheetml/2017/richdata2" ref="A87:R97">
    <sortCondition ref="M28:M39"/>
  </sortState>
  <tableColumns count="15">
    <tableColumn id="9" xr3:uid="{00000000-0010-0000-0F00-000009000000}" name="UDC" dataDxfId="334">
      <calculatedColumnFormula>TableSTRPSCHLP[[#This Row],[Study Package Code]]</calculatedColumnFormula>
    </tableColumn>
    <tableColumn id="10" xr3:uid="{00000000-0010-0000-0F00-00000A000000}" name="Version" dataDxfId="333">
      <calculatedColumnFormula>TableSTRPSCHLP[[#This Row],[Ver]]</calculatedColumnFormula>
    </tableColumn>
    <tableColumn id="11" xr3:uid="{00000000-0010-0000-0F00-00000B000000}" name="OUA Code"/>
    <tableColumn id="12" xr3:uid="{00000000-0010-0000-0F00-00000C000000}" name="Unit Title" dataDxfId="332">
      <calculatedColumnFormula>TableSTRPSCHLP[[#This Row],[Structure Line]]</calculatedColumnFormula>
    </tableColumn>
    <tableColumn id="13" xr3:uid="{00000000-0010-0000-0F00-00000D000000}" name="CPs" dataDxfId="331">
      <calculatedColumnFormula>TableSTRPSCHLP[[#This Row],[Credit Points]]</calculatedColumnFormula>
    </tableColumn>
    <tableColumn id="1" xr3:uid="{00000000-0010-0000-0F00-000001000000}" name="No."/>
    <tableColumn id="2" xr3:uid="{00000000-0010-0000-0F00-000002000000}" name="Component Type"/>
    <tableColumn id="3" xr3:uid="{00000000-0010-0000-0F00-000003000000}" name="Year Level"/>
    <tableColumn id="4" xr3:uid="{00000000-0010-0000-0F00-000004000000}" name="Study Period"/>
    <tableColumn id="5" xr3:uid="{00000000-0010-0000-0F00-000005000000}" name="Study Package Code"/>
    <tableColumn id="6" xr3:uid="{00000000-0010-0000-0F00-000006000000}" name="Ver" dataDxfId="330"/>
    <tableColumn id="7" xr3:uid="{00000000-0010-0000-0F00-000007000000}" name="Structure Line"/>
    <tableColumn id="8" xr3:uid="{00000000-0010-0000-0F00-000008000000}" name="Credit Points"/>
    <tableColumn id="14" xr3:uid="{00000000-0010-0000-0F00-00000E000000}" name="Effective" dataDxfId="329"/>
    <tableColumn id="15" xr3:uid="{00000000-0010-0000-0F00-00000F000000}" name="Discont." dataDxfId="328"/>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0000000}" name="TableSTRPSCHUS" displayName="TableSTRPSCHUS" ref="A86:O88" totalsRowShown="0">
  <autoFilter ref="A86:O88" xr:uid="{00000000-0009-0000-0100-000010000000}"/>
  <sortState xmlns:xlrd2="http://schemas.microsoft.com/office/spreadsheetml/2017/richdata2" ref="A92:R102">
    <sortCondition ref="M28:M39"/>
  </sortState>
  <tableColumns count="15">
    <tableColumn id="9" xr3:uid="{00000000-0010-0000-1000-000009000000}" name="UDC" dataDxfId="327">
      <calculatedColumnFormula>TableSTRPSCHUS[[#This Row],[Study Package Code]]</calculatedColumnFormula>
    </tableColumn>
    <tableColumn id="10" xr3:uid="{00000000-0010-0000-1000-00000A000000}" name="Version" dataDxfId="326">
      <calculatedColumnFormula>TableSTRPSCHUS[[#This Row],[Ver]]</calculatedColumnFormula>
    </tableColumn>
    <tableColumn id="11" xr3:uid="{00000000-0010-0000-1000-00000B000000}" name="OUA Code"/>
    <tableColumn id="12" xr3:uid="{00000000-0010-0000-1000-00000C000000}" name="Unit Title" dataDxfId="325">
      <calculatedColumnFormula>TableSTRPSCHUS[[#This Row],[Structure Line]]</calculatedColumnFormula>
    </tableColumn>
    <tableColumn id="13" xr3:uid="{00000000-0010-0000-1000-00000D000000}" name="CPs" dataDxfId="324">
      <calculatedColumnFormula>TableSTRPSCHUS[[#This Row],[Credit Points]]</calculatedColumnFormula>
    </tableColumn>
    <tableColumn id="1" xr3:uid="{00000000-0010-0000-1000-000001000000}" name="No."/>
    <tableColumn id="2" xr3:uid="{00000000-0010-0000-1000-000002000000}" name="Component Type"/>
    <tableColumn id="3" xr3:uid="{00000000-0010-0000-1000-000003000000}" name="Year Level"/>
    <tableColumn id="4" xr3:uid="{00000000-0010-0000-1000-000004000000}" name="Study Period"/>
    <tableColumn id="5" xr3:uid="{00000000-0010-0000-1000-000005000000}" name="Study Package Code"/>
    <tableColumn id="6" xr3:uid="{00000000-0010-0000-1000-000006000000}" name="Ver" dataDxfId="323"/>
    <tableColumn id="7" xr3:uid="{00000000-0010-0000-1000-000007000000}" name="Structure Line"/>
    <tableColumn id="8" xr3:uid="{00000000-0010-0000-1000-000008000000}" name="Credit Points"/>
    <tableColumn id="14" xr3:uid="{00000000-0010-0000-1000-00000E000000}" name="Effective" dataDxfId="322"/>
    <tableColumn id="15" xr3:uid="{00000000-0010-0000-1000-00000F000000}" name="Discont." dataDxfId="321"/>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ableSTRPSCMAT" displayName="TableSTRPSCMAT" ref="A90:O92" totalsRowShown="0">
  <autoFilter ref="A90:O92" xr:uid="{00000000-0009-0000-0100-000011000000}"/>
  <sortState xmlns:xlrd2="http://schemas.microsoft.com/office/spreadsheetml/2017/richdata2" ref="A97:R107">
    <sortCondition ref="M28:M39"/>
  </sortState>
  <tableColumns count="15">
    <tableColumn id="9" xr3:uid="{00000000-0010-0000-1100-000009000000}" name="UDC" dataDxfId="320">
      <calculatedColumnFormula>TableSTRPSCMAT[[#This Row],[Study Package Code]]</calculatedColumnFormula>
    </tableColumn>
    <tableColumn id="10" xr3:uid="{00000000-0010-0000-1100-00000A000000}" name="Version" dataDxfId="319">
      <calculatedColumnFormula>TableSTRPSCMAT[[#This Row],[Ver]]</calculatedColumnFormula>
    </tableColumn>
    <tableColumn id="11" xr3:uid="{00000000-0010-0000-1100-00000B000000}" name="OUA Code"/>
    <tableColumn id="12" xr3:uid="{00000000-0010-0000-1100-00000C000000}" name="Unit Title" dataDxfId="318">
      <calculatedColumnFormula>TableSTRPSCMAT[[#This Row],[Structure Line]]</calculatedColumnFormula>
    </tableColumn>
    <tableColumn id="13" xr3:uid="{00000000-0010-0000-1100-00000D000000}" name="CPs" dataDxfId="317">
      <calculatedColumnFormula>TableSTRPSCMAT[[#This Row],[Credit Points]]</calculatedColumnFormula>
    </tableColumn>
    <tableColumn id="1" xr3:uid="{00000000-0010-0000-1100-000001000000}" name="No."/>
    <tableColumn id="2" xr3:uid="{00000000-0010-0000-1100-000002000000}" name="Component Type"/>
    <tableColumn id="3" xr3:uid="{00000000-0010-0000-1100-000003000000}" name="Year Level"/>
    <tableColumn id="4" xr3:uid="{00000000-0010-0000-1100-000004000000}" name="Study Period"/>
    <tableColumn id="5" xr3:uid="{00000000-0010-0000-1100-000005000000}" name="Study Package Code"/>
    <tableColumn id="6" xr3:uid="{00000000-0010-0000-1100-000006000000}" name="Ver" dataDxfId="316"/>
    <tableColumn id="7" xr3:uid="{00000000-0010-0000-1100-000007000000}" name="Structure Line"/>
    <tableColumn id="8" xr3:uid="{00000000-0010-0000-1100-000008000000}" name="Credit Points"/>
    <tableColumn id="14" xr3:uid="{00000000-0010-0000-1100-00000E000000}" name="Effective" dataDxfId="315"/>
    <tableColumn id="15" xr3:uid="{00000000-0010-0000-1100-00000F000000}" name="Discont." dataDxfId="31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28:E32" totalsRowShown="0" headerRowDxfId="487" dataDxfId="486">
  <autoFilter ref="A28:E32" xr:uid="{00000000-0009-0000-0100-000004000000}"/>
  <tableColumns count="5">
    <tableColumn id="1" xr3:uid="{00000000-0010-0000-0100-000001000000}" name="Choose your commencing study period (drop-down list)" dataDxfId="485"/>
    <tableColumn id="2" xr3:uid="{00000000-0010-0000-0100-000002000000}" name="START" dataDxfId="484"/>
    <tableColumn id="3" xr3:uid="{00000000-0010-0000-0100-000003000000}" name="Next" dataDxfId="483"/>
    <tableColumn id="4" xr3:uid="{00000000-0010-0000-0100-000004000000}" name="Next2" dataDxfId="482"/>
    <tableColumn id="5" xr3:uid="{00000000-0010-0000-0100-000005000000}" name="Next3" dataDxfId="481"/>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2000000}" name="TableSTRPSCSCI" displayName="TableSTRPSCSCI" ref="A94:O96" totalsRowShown="0">
  <autoFilter ref="A94:O96" xr:uid="{00000000-0009-0000-0100-000012000000}"/>
  <sortState xmlns:xlrd2="http://schemas.microsoft.com/office/spreadsheetml/2017/richdata2" ref="A102:R112">
    <sortCondition ref="M28:M39"/>
  </sortState>
  <tableColumns count="15">
    <tableColumn id="9" xr3:uid="{00000000-0010-0000-1200-000009000000}" name="UDC" dataDxfId="313">
      <calculatedColumnFormula>TableSTRPSCSCI[[#This Row],[Study Package Code]]</calculatedColumnFormula>
    </tableColumn>
    <tableColumn id="10" xr3:uid="{00000000-0010-0000-1200-00000A000000}" name="Version" dataDxfId="312">
      <calculatedColumnFormula>TableSTRPSCSCI[[#This Row],[Ver]]</calculatedColumnFormula>
    </tableColumn>
    <tableColumn id="11" xr3:uid="{00000000-0010-0000-1200-00000B000000}" name="OUA Code"/>
    <tableColumn id="12" xr3:uid="{00000000-0010-0000-1200-00000C000000}" name="Unit Title" dataDxfId="311">
      <calculatedColumnFormula>TableSTRPSCSCI[[#This Row],[Structure Line]]</calculatedColumnFormula>
    </tableColumn>
    <tableColumn id="13" xr3:uid="{00000000-0010-0000-1200-00000D000000}" name="CPs" dataDxfId="310">
      <calculatedColumnFormula>TableSTRPSCSCI[[#This Row],[Credit Points]]</calculatedColumnFormula>
    </tableColumn>
    <tableColumn id="1" xr3:uid="{00000000-0010-0000-1200-000001000000}" name="No."/>
    <tableColumn id="2" xr3:uid="{00000000-0010-0000-1200-000002000000}" name="Component Type"/>
    <tableColumn id="3" xr3:uid="{00000000-0010-0000-1200-000003000000}" name="Year Level"/>
    <tableColumn id="4" xr3:uid="{00000000-0010-0000-1200-000004000000}" name="Study Period"/>
    <tableColumn id="5" xr3:uid="{00000000-0010-0000-1200-000005000000}" name="Study Package Code"/>
    <tableColumn id="6" xr3:uid="{00000000-0010-0000-1200-000006000000}" name="Ver" dataDxfId="309"/>
    <tableColumn id="7" xr3:uid="{00000000-0010-0000-1200-000007000000}" name="Structure Line"/>
    <tableColumn id="8" xr3:uid="{00000000-0010-0000-1200-000008000000}" name="Credit Points"/>
    <tableColumn id="14" xr3:uid="{00000000-0010-0000-1200-00000E000000}" name="Effective" dataDxfId="308"/>
    <tableColumn id="15" xr3:uid="{00000000-0010-0000-1200-00000F000000}" name="Discont." dataDxfId="307"/>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3000000}" name="TableSTRPSCFON" displayName="TableSTRPSCFON" ref="A98:O100" totalsRowShown="0">
  <autoFilter ref="A98:O100" xr:uid="{00000000-0009-0000-0100-000013000000}"/>
  <sortState xmlns:xlrd2="http://schemas.microsoft.com/office/spreadsheetml/2017/richdata2" ref="A100:R110">
    <sortCondition ref="M28:M39"/>
  </sortState>
  <tableColumns count="15">
    <tableColumn id="9" xr3:uid="{00000000-0010-0000-1300-000009000000}" name="UDC" dataDxfId="306">
      <calculatedColumnFormula>TableSTRPSCFON[[#This Row],[Study Package Code]]</calculatedColumnFormula>
    </tableColumn>
    <tableColumn id="10" xr3:uid="{00000000-0010-0000-1300-00000A000000}" name="Version" dataDxfId="305">
      <calculatedColumnFormula>TableSTRPSCFON[[#This Row],[Ver]]</calculatedColumnFormula>
    </tableColumn>
    <tableColumn id="11" xr3:uid="{00000000-0010-0000-1300-00000B000000}" name="OUA Code"/>
    <tableColumn id="12" xr3:uid="{00000000-0010-0000-1300-00000C000000}" name="Unit Title" dataDxfId="304">
      <calculatedColumnFormula>TableSTRPSCFON[[#This Row],[Structure Line]]</calculatedColumnFormula>
    </tableColumn>
    <tableColumn id="13" xr3:uid="{00000000-0010-0000-1300-00000D000000}" name="CPs" dataDxfId="303">
      <calculatedColumnFormula>TableSTRPSCFON[[#This Row],[Credit Points]]</calculatedColumnFormula>
    </tableColumn>
    <tableColumn id="1" xr3:uid="{00000000-0010-0000-1300-000001000000}" name="No."/>
    <tableColumn id="2" xr3:uid="{00000000-0010-0000-1300-000002000000}" name="Component Type"/>
    <tableColumn id="3" xr3:uid="{00000000-0010-0000-1300-000003000000}" name="Year Level"/>
    <tableColumn id="4" xr3:uid="{00000000-0010-0000-1300-000004000000}" name="Study Period"/>
    <tableColumn id="5" xr3:uid="{00000000-0010-0000-1300-000005000000}" name="Study Package Code"/>
    <tableColumn id="6" xr3:uid="{00000000-0010-0000-1300-000006000000}" name="Ver" dataDxfId="302"/>
    <tableColumn id="7" xr3:uid="{00000000-0010-0000-1300-000007000000}" name="Structure Line"/>
    <tableColumn id="8" xr3:uid="{00000000-0010-0000-1300-000008000000}" name="Credit Points"/>
    <tableColumn id="14" xr3:uid="{00000000-0010-0000-1300-00000E000000}" name="Effective" dataDxfId="301"/>
    <tableColumn id="15" xr3:uid="{00000000-0010-0000-1300-00000F000000}" name="Discont." dataDxfId="300"/>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4000000}" name="TableMCTESOL" displayName="TableMCTESOL" ref="A103:O118" totalsRowShown="0">
  <autoFilter ref="A103:O118" xr:uid="{00000000-0009-0000-0100-00000A000000}"/>
  <sortState xmlns:xlrd2="http://schemas.microsoft.com/office/spreadsheetml/2017/richdata2" ref="A104:M135">
    <sortCondition ref="F10:F42"/>
  </sortState>
  <tableColumns count="15">
    <tableColumn id="9" xr3:uid="{00000000-0010-0000-1400-000009000000}" name="UDC" dataDxfId="299">
      <calculatedColumnFormula>TableMCTESOL[[#This Row],[Study Package Code]]</calculatedColumnFormula>
    </tableColumn>
    <tableColumn id="10" xr3:uid="{00000000-0010-0000-1400-00000A000000}" name="Version" dataDxfId="298">
      <calculatedColumnFormula>TableMCTESOL[[#This Row],[Ver]]</calculatedColumnFormula>
    </tableColumn>
    <tableColumn id="11" xr3:uid="{00000000-0010-0000-1400-00000B000000}" name="OUA Code"/>
    <tableColumn id="12" xr3:uid="{00000000-0010-0000-1400-00000C000000}" name="Unit Title" dataDxfId="297">
      <calculatedColumnFormula>TableMCTESOL[[#This Row],[Structure Line]]</calculatedColumnFormula>
    </tableColumn>
    <tableColumn id="13" xr3:uid="{00000000-0010-0000-1400-00000D000000}" name="CPs" dataDxfId="296">
      <calculatedColumnFormula>TableMCTESOL[[#This Row],[Credit Points]]</calculatedColumnFormula>
    </tableColumn>
    <tableColumn id="1" xr3:uid="{00000000-0010-0000-1400-000001000000}" name="No." dataDxfId="295"/>
    <tableColumn id="2" xr3:uid="{00000000-0010-0000-1400-000002000000}" name="Component Type" dataDxfId="294"/>
    <tableColumn id="3" xr3:uid="{00000000-0010-0000-1400-000003000000}" name="Year Level" dataDxfId="293"/>
    <tableColumn id="4" xr3:uid="{00000000-0010-0000-1400-000004000000}" name="Study Period" dataDxfId="292"/>
    <tableColumn id="5" xr3:uid="{00000000-0010-0000-1400-000005000000}" name="Study Package Code" dataDxfId="291"/>
    <tableColumn id="6" xr3:uid="{00000000-0010-0000-1400-000006000000}" name="Ver" dataDxfId="290"/>
    <tableColumn id="7" xr3:uid="{00000000-0010-0000-1400-000007000000}" name="Structure Line" dataDxfId="289"/>
    <tableColumn id="8" xr3:uid="{00000000-0010-0000-1400-000008000000}" name="Credit Points" dataDxfId="288"/>
    <tableColumn id="14" xr3:uid="{00000000-0010-0000-1400-00000E000000}" name="Effective" dataDxfId="287"/>
    <tableColumn id="15" xr3:uid="{00000000-0010-0000-1400-00000F000000}" name="Discont." dataDxfId="286"/>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5000000}" name="TableMCAPLING" displayName="TableMCAPLING" ref="A120:O127" totalsRowShown="0">
  <autoFilter ref="A120:O127" xr:uid="{00000000-0009-0000-0100-00000B000000}"/>
  <sortState xmlns:xlrd2="http://schemas.microsoft.com/office/spreadsheetml/2017/richdata2" ref="A121:M152">
    <sortCondition ref="F10:F42"/>
  </sortState>
  <tableColumns count="15">
    <tableColumn id="9" xr3:uid="{00000000-0010-0000-1500-000009000000}" name="UDC" dataDxfId="285">
      <calculatedColumnFormula>TableMCAPLING[[#This Row],[Study Package Code]]</calculatedColumnFormula>
    </tableColumn>
    <tableColumn id="10" xr3:uid="{00000000-0010-0000-1500-00000A000000}" name="Version" dataDxfId="284">
      <calculatedColumnFormula>TableMCAPLING[[#This Row],[Ver]]</calculatedColumnFormula>
    </tableColumn>
    <tableColumn id="11" xr3:uid="{00000000-0010-0000-1500-00000B000000}" name="OUA Code"/>
    <tableColumn id="12" xr3:uid="{00000000-0010-0000-1500-00000C000000}" name="Unit Title" dataDxfId="283">
      <calculatedColumnFormula>TableMCAPLING[[#This Row],[Structure Line]]</calculatedColumnFormula>
    </tableColumn>
    <tableColumn id="13" xr3:uid="{00000000-0010-0000-1500-00000D000000}" name="CPs" dataDxfId="282">
      <calculatedColumnFormula>TableMCAPLING[[#This Row],[Credit Points]]</calculatedColumnFormula>
    </tableColumn>
    <tableColumn id="1" xr3:uid="{00000000-0010-0000-1500-000001000000}" name="No." dataDxfId="281"/>
    <tableColumn id="2" xr3:uid="{00000000-0010-0000-1500-000002000000}" name="Component Type" dataDxfId="280"/>
    <tableColumn id="3" xr3:uid="{00000000-0010-0000-1500-000003000000}" name="Year Level" dataDxfId="279"/>
    <tableColumn id="4" xr3:uid="{00000000-0010-0000-1500-000004000000}" name="Study Period" dataDxfId="278"/>
    <tableColumn id="5" xr3:uid="{00000000-0010-0000-1500-000005000000}" name="Study Package Code" dataDxfId="277"/>
    <tableColumn id="6" xr3:uid="{00000000-0010-0000-1500-000006000000}" name="Ver" dataDxfId="276"/>
    <tableColumn id="7" xr3:uid="{00000000-0010-0000-1500-000007000000}" name="Structure Line" dataDxfId="275"/>
    <tableColumn id="8" xr3:uid="{00000000-0010-0000-1500-000008000000}" name="Credit Points" dataDxfId="274"/>
    <tableColumn id="14" xr3:uid="{00000000-0010-0000-1500-00000E000000}" name="Effective" dataDxfId="273"/>
    <tableColumn id="15" xr3:uid="{00000000-0010-0000-1500-00000F000000}" name="Discont." dataDxfId="272"/>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6000000}" name="TableGCTESOL" displayName="TableGCTESOL" ref="A129:O133" totalsRowShown="0">
  <autoFilter ref="A129:O133" xr:uid="{00000000-0009-0000-0100-000016000000}"/>
  <sortState xmlns:xlrd2="http://schemas.microsoft.com/office/spreadsheetml/2017/richdata2" ref="A130:M161">
    <sortCondition ref="F10:F42"/>
  </sortState>
  <tableColumns count="15">
    <tableColumn id="9" xr3:uid="{00000000-0010-0000-1600-000009000000}" name="UDC" dataDxfId="271">
      <calculatedColumnFormula>TableGCTESOL[[#This Row],[Study Package Code]]</calculatedColumnFormula>
    </tableColumn>
    <tableColumn id="10" xr3:uid="{00000000-0010-0000-1600-00000A000000}" name="Version" dataDxfId="270">
      <calculatedColumnFormula>TableGCTESOL[[#This Row],[Ver]]</calculatedColumnFormula>
    </tableColumn>
    <tableColumn id="11" xr3:uid="{00000000-0010-0000-1600-00000B000000}" name="OUA Code"/>
    <tableColumn id="12" xr3:uid="{00000000-0010-0000-1600-00000C000000}" name="Unit Title" dataDxfId="269">
      <calculatedColumnFormula>TableGCTESOL[[#This Row],[Structure Line]]</calculatedColumnFormula>
    </tableColumn>
    <tableColumn id="13" xr3:uid="{00000000-0010-0000-1600-00000D000000}" name="CPs" dataDxfId="268">
      <calculatedColumnFormula>TableGCTESOL[[#This Row],[Credit Points]]</calculatedColumnFormula>
    </tableColumn>
    <tableColumn id="1" xr3:uid="{00000000-0010-0000-1600-000001000000}" name="No." dataDxfId="267"/>
    <tableColumn id="2" xr3:uid="{00000000-0010-0000-1600-000002000000}" name="Component Type" dataDxfId="266"/>
    <tableColumn id="3" xr3:uid="{00000000-0010-0000-1600-000003000000}" name="Year Level" dataDxfId="265"/>
    <tableColumn id="4" xr3:uid="{00000000-0010-0000-1600-000004000000}" name="Study Period" dataDxfId="264"/>
    <tableColumn id="5" xr3:uid="{00000000-0010-0000-1600-000005000000}" name="Study Package Code" dataDxfId="263"/>
    <tableColumn id="6" xr3:uid="{00000000-0010-0000-1600-000006000000}" name="Ver" dataDxfId="262"/>
    <tableColumn id="7" xr3:uid="{00000000-0010-0000-1600-000007000000}" name="Structure Line" dataDxfId="261"/>
    <tableColumn id="8" xr3:uid="{00000000-0010-0000-1600-000008000000}" name="Credit Points" dataDxfId="260"/>
    <tableColumn id="14" xr3:uid="{00000000-0010-0000-1600-00000E000000}" name="Effective" dataDxfId="259"/>
    <tableColumn id="15" xr3:uid="{00000000-0010-0000-1600-00000F000000}" name="Discont." dataDxfId="258"/>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7000000}" name="TableMCEDUC" displayName="TableMCEDUC" ref="A136:O153" totalsRowShown="0">
  <autoFilter ref="A136:O153" xr:uid="{00000000-0009-0000-0100-000017000000}"/>
  <sortState xmlns:xlrd2="http://schemas.microsoft.com/office/spreadsheetml/2017/richdata2" ref="A137:M168">
    <sortCondition ref="F10:F42"/>
  </sortState>
  <tableColumns count="15">
    <tableColumn id="9" xr3:uid="{00000000-0010-0000-1700-000009000000}" name="UDC" dataDxfId="257">
      <calculatedColumnFormula>TableMCEDUC[[#This Row],[Study Package Code]]</calculatedColumnFormula>
    </tableColumn>
    <tableColumn id="10" xr3:uid="{00000000-0010-0000-1700-00000A000000}" name="Version" dataDxfId="256">
      <calculatedColumnFormula>TableMCEDUC[[#This Row],[Ver]]</calculatedColumnFormula>
    </tableColumn>
    <tableColumn id="11" xr3:uid="{00000000-0010-0000-1700-00000B000000}" name="OUA Code"/>
    <tableColumn id="12" xr3:uid="{00000000-0010-0000-1700-00000C000000}" name="Unit Title" dataDxfId="255">
      <calculatedColumnFormula>TableMCEDUC[[#This Row],[Structure Line]]</calculatedColumnFormula>
    </tableColumn>
    <tableColumn id="13" xr3:uid="{00000000-0010-0000-1700-00000D000000}" name="CPs" dataDxfId="254">
      <calculatedColumnFormula>TableMCEDUC[[#This Row],[Credit Points]]</calculatedColumnFormula>
    </tableColumn>
    <tableColumn id="1" xr3:uid="{00000000-0010-0000-1700-000001000000}" name="No." dataDxfId="253"/>
    <tableColumn id="2" xr3:uid="{00000000-0010-0000-1700-000002000000}" name="Component Type" dataDxfId="252"/>
    <tableColumn id="3" xr3:uid="{00000000-0010-0000-1700-000003000000}" name="Year Level" dataDxfId="251"/>
    <tableColumn id="4" xr3:uid="{00000000-0010-0000-1700-000004000000}" name="Study Period" dataDxfId="250"/>
    <tableColumn id="5" xr3:uid="{00000000-0010-0000-1700-000005000000}" name="Study Package Code" dataDxfId="249"/>
    <tableColumn id="6" xr3:uid="{00000000-0010-0000-1700-000006000000}" name="Ver" dataDxfId="248"/>
    <tableColumn id="7" xr3:uid="{00000000-0010-0000-1700-000007000000}" name="Structure Line" dataDxfId="247"/>
    <tableColumn id="8" xr3:uid="{00000000-0010-0000-1700-000008000000}" name="Credit Points" dataDxfId="246"/>
    <tableColumn id="14" xr3:uid="{00000000-0010-0000-1700-00000E000000}" name="Effective" dataDxfId="245"/>
    <tableColumn id="15" xr3:uid="{00000000-0010-0000-1700-00000F000000}" name="Discont." dataDxfId="244"/>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8000000}" name="TableSPPECULIN" displayName="TableSPPECULIN" ref="A155:O159" totalsRowShown="0">
  <autoFilter ref="A155:O159" xr:uid="{00000000-0009-0000-0100-000018000000}"/>
  <sortState xmlns:xlrd2="http://schemas.microsoft.com/office/spreadsheetml/2017/richdata2" ref="A155:M186">
    <sortCondition ref="F10:F42"/>
  </sortState>
  <tableColumns count="15">
    <tableColumn id="9" xr3:uid="{00000000-0010-0000-1800-000009000000}" name="UDC" dataDxfId="243">
      <calculatedColumnFormula>TableSPPECULIN[[#This Row],[Study Package Code]]</calculatedColumnFormula>
    </tableColumn>
    <tableColumn id="10" xr3:uid="{00000000-0010-0000-1800-00000A000000}" name="Version" dataDxfId="242">
      <calculatedColumnFormula>TableSPPECULIN[[#This Row],[Ver]]</calculatedColumnFormula>
    </tableColumn>
    <tableColumn id="11" xr3:uid="{00000000-0010-0000-1800-00000B000000}" name="OUA Code"/>
    <tableColumn id="12" xr3:uid="{00000000-0010-0000-1800-00000C000000}" name="Unit Title" dataDxfId="241">
      <calculatedColumnFormula>TableSPPECULIN[[#This Row],[Structure Line]]</calculatedColumnFormula>
    </tableColumn>
    <tableColumn id="13" xr3:uid="{00000000-0010-0000-1800-00000D000000}" name="CPs" dataDxfId="240">
      <calculatedColumnFormula>TableSPPECULIN[[#This Row],[Credit Points]]</calculatedColumnFormula>
    </tableColumn>
    <tableColumn id="1" xr3:uid="{00000000-0010-0000-1800-000001000000}" name="No." dataDxfId="239"/>
    <tableColumn id="2" xr3:uid="{00000000-0010-0000-1800-000002000000}" name="Component Type" dataDxfId="238"/>
    <tableColumn id="3" xr3:uid="{00000000-0010-0000-1800-000003000000}" name="Year Level" dataDxfId="237"/>
    <tableColumn id="4" xr3:uid="{00000000-0010-0000-1800-000004000000}" name="Study Period" dataDxfId="236"/>
    <tableColumn id="5" xr3:uid="{00000000-0010-0000-1800-000005000000}" name="Study Package Code" dataDxfId="235"/>
    <tableColumn id="6" xr3:uid="{00000000-0010-0000-1800-000006000000}" name="Ver" dataDxfId="234"/>
    <tableColumn id="7" xr3:uid="{00000000-0010-0000-1800-000007000000}" name="Structure Line" dataDxfId="233"/>
    <tableColumn id="8" xr3:uid="{00000000-0010-0000-1800-000008000000}" name="Credit Points" dataDxfId="232"/>
    <tableColumn id="14" xr3:uid="{00000000-0010-0000-1800-00000E000000}" name="Effective" dataDxfId="231"/>
    <tableColumn id="15" xr3:uid="{00000000-0010-0000-1800-00000F000000}" name="Discont." dataDxfId="230"/>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9000000}" name="TableSPPELNTCH" displayName="TableSPPELNTCH" ref="A161:O165" totalsRowShown="0">
  <autoFilter ref="A161:O165" xr:uid="{00000000-0009-0000-0100-000019000000}"/>
  <sortState xmlns:xlrd2="http://schemas.microsoft.com/office/spreadsheetml/2017/richdata2" ref="A161:M192">
    <sortCondition ref="F10:F42"/>
  </sortState>
  <tableColumns count="15">
    <tableColumn id="9" xr3:uid="{00000000-0010-0000-1900-000009000000}" name="UDC" dataDxfId="229">
      <calculatedColumnFormula>TableSPPELNTCH[[#This Row],[Study Package Code]]</calculatedColumnFormula>
    </tableColumn>
    <tableColumn id="10" xr3:uid="{00000000-0010-0000-1900-00000A000000}" name="Version" dataDxfId="228">
      <calculatedColumnFormula>TableSPPELNTCH[[#This Row],[Ver]]</calculatedColumnFormula>
    </tableColumn>
    <tableColumn id="11" xr3:uid="{00000000-0010-0000-1900-00000B000000}" name="OUA Code"/>
    <tableColumn id="12" xr3:uid="{00000000-0010-0000-1900-00000C000000}" name="Unit Title" dataDxfId="227">
      <calculatedColumnFormula>TableSPPELNTCH[[#This Row],[Structure Line]]</calculatedColumnFormula>
    </tableColumn>
    <tableColumn id="13" xr3:uid="{00000000-0010-0000-1900-00000D000000}" name="CPs" dataDxfId="226">
      <calculatedColumnFormula>TableSPPELNTCH[[#This Row],[Credit Points]]</calculatedColumnFormula>
    </tableColumn>
    <tableColumn id="1" xr3:uid="{00000000-0010-0000-1900-000001000000}" name="No." dataDxfId="225"/>
    <tableColumn id="2" xr3:uid="{00000000-0010-0000-1900-000002000000}" name="Component Type" dataDxfId="224"/>
    <tableColumn id="3" xr3:uid="{00000000-0010-0000-1900-000003000000}" name="Year Level" dataDxfId="223"/>
    <tableColumn id="4" xr3:uid="{00000000-0010-0000-1900-000004000000}" name="Study Period" dataDxfId="222"/>
    <tableColumn id="5" xr3:uid="{00000000-0010-0000-1900-000005000000}" name="Study Package Code" dataDxfId="221"/>
    <tableColumn id="6" xr3:uid="{00000000-0010-0000-1900-000006000000}" name="Ver" dataDxfId="220"/>
    <tableColumn id="7" xr3:uid="{00000000-0010-0000-1900-000007000000}" name="Structure Line" dataDxfId="219"/>
    <tableColumn id="8" xr3:uid="{00000000-0010-0000-1900-000008000000}" name="Credit Points" dataDxfId="218"/>
    <tableColumn id="14" xr3:uid="{00000000-0010-0000-1900-00000E000000}" name="Effective" dataDxfId="217"/>
    <tableColumn id="15" xr3:uid="{00000000-0010-0000-1900-00000F000000}" name="Discont." dataDxfId="216"/>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A000000}" name="TableSPPESTEME" displayName="TableSPPESTEME" ref="A167:O171" totalsRowShown="0">
  <autoFilter ref="A167:O171" xr:uid="{00000000-0009-0000-0100-00001A000000}"/>
  <sortState xmlns:xlrd2="http://schemas.microsoft.com/office/spreadsheetml/2017/richdata2" ref="A167:M198">
    <sortCondition ref="F10:F42"/>
  </sortState>
  <tableColumns count="15">
    <tableColumn id="9" xr3:uid="{00000000-0010-0000-1A00-000009000000}" name="UDC" dataDxfId="215">
      <calculatedColumnFormula>TableSPPESTEME[[#This Row],[Study Package Code]]</calculatedColumnFormula>
    </tableColumn>
    <tableColumn id="10" xr3:uid="{00000000-0010-0000-1A00-00000A000000}" name="Version" dataDxfId="214">
      <calculatedColumnFormula>TableSPPESTEME[[#This Row],[Ver]]</calculatedColumnFormula>
    </tableColumn>
    <tableColumn id="11" xr3:uid="{00000000-0010-0000-1A00-00000B000000}" name="OUA Code"/>
    <tableColumn id="12" xr3:uid="{00000000-0010-0000-1A00-00000C000000}" name="Unit Title" dataDxfId="213">
      <calculatedColumnFormula>TableSPPESTEME[[#This Row],[Structure Line]]</calculatedColumnFormula>
    </tableColumn>
    <tableColumn id="13" xr3:uid="{00000000-0010-0000-1A00-00000D000000}" name="CPs" dataDxfId="212">
      <calculatedColumnFormula>TableSPPESTEME[[#This Row],[Credit Points]]</calculatedColumnFormula>
    </tableColumn>
    <tableColumn id="1" xr3:uid="{00000000-0010-0000-1A00-000001000000}" name="No." dataDxfId="211"/>
    <tableColumn id="2" xr3:uid="{00000000-0010-0000-1A00-000002000000}" name="Component Type" dataDxfId="210"/>
    <tableColumn id="3" xr3:uid="{00000000-0010-0000-1A00-000003000000}" name="Year Level" dataDxfId="209"/>
    <tableColumn id="4" xr3:uid="{00000000-0010-0000-1A00-000004000000}" name="Study Period" dataDxfId="208"/>
    <tableColumn id="5" xr3:uid="{00000000-0010-0000-1A00-000005000000}" name="Study Package Code" dataDxfId="207"/>
    <tableColumn id="6" xr3:uid="{00000000-0010-0000-1A00-000006000000}" name="Ver" dataDxfId="206"/>
    <tableColumn id="7" xr3:uid="{00000000-0010-0000-1A00-000007000000}" name="Structure Line" dataDxfId="205"/>
    <tableColumn id="8" xr3:uid="{00000000-0010-0000-1A00-000008000000}" name="Credit Points" dataDxfId="204"/>
    <tableColumn id="14" xr3:uid="{00000000-0010-0000-1A00-00000E000000}" name="Effective" dataDxfId="203"/>
    <tableColumn id="15" xr3:uid="{00000000-0010-0000-1A00-00000F000000}" name="Discont." dataDxfId="202"/>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B000000}" name="TableGCEDUC" displayName="TableGCEDUC" ref="A173:O188" totalsRowShown="0">
  <autoFilter ref="A173:O188" xr:uid="{00000000-0009-0000-0100-000021000000}"/>
  <sortState xmlns:xlrd2="http://schemas.microsoft.com/office/spreadsheetml/2017/richdata2" ref="A186:M218">
    <sortCondition ref="F10:F42"/>
  </sortState>
  <tableColumns count="15">
    <tableColumn id="9" xr3:uid="{00000000-0010-0000-1B00-000009000000}" name="UDC" dataDxfId="201">
      <calculatedColumnFormula>TableGCEDUC[[#This Row],[Study Package Code]]</calculatedColumnFormula>
    </tableColumn>
    <tableColumn id="10" xr3:uid="{00000000-0010-0000-1B00-00000A000000}" name="Version" dataDxfId="200">
      <calculatedColumnFormula>TableGCEDUC[[#This Row],[Ver]]</calculatedColumnFormula>
    </tableColumn>
    <tableColumn id="11" xr3:uid="{00000000-0010-0000-1B00-00000B000000}" name="OUA Code"/>
    <tableColumn id="12" xr3:uid="{00000000-0010-0000-1B00-00000C000000}" name="Unit Title" dataDxfId="199">
      <calculatedColumnFormula>TableGCEDUC[[#This Row],[Structure Line]]</calculatedColumnFormula>
    </tableColumn>
    <tableColumn id="13" xr3:uid="{00000000-0010-0000-1B00-00000D000000}" name="CPs" dataDxfId="198">
      <calculatedColumnFormula>TableGCEDUC[[#This Row],[Credit Points]]</calculatedColumnFormula>
    </tableColumn>
    <tableColumn id="1" xr3:uid="{00000000-0010-0000-1B00-000001000000}" name="No." dataDxfId="197"/>
    <tableColumn id="2" xr3:uid="{00000000-0010-0000-1B00-000002000000}" name="Component Type" dataDxfId="196"/>
    <tableColumn id="3" xr3:uid="{00000000-0010-0000-1B00-000003000000}" name="Year Level" dataDxfId="195"/>
    <tableColumn id="4" xr3:uid="{00000000-0010-0000-1B00-000004000000}" name="Study Period" dataDxfId="194"/>
    <tableColumn id="5" xr3:uid="{00000000-0010-0000-1B00-000005000000}" name="Study Package Code" dataDxfId="193"/>
    <tableColumn id="6" xr3:uid="{00000000-0010-0000-1B00-000006000000}" name="Ver" dataDxfId="192"/>
    <tableColumn id="7" xr3:uid="{00000000-0010-0000-1B00-000007000000}" name="Structure Line" dataDxfId="191"/>
    <tableColumn id="8" xr3:uid="{00000000-0010-0000-1B00-000008000000}" name="Credit Points" dataDxfId="190"/>
    <tableColumn id="14" xr3:uid="{00000000-0010-0000-1B00-00000E000000}" name="Effective" dataDxfId="189"/>
    <tableColumn id="15" xr3:uid="{00000000-0010-0000-1B00-00000F000000}" name="Discont." dataDxfId="18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2000000}" name="TableSpecialisationsMCEDUC" displayName="TableSpecialisationsMCEDUC" ref="A21:G25" totalsRowShown="0" headerRowDxfId="480" dataDxfId="479">
  <autoFilter ref="A21:G25" xr:uid="{00000000-0009-0000-0100-000022000000}"/>
  <tableColumns count="7">
    <tableColumn id="1" xr3:uid="{00000000-0010-0000-0200-000001000000}" name="Choose your MEd Specialisation (drop-down list)" dataDxfId="478"/>
    <tableColumn id="2" xr3:uid="{00000000-0010-0000-0200-000002000000}" name="UDC" dataDxfId="477"/>
    <tableColumn id="3" xr3:uid="{00000000-0010-0000-0200-000003000000}" name="SM Version" dataDxfId="476"/>
    <tableColumn id="4" xr3:uid="{00000000-0010-0000-0200-000004000000}" name="SM Effective Date" dataDxfId="475"/>
    <tableColumn id="5" xr3:uid="{00000000-0010-0000-0200-000005000000}" name="Akari Iteration" dataDxfId="474"/>
    <tableColumn id="6" xr3:uid="{00000000-0010-0000-0200-000006000000}" name="Akari Effective Date" dataDxfId="473"/>
    <tableColumn id="7" xr3:uid="{00000000-0010-0000-0200-000007000000}" name="Credit Points" dataDxfId="472"/>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C000000}" name="TableGCEDHE" displayName="TableGCEDHE" ref="A191:O195" totalsRowShown="0">
  <autoFilter ref="A191:O195" xr:uid="{00000000-0009-0000-0100-000024000000}"/>
  <sortState xmlns:xlrd2="http://schemas.microsoft.com/office/spreadsheetml/2017/richdata2" ref="A192:M223">
    <sortCondition ref="F10:F42"/>
  </sortState>
  <tableColumns count="15">
    <tableColumn id="9" xr3:uid="{00000000-0010-0000-1C00-000009000000}" name="UDC" dataDxfId="187">
      <calculatedColumnFormula>TableGCEDHE[[#This Row],[Study Package Code]]</calculatedColumnFormula>
    </tableColumn>
    <tableColumn id="10" xr3:uid="{00000000-0010-0000-1C00-00000A000000}" name="Version" dataDxfId="186">
      <calculatedColumnFormula>TableGCEDHE[[#This Row],[Ver]]</calculatedColumnFormula>
    </tableColumn>
    <tableColumn id="11" xr3:uid="{00000000-0010-0000-1C00-00000B000000}" name="OUA Code"/>
    <tableColumn id="12" xr3:uid="{00000000-0010-0000-1C00-00000C000000}" name="Unit Title" dataDxfId="185">
      <calculatedColumnFormula>TableGCEDHE[[#This Row],[Structure Line]]</calculatedColumnFormula>
    </tableColumn>
    <tableColumn id="13" xr3:uid="{00000000-0010-0000-1C00-00000D000000}" name="CPs" dataDxfId="184">
      <calculatedColumnFormula>TableGCEDHE[[#This Row],[Credit Points]]</calculatedColumnFormula>
    </tableColumn>
    <tableColumn id="1" xr3:uid="{00000000-0010-0000-1C00-000001000000}" name="No." dataDxfId="183"/>
    <tableColumn id="2" xr3:uid="{00000000-0010-0000-1C00-000002000000}" name="Component Type" dataDxfId="182"/>
    <tableColumn id="3" xr3:uid="{00000000-0010-0000-1C00-000003000000}" name="Year Level" dataDxfId="181"/>
    <tableColumn id="4" xr3:uid="{00000000-0010-0000-1C00-000004000000}" name="Study Period" dataDxfId="180"/>
    <tableColumn id="5" xr3:uid="{00000000-0010-0000-1C00-000005000000}" name="Study Package Code" dataDxfId="179"/>
    <tableColumn id="6" xr3:uid="{00000000-0010-0000-1C00-000006000000}" name="Ver" dataDxfId="178"/>
    <tableColumn id="7" xr3:uid="{00000000-0010-0000-1C00-000007000000}" name="Structure Line" dataDxfId="177"/>
    <tableColumn id="8" xr3:uid="{00000000-0010-0000-1C00-000008000000}" name="Credit Points" dataDxfId="176"/>
    <tableColumn id="14" xr3:uid="{00000000-0010-0000-1C00-00000E000000}" name="Effective" dataDxfId="175"/>
    <tableColumn id="15" xr3:uid="{00000000-0010-0000-1C00-00000F000000}" name="Discont." dataDxfId="174"/>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D000000}" name="Table53565754" displayName="Table53565754" ref="Q3:R7" totalsRowShown="0">
  <autoFilter ref="Q3:R7" xr:uid="{00000000-0009-0000-0100-000006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E000000}" name="Table5356575428" displayName="Table5356575428" ref="Q9:R25" totalsRowShown="0">
  <autoFilter ref="Q9:R25" xr:uid="{00000000-0009-0000-0100-00001B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F000000}" name="Table5356575429" displayName="Table5356575429" ref="Q27:R43" totalsRowShown="0">
  <autoFilter ref="Q27:R43" xr:uid="{00000000-0009-0000-0100-00001C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0000000}" name="Table5356575430" displayName="Table5356575430" ref="Q45:R72" totalsRowShown="0">
  <autoFilter ref="Q45:R72" xr:uid="{00000000-0009-0000-0100-00001D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1000000}" name="Table5356575431" displayName="Table5356575431" ref="Q74:R76" totalsRowShown="0">
  <autoFilter ref="Q74:R76" xr:uid="{00000000-0009-0000-0100-00001E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2000000}" name="Table535657543132" displayName="Table535657543132" ref="Q78:R80" totalsRowShown="0">
  <autoFilter ref="Q78:R80" xr:uid="{00000000-0009-0000-0100-00001F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3000000}" name="Table535657543133" displayName="Table535657543133" ref="Q82:R84" totalsRowShown="0">
  <autoFilter ref="Q82:R84" xr:uid="{00000000-0009-0000-0100-000020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4000000}" name="Table535657543136" displayName="Table535657543136" ref="Q86:R88" totalsRowShown="0">
  <autoFilter ref="Q86:R88" xr:uid="{00000000-0009-0000-0100-000023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5000000}" name="Table535657543138" displayName="Table535657543138" ref="Q90:R92" totalsRowShown="0">
  <autoFilter ref="Q90:R92" xr:uid="{00000000-0009-0000-0100-000025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Majors" displayName="TableMajors" ref="A15:G18" totalsRowShown="0" headerRowDxfId="471" dataDxfId="470">
  <autoFilter ref="A15:G18" xr:uid="{00000000-0009-0000-0100-000005000000}"/>
  <tableColumns count="7">
    <tableColumn id="1" xr3:uid="{00000000-0010-0000-0300-000001000000}" name="Choose your Major (drop-down list)" dataDxfId="469"/>
    <tableColumn id="2" xr3:uid="{00000000-0010-0000-0300-000002000000}" name="UDC" dataDxfId="468"/>
    <tableColumn id="3" xr3:uid="{00000000-0010-0000-0300-000003000000}" name="SM Version" dataDxfId="467"/>
    <tableColumn id="4" xr3:uid="{00000000-0010-0000-0300-000004000000}" name="SM Effective Date" dataDxfId="466"/>
    <tableColumn id="5" xr3:uid="{00000000-0010-0000-0300-000005000000}" name="Akari Iteration" dataDxfId="465"/>
    <tableColumn id="6" xr3:uid="{00000000-0010-0000-0300-000006000000}" name="Akari Effective Date" dataDxfId="464"/>
    <tableColumn id="7" xr3:uid="{00000000-0010-0000-0300-000007000000}" name="Credit Points" dataDxfId="463"/>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6000000}" name="Table535657543139" displayName="Table535657543139" ref="Q94:R96" totalsRowShown="0">
  <autoFilter ref="Q94:R96" xr:uid="{00000000-0009-0000-0100-000026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7000000}" name="Table535657543140" displayName="Table535657543140" ref="Q98:R100" totalsRowShown="0">
  <autoFilter ref="Q98:R100" xr:uid="{00000000-0009-0000-0100-000027000000}"/>
  <tableColumns count="2">
    <tableColumn id="1" xr3:uid="{00000000-0010-0000-2700-000001000000}" name="Column1"/>
    <tableColumn id="2" xr3:uid="{00000000-0010-0000-2700-000002000000}" name="Column2"/>
  </tableColumns>
  <tableStyleInfo name="TableStyleLight4"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8000000}" name="Table535657543141" displayName="Table535657543141" ref="Q103:R118" totalsRowShown="0">
  <autoFilter ref="Q103:R118" xr:uid="{00000000-0009-0000-0100-000028000000}"/>
  <tableColumns count="2">
    <tableColumn id="1" xr3:uid="{00000000-0010-0000-2800-000001000000}" name="Column1"/>
    <tableColumn id="2" xr3:uid="{00000000-0010-0000-2800-000002000000}" name="Column2"/>
  </tableColumns>
  <tableStyleInfo name="TableStyleLight4"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9000000}" name="Table535657543142" displayName="Table535657543142" ref="Q120:R127" totalsRowShown="0">
  <autoFilter ref="Q120:R127" xr:uid="{00000000-0009-0000-0100-000029000000}"/>
  <tableColumns count="2">
    <tableColumn id="1" xr3:uid="{00000000-0010-0000-2900-000001000000}" name="Column1"/>
    <tableColumn id="2" xr3:uid="{00000000-0010-0000-2900-000002000000}" name="Column2"/>
  </tableColumns>
  <tableStyleInfo name="TableStyleLight4"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A000000}" name="Table535657543143" displayName="Table535657543143" ref="Q129:R133" totalsRowShown="0">
  <autoFilter ref="Q129:R133" xr:uid="{00000000-0009-0000-0100-00002A000000}"/>
  <tableColumns count="2">
    <tableColumn id="1" xr3:uid="{00000000-0010-0000-2A00-000001000000}" name="Column1"/>
    <tableColumn id="2" xr3:uid="{00000000-0010-0000-2A00-000002000000}" name="Column2" dataDxfId="173"/>
  </tableColumns>
  <tableStyleInfo name="TableStyleLight4"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B000000}" name="Table535657543144" displayName="Table535657543144" ref="Q136:R153" totalsRowShown="0">
  <autoFilter ref="Q136:R153" xr:uid="{00000000-0009-0000-0100-00002B000000}"/>
  <tableColumns count="2">
    <tableColumn id="1" xr3:uid="{00000000-0010-0000-2B00-000001000000}" name="Column1"/>
    <tableColumn id="2" xr3:uid="{00000000-0010-0000-2B00-000002000000}" name="Column2"/>
  </tableColumns>
  <tableStyleInfo name="TableStyleLight4"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C000000}" name="Table535657543145" displayName="Table535657543145" ref="Q155:R159" totalsRowShown="0">
  <autoFilter ref="Q155:R159" xr:uid="{00000000-0009-0000-0100-00002C000000}"/>
  <tableColumns count="2">
    <tableColumn id="1" xr3:uid="{00000000-0010-0000-2C00-000001000000}" name="Column1"/>
    <tableColumn id="2" xr3:uid="{00000000-0010-0000-2C00-000002000000}" name="Column2"/>
  </tableColumns>
  <tableStyleInfo name="TableStyleLight4"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D000000}" name="Table535657543146" displayName="Table535657543146" ref="Q161:R165" totalsRowShown="0">
  <autoFilter ref="Q161:R165" xr:uid="{00000000-0009-0000-0100-00002D000000}"/>
  <tableColumns count="2">
    <tableColumn id="1" xr3:uid="{00000000-0010-0000-2D00-000001000000}" name="Column1"/>
    <tableColumn id="2" xr3:uid="{00000000-0010-0000-2D00-000002000000}" name="Column2"/>
  </tableColumns>
  <tableStyleInfo name="TableStyleLight4"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E000000}" name="Table535657543147" displayName="Table535657543147" ref="Q167:R171" totalsRowShown="0">
  <autoFilter ref="Q167:R171" xr:uid="{00000000-0009-0000-0100-00002E000000}"/>
  <tableColumns count="2">
    <tableColumn id="1" xr3:uid="{00000000-0010-0000-2E00-000001000000}" name="Column1"/>
    <tableColumn id="2" xr3:uid="{00000000-0010-0000-2E00-000002000000}" name="Column2"/>
  </tableColumns>
  <tableStyleInfo name="TableStyleLight4"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F000000}" name="Table535657543148" displayName="Table535657543148" ref="Q173:R188" totalsRowShown="0">
  <autoFilter ref="Q173:R188" xr:uid="{00000000-0009-0000-0100-00002F000000}"/>
  <tableColumns count="2">
    <tableColumn id="1" xr3:uid="{00000000-0010-0000-2F00-000001000000}" name="Column1"/>
    <tableColumn id="2" xr3:uid="{00000000-0010-0000-2F00-000002000000}" name="Column2"/>
  </tableColumns>
  <tableStyleInfo name="TableStyleLight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04000000}" name="TableStudyPeriodsShort" displayName="TableStudyPeriodsShort" ref="A35:E37" totalsRowShown="0" headerRowDxfId="462" dataDxfId="461">
  <autoFilter ref="A35:E37" xr:uid="{00000000-0009-0000-0100-000038000000}"/>
  <tableColumns count="5">
    <tableColumn id="1" xr3:uid="{00000000-0010-0000-0400-000001000000}" name="Choose your commencing study period (drop-down list)" dataDxfId="460"/>
    <tableColumn id="2" xr3:uid="{00000000-0010-0000-0400-000002000000}" name="START" dataDxfId="459"/>
    <tableColumn id="3" xr3:uid="{00000000-0010-0000-0400-000003000000}" name="Next" dataDxfId="458"/>
    <tableColumn id="4" xr3:uid="{00000000-0010-0000-0400-000004000000}" name="Next2" dataDxfId="457"/>
    <tableColumn id="5" xr3:uid="{00000000-0010-0000-0400-000005000000}" name="Next3" dataDxfId="456"/>
  </tableColumns>
  <tableStyleInfo name="TableStyleLight8"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30000000}" name="Table535657543149" displayName="Table535657543149" ref="Q191:R195" totalsRowShown="0">
  <autoFilter ref="Q191:R195" xr:uid="{00000000-0009-0000-0100-000030000000}"/>
  <tableColumns count="2">
    <tableColumn id="1" xr3:uid="{00000000-0010-0000-3000-000001000000}" name="Column1"/>
    <tableColumn id="2" xr3:uid="{00000000-0010-0000-3000-000002000000}" name="Column2"/>
  </tableColumns>
  <tableStyleInfo name="TableStyleLight4"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1000000}" name="TableGDEDUC" displayName="TableGDEDUC" ref="A198:O201" totalsRowShown="0">
  <autoFilter ref="A198:O201" xr:uid="{00000000-0009-0000-0100-000031000000}"/>
  <sortState xmlns:xlrd2="http://schemas.microsoft.com/office/spreadsheetml/2017/richdata2" ref="A198:M229">
    <sortCondition ref="F10:F42"/>
  </sortState>
  <tableColumns count="15">
    <tableColumn id="9" xr3:uid="{00000000-0010-0000-3100-000009000000}" name="UDC" dataDxfId="172">
      <calculatedColumnFormula>TableGDEDUC[[#This Row],[Study Package Code]]</calculatedColumnFormula>
    </tableColumn>
    <tableColumn id="10" xr3:uid="{00000000-0010-0000-3100-00000A000000}" name="Version" dataDxfId="171">
      <calculatedColumnFormula>TableGDEDUC[[#This Row],[Ver]]</calculatedColumnFormula>
    </tableColumn>
    <tableColumn id="11" xr3:uid="{00000000-0010-0000-3100-00000B000000}" name="OUA Code"/>
    <tableColumn id="12" xr3:uid="{00000000-0010-0000-3100-00000C000000}" name="Unit Title" dataDxfId="170">
      <calculatedColumnFormula>TableGDEDUC[[#This Row],[Structure Line]]</calculatedColumnFormula>
    </tableColumn>
    <tableColumn id="13" xr3:uid="{00000000-0010-0000-3100-00000D000000}" name="CPs" dataDxfId="169">
      <calculatedColumnFormula>TableGDEDUC[[#This Row],[Credit Points]]</calculatedColumnFormula>
    </tableColumn>
    <tableColumn id="1" xr3:uid="{00000000-0010-0000-3100-000001000000}" name="No." dataDxfId="168"/>
    <tableColumn id="2" xr3:uid="{00000000-0010-0000-3100-000002000000}" name="Component Type" dataDxfId="167"/>
    <tableColumn id="3" xr3:uid="{00000000-0010-0000-3100-000003000000}" name="Year Level" dataDxfId="166"/>
    <tableColumn id="4" xr3:uid="{00000000-0010-0000-3100-000004000000}" name="Study Period" dataDxfId="165"/>
    <tableColumn id="5" xr3:uid="{00000000-0010-0000-3100-000005000000}" name="Study Package Code" dataDxfId="164"/>
    <tableColumn id="6" xr3:uid="{00000000-0010-0000-3100-000006000000}" name="Ver" dataDxfId="163"/>
    <tableColumn id="7" xr3:uid="{00000000-0010-0000-3100-000007000000}" name="Structure Line" dataDxfId="162"/>
    <tableColumn id="8" xr3:uid="{00000000-0010-0000-3100-000008000000}" name="Credit Points" dataDxfId="161"/>
    <tableColumn id="14" xr3:uid="{00000000-0010-0000-3100-00000E000000}" name="Effective" dataDxfId="160"/>
    <tableColumn id="15" xr3:uid="{00000000-0010-0000-3100-00000F000000}" name="Discont." dataDxfId="159"/>
  </tableColumns>
  <tableStyleInfo name="TableStyleLight1"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2000000}" name="Table53565754314451" displayName="Table53565754314451" ref="Q198:R201" totalsRowShown="0">
  <autoFilter ref="Q198:R201" xr:uid="{00000000-0009-0000-0100-000032000000}"/>
  <tableColumns count="2">
    <tableColumn id="1" xr3:uid="{00000000-0010-0000-3200-000001000000}" name="Column1"/>
    <tableColumn id="2" xr3:uid="{00000000-0010-0000-3200-000002000000}" name="Column2"/>
  </tableColumns>
  <tableStyleInfo name="TableStyleLight4"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3000000}" name="TableMJRPEDUPR" displayName="TableMJRPEDUPR" ref="A203:O211" totalsRowShown="0">
  <autoFilter ref="A203:O211" xr:uid="{00000000-0009-0000-0100-000034000000}"/>
  <sortState xmlns:xlrd2="http://schemas.microsoft.com/office/spreadsheetml/2017/richdata2" ref="A216:M247">
    <sortCondition ref="F10:F42"/>
  </sortState>
  <tableColumns count="15">
    <tableColumn id="9" xr3:uid="{00000000-0010-0000-3300-000009000000}" name="UDC" dataDxfId="158">
      <calculatedColumnFormula>TableMJRPEDUPR[[#This Row],[Study Package Code]]</calculatedColumnFormula>
    </tableColumn>
    <tableColumn id="10" xr3:uid="{00000000-0010-0000-3300-00000A000000}" name="Version" dataDxfId="157">
      <calculatedColumnFormula>TableMJRPEDUPR[[#This Row],[Ver]]</calculatedColumnFormula>
    </tableColumn>
    <tableColumn id="11" xr3:uid="{00000000-0010-0000-3300-00000B000000}" name="OUA Code"/>
    <tableColumn id="12" xr3:uid="{00000000-0010-0000-3300-00000C000000}" name="Unit Title" dataDxfId="156">
      <calculatedColumnFormula>TableMJRPEDUPR[[#This Row],[Structure Line]]</calculatedColumnFormula>
    </tableColumn>
    <tableColumn id="13" xr3:uid="{00000000-0010-0000-3300-00000D000000}" name="CPs" dataDxfId="155">
      <calculatedColumnFormula>TableMJRPEDUPR[[#This Row],[Credit Points]]</calculatedColumnFormula>
    </tableColumn>
    <tableColumn id="1" xr3:uid="{00000000-0010-0000-3300-000001000000}" name="No." dataDxfId="154"/>
    <tableColumn id="2" xr3:uid="{00000000-0010-0000-3300-000002000000}" name="Component Type" dataDxfId="153"/>
    <tableColumn id="3" xr3:uid="{00000000-0010-0000-3300-000003000000}" name="Year Level" dataDxfId="152"/>
    <tableColumn id="4" xr3:uid="{00000000-0010-0000-3300-000004000000}" name="Study Period" dataDxfId="151"/>
    <tableColumn id="5" xr3:uid="{00000000-0010-0000-3300-000005000000}" name="Study Package Code" dataDxfId="150"/>
    <tableColumn id="6" xr3:uid="{00000000-0010-0000-3300-000006000000}" name="Ver" dataDxfId="149"/>
    <tableColumn id="7" xr3:uid="{00000000-0010-0000-3300-000007000000}" name="Structure Line" dataDxfId="148"/>
    <tableColumn id="8" xr3:uid="{00000000-0010-0000-3300-000008000000}" name="Credit Points" dataDxfId="147"/>
    <tableColumn id="14" xr3:uid="{00000000-0010-0000-3300-00000E000000}" name="Effective" dataDxfId="146"/>
    <tableColumn id="15" xr3:uid="{00000000-0010-0000-3300-00000F000000}" name="Discont." dataDxfId="145"/>
  </tableColumns>
  <tableStyleInfo name="TableStyleLight1"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4000000}" name="Table5356575431445154" displayName="Table5356575431445154" ref="Q203:R211" totalsRowShown="0">
  <autoFilter ref="Q203:R211" xr:uid="{00000000-0009-0000-0100-000035000000}"/>
  <tableColumns count="2">
    <tableColumn id="1" xr3:uid="{00000000-0010-0000-3400-000001000000}" name="Column1"/>
    <tableColumn id="2" xr3:uid="{00000000-0010-0000-3400-000002000000}" name="Column2"/>
  </tableColumns>
  <tableStyleInfo name="TableStyleLight4"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5000000}" name="TableMJRPEDUSC" displayName="TableMJRPEDUSC" ref="A213:O226" totalsRowShown="0">
  <autoFilter ref="A213:O226" xr:uid="{00000000-0009-0000-0100-000036000000}"/>
  <sortState xmlns:xlrd2="http://schemas.microsoft.com/office/spreadsheetml/2017/richdata2" ref="A234:M265">
    <sortCondition ref="F10:F42"/>
  </sortState>
  <tableColumns count="15">
    <tableColumn id="9" xr3:uid="{00000000-0010-0000-3500-000009000000}" name="UDC" dataDxfId="144">
      <calculatedColumnFormula>TableMJRPEDUSC[[#This Row],[Study Package Code]]</calculatedColumnFormula>
    </tableColumn>
    <tableColumn id="10" xr3:uid="{00000000-0010-0000-3500-00000A000000}" name="Version" dataDxfId="143">
      <calculatedColumnFormula>TableMJRPEDUSC[[#This Row],[Ver]]</calculatedColumnFormula>
    </tableColumn>
    <tableColumn id="11" xr3:uid="{00000000-0010-0000-3500-00000B000000}" name="OUA Code"/>
    <tableColumn id="12" xr3:uid="{00000000-0010-0000-3500-00000C000000}" name="Unit Title" dataDxfId="142">
      <calculatedColumnFormula>TableMJRPEDUSC[[#This Row],[Structure Line]]</calculatedColumnFormula>
    </tableColumn>
    <tableColumn id="13" xr3:uid="{00000000-0010-0000-3500-00000D000000}" name="CPs" dataDxfId="141">
      <calculatedColumnFormula>TableMJRPEDUSC[[#This Row],[Credit Points]]</calculatedColumnFormula>
    </tableColumn>
    <tableColumn id="1" xr3:uid="{00000000-0010-0000-3500-000001000000}" name="No." dataDxfId="140"/>
    <tableColumn id="2" xr3:uid="{00000000-0010-0000-3500-000002000000}" name="Component Type" dataDxfId="139"/>
    <tableColumn id="3" xr3:uid="{00000000-0010-0000-3500-000003000000}" name="Year Level" dataDxfId="138"/>
    <tableColumn id="4" xr3:uid="{00000000-0010-0000-3500-000004000000}" name="Study Period" dataDxfId="137"/>
    <tableColumn id="5" xr3:uid="{00000000-0010-0000-3500-000005000000}" name="Study Package Code" dataDxfId="136"/>
    <tableColumn id="6" xr3:uid="{00000000-0010-0000-3500-000006000000}" name="Ver" dataDxfId="135"/>
    <tableColumn id="7" xr3:uid="{00000000-0010-0000-3500-000007000000}" name="Structure Line" dataDxfId="134"/>
    <tableColumn id="8" xr3:uid="{00000000-0010-0000-3500-000008000000}" name="Credit Points" dataDxfId="133"/>
    <tableColumn id="14" xr3:uid="{00000000-0010-0000-3500-00000E000000}" name="Effective" dataDxfId="132"/>
    <tableColumn id="15" xr3:uid="{00000000-0010-0000-3500-00000F000000}" name="Discont." dataDxfId="131"/>
  </tableColumns>
  <tableStyleInfo name="TableStyleLight1"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6000000}" name="Table535657543144515456" displayName="Table535657543144515456" ref="Q213:R226" totalsRowShown="0">
  <autoFilter ref="Q213:R226" xr:uid="{00000000-0009-0000-0100-000037000000}"/>
  <tableColumns count="2">
    <tableColumn id="1" xr3:uid="{00000000-0010-0000-3600-000001000000}" name="Column1"/>
    <tableColumn id="2" xr3:uid="{00000000-0010-0000-3600-000002000000}" name="Column2"/>
  </tableColumns>
  <tableStyleInfo name="TableStyleLight4"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37000000}" name="TableAvailabilities" displayName="TableAvailabilities" ref="A2:I72" totalsRowShown="0">
  <autoFilter ref="A2:I72" xr:uid="{00000000-0009-0000-0100-00000D000000}"/>
  <tableColumns count="9">
    <tableColumn id="1" xr3:uid="{00000000-0010-0000-3700-000001000000}" name="Row Labels"/>
    <tableColumn id="2" xr3:uid="{00000000-0010-0000-3700-000002000000}" name="SSP1 Internal" dataDxfId="130"/>
    <tableColumn id="3" xr3:uid="{00000000-0010-0000-3700-000003000000}" name="SSP1 Online" dataDxfId="129"/>
    <tableColumn id="6" xr3:uid="{00000000-0010-0000-3700-000006000000}" name="SSP2 Internal" dataDxfId="128"/>
    <tableColumn id="7" xr3:uid="{00000000-0010-0000-3700-000007000000}" name="SSP2 Online" dataDxfId="127"/>
    <tableColumn id="8" xr3:uid="{00000000-0010-0000-3700-000008000000}" name="SSP3 Internal" dataDxfId="126"/>
    <tableColumn id="9" xr3:uid="{00000000-0010-0000-3700-000009000000}" name="SSP3 Online" dataDxfId="125"/>
    <tableColumn id="4" xr3:uid="{00000000-0010-0000-3700-000004000000}" name="SSP4 Internal" dataDxfId="124"/>
    <tableColumn id="5" xr3:uid="{00000000-0010-0000-3700-000005000000}" name="SSP4 Online" dataDxfId="123"/>
  </tableColumns>
  <tableStyleInfo name="TableStyleLight2" showFirstColumn="0" showLastColumn="0" showRowStripes="1" showColumnStripes="0"/>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8000000}" name="Table57" displayName="Table57" ref="A1:G9" totalsRowShown="0">
  <autoFilter ref="A1:G9" xr:uid="{00000000-0009-0000-0100-000039000000}"/>
  <sortState xmlns:xlrd2="http://schemas.microsoft.com/office/spreadsheetml/2017/richdata2" ref="A2:F9">
    <sortCondition ref="B1:B9"/>
  </sortState>
  <tableColumns count="7">
    <tableColumn id="1" xr3:uid="{00000000-0010-0000-3800-000001000000}" name="Course"/>
    <tableColumn id="6" xr3:uid="{00000000-0010-0000-3800-000006000000}" name="UDC"/>
    <tableColumn id="2" xr3:uid="{00000000-0010-0000-3800-000002000000}" name="Version"/>
    <tableColumn id="3" xr3:uid="{00000000-0010-0000-3800-000003000000}" name="OUA Code"/>
    <tableColumn id="4" xr3:uid="{00000000-0010-0000-3800-000004000000}" name="Unit Title"/>
    <tableColumn id="5" xr3:uid="{00000000-0010-0000-3800-000005000000}" name="Issue" dataDxfId="122"/>
    <tableColumn id="7" xr3:uid="{0F3CE3D4-3C10-4711-8C70-11768F2291A1}" name="Note" dataCellStyle="Good"/>
  </tableColumns>
  <tableStyleInfo name="TableStyleLight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B798DEF8-F9D2-4371-B952-981D60D7F57E}" name="TableGCEDUCFocus" displayName="TableGCEDUCFocus" ref="A47:B51" totalsRowShown="0" headerRowDxfId="455" dataDxfId="454">
  <autoFilter ref="A47:B51" xr:uid="{B798DEF8-F9D2-4371-B952-981D60D7F57E}"/>
  <tableColumns count="2">
    <tableColumn id="1" xr3:uid="{FD21C6A7-E6E5-4AE1-B01F-E30A0B561B8D}" name="Choose your Content Focus (drop-down list)" dataDxfId="453"/>
    <tableColumn id="2" xr3:uid="{54C40046-7B3F-4BC6-BA79-E6E9A977FAB9}" name="Column1" dataDxfId="452"/>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5000000}" name="TableTeachingArea1" displayName="TableTeachingArea1" ref="A6:G12" totalsRowShown="0" headerRowDxfId="451" dataDxfId="450">
  <autoFilter ref="A6:G12" xr:uid="{00000000-0009-0000-0100-000014000000}"/>
  <tableColumns count="7">
    <tableColumn id="1" xr3:uid="{00000000-0010-0000-0500-000001000000}" name="Choose your First Approved Teaching Area (drop-down list)" dataDxfId="449"/>
    <tableColumn id="2" xr3:uid="{00000000-0010-0000-0500-000002000000}" name="UDC" dataDxfId="448"/>
    <tableColumn id="6" xr3:uid="{00000000-0010-0000-0500-000006000000}" name="SM Version" dataDxfId="447"/>
    <tableColumn id="3" xr3:uid="{00000000-0010-0000-0500-000003000000}" name="SM Effective Date" dataDxfId="446"/>
    <tableColumn id="4" xr3:uid="{00000000-0010-0000-0500-000004000000}" name="Akari Iteration" dataDxfId="445"/>
    <tableColumn id="5" xr3:uid="{00000000-0010-0000-0500-000005000000}" name="Akari Effective Date" dataDxfId="444"/>
    <tableColumn id="7" xr3:uid="{00000000-0010-0000-0500-000007000000}" name="Credit Points" dataDxfId="443"/>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6000000}" name="TableTeachingArea2" displayName="TableTeachingArea2" ref="A15:G22" totalsRowShown="0" headerRowDxfId="442" dataDxfId="441">
  <autoFilter ref="A15:G22" xr:uid="{00000000-0009-0000-0100-000015000000}"/>
  <tableColumns count="7">
    <tableColumn id="1" xr3:uid="{00000000-0010-0000-0600-000001000000}" name="Choose your Second Approved Teaching Area" dataDxfId="440"/>
    <tableColumn id="2" xr3:uid="{00000000-0010-0000-0600-000002000000}" name="UDC" dataDxfId="439"/>
    <tableColumn id="3" xr3:uid="{00000000-0010-0000-0600-000003000000}" name="SM Version" dataDxfId="438"/>
    <tableColumn id="4" xr3:uid="{00000000-0010-0000-0600-000004000000}" name="SM Effective Date" dataDxfId="437"/>
    <tableColumn id="5" xr3:uid="{00000000-0010-0000-0600-000005000000}" name="Akari Iteration" dataDxfId="436"/>
    <tableColumn id="6" xr3:uid="{00000000-0010-0000-0600-000006000000}" name="Akari Effective Date" dataDxfId="435"/>
    <tableColumn id="7" xr3:uid="{00000000-0010-0000-0600-000007000000}" name="Credit Points" dataDxfId="434"/>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07000000}" name="TableMajorsGDEDUC" displayName="TableMajorsGDEDUC" ref="A25:G27" totalsRowShown="0" headerRowDxfId="433" dataDxfId="432">
  <autoFilter ref="A25:G27" xr:uid="{00000000-0009-0000-0100-000033000000}"/>
  <tableColumns count="7">
    <tableColumn id="1" xr3:uid="{00000000-0010-0000-0700-000001000000}" name="Choose your Major" dataDxfId="431"/>
    <tableColumn id="2" xr3:uid="{00000000-0010-0000-0700-000002000000}" name="UDC" dataDxfId="430"/>
    <tableColumn id="3" xr3:uid="{00000000-0010-0000-0700-000003000000}" name="SM Version" dataDxfId="429"/>
    <tableColumn id="4" xr3:uid="{00000000-0010-0000-0700-000004000000}" name="SM Effective Date" dataDxfId="428"/>
    <tableColumn id="5" xr3:uid="{00000000-0010-0000-0700-000005000000}" name="Akari Iteration" dataDxfId="427"/>
    <tableColumn id="6" xr3:uid="{00000000-0010-0000-0700-000006000000}" name="Akari Effective Date" dataDxfId="426"/>
    <tableColumn id="7" xr3:uid="{00000000-0010-0000-0700-000007000000}" name="Credit Points" dataDxfId="425"/>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https://students.connect.curtin.edu.au/" TargetMode="External"/></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11.bin"/><Relationship Id="rId4"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3" Type="http://schemas.openxmlformats.org/officeDocument/2006/relationships/table" Target="../tables/table22.xml"/><Relationship Id="rId18" Type="http://schemas.openxmlformats.org/officeDocument/2006/relationships/table" Target="../tables/table27.xml"/><Relationship Id="rId26" Type="http://schemas.openxmlformats.org/officeDocument/2006/relationships/table" Target="../tables/table35.xml"/><Relationship Id="rId39" Type="http://schemas.openxmlformats.org/officeDocument/2006/relationships/table" Target="../tables/table48.xml"/><Relationship Id="rId21" Type="http://schemas.openxmlformats.org/officeDocument/2006/relationships/table" Target="../tables/table30.xml"/><Relationship Id="rId34" Type="http://schemas.openxmlformats.org/officeDocument/2006/relationships/table" Target="../tables/table43.xml"/><Relationship Id="rId42" Type="http://schemas.openxmlformats.org/officeDocument/2006/relationships/table" Target="../tables/table51.xml"/><Relationship Id="rId47" Type="http://schemas.openxmlformats.org/officeDocument/2006/relationships/table" Target="../tables/table56.xml"/><Relationship Id="rId7" Type="http://schemas.openxmlformats.org/officeDocument/2006/relationships/table" Target="../tables/table16.xml"/><Relationship Id="rId2" Type="http://schemas.openxmlformats.org/officeDocument/2006/relationships/table" Target="../tables/table11.xml"/><Relationship Id="rId16" Type="http://schemas.openxmlformats.org/officeDocument/2006/relationships/table" Target="../tables/table25.xml"/><Relationship Id="rId29" Type="http://schemas.openxmlformats.org/officeDocument/2006/relationships/table" Target="../tables/table38.xml"/><Relationship Id="rId1" Type="http://schemas.openxmlformats.org/officeDocument/2006/relationships/printerSettings" Target="../printerSettings/printerSettings13.bin"/><Relationship Id="rId6" Type="http://schemas.openxmlformats.org/officeDocument/2006/relationships/table" Target="../tables/table15.xml"/><Relationship Id="rId11" Type="http://schemas.openxmlformats.org/officeDocument/2006/relationships/table" Target="../tables/table20.xml"/><Relationship Id="rId24" Type="http://schemas.openxmlformats.org/officeDocument/2006/relationships/table" Target="../tables/table33.xml"/><Relationship Id="rId32" Type="http://schemas.openxmlformats.org/officeDocument/2006/relationships/table" Target="../tables/table41.xml"/><Relationship Id="rId37" Type="http://schemas.openxmlformats.org/officeDocument/2006/relationships/table" Target="../tables/table46.xml"/><Relationship Id="rId40" Type="http://schemas.openxmlformats.org/officeDocument/2006/relationships/table" Target="../tables/table49.xml"/><Relationship Id="rId45" Type="http://schemas.openxmlformats.org/officeDocument/2006/relationships/table" Target="../tables/table54.xml"/><Relationship Id="rId5" Type="http://schemas.openxmlformats.org/officeDocument/2006/relationships/table" Target="../tables/table14.xml"/><Relationship Id="rId15" Type="http://schemas.openxmlformats.org/officeDocument/2006/relationships/table" Target="../tables/table24.xml"/><Relationship Id="rId23" Type="http://schemas.openxmlformats.org/officeDocument/2006/relationships/table" Target="../tables/table32.xml"/><Relationship Id="rId28" Type="http://schemas.openxmlformats.org/officeDocument/2006/relationships/table" Target="../tables/table37.xml"/><Relationship Id="rId36" Type="http://schemas.openxmlformats.org/officeDocument/2006/relationships/table" Target="../tables/table45.xml"/><Relationship Id="rId10" Type="http://schemas.openxmlformats.org/officeDocument/2006/relationships/table" Target="../tables/table19.xml"/><Relationship Id="rId19" Type="http://schemas.openxmlformats.org/officeDocument/2006/relationships/table" Target="../tables/table28.xml"/><Relationship Id="rId31" Type="http://schemas.openxmlformats.org/officeDocument/2006/relationships/table" Target="../tables/table40.xml"/><Relationship Id="rId44" Type="http://schemas.openxmlformats.org/officeDocument/2006/relationships/table" Target="../tables/table53.xml"/><Relationship Id="rId4" Type="http://schemas.openxmlformats.org/officeDocument/2006/relationships/table" Target="../tables/table13.xml"/><Relationship Id="rId9" Type="http://schemas.openxmlformats.org/officeDocument/2006/relationships/table" Target="../tables/table18.xml"/><Relationship Id="rId14" Type="http://schemas.openxmlformats.org/officeDocument/2006/relationships/table" Target="../tables/table23.xml"/><Relationship Id="rId22" Type="http://schemas.openxmlformats.org/officeDocument/2006/relationships/table" Target="../tables/table31.xml"/><Relationship Id="rId27" Type="http://schemas.openxmlformats.org/officeDocument/2006/relationships/table" Target="../tables/table36.xml"/><Relationship Id="rId30" Type="http://schemas.openxmlformats.org/officeDocument/2006/relationships/table" Target="../tables/table39.xml"/><Relationship Id="rId35" Type="http://schemas.openxmlformats.org/officeDocument/2006/relationships/table" Target="../tables/table44.xml"/><Relationship Id="rId43" Type="http://schemas.openxmlformats.org/officeDocument/2006/relationships/table" Target="../tables/table52.xml"/><Relationship Id="rId8" Type="http://schemas.openxmlformats.org/officeDocument/2006/relationships/table" Target="../tables/table17.xml"/><Relationship Id="rId3" Type="http://schemas.openxmlformats.org/officeDocument/2006/relationships/table" Target="../tables/table12.xml"/><Relationship Id="rId12" Type="http://schemas.openxmlformats.org/officeDocument/2006/relationships/table" Target="../tables/table21.xml"/><Relationship Id="rId17" Type="http://schemas.openxmlformats.org/officeDocument/2006/relationships/table" Target="../tables/table26.xml"/><Relationship Id="rId25" Type="http://schemas.openxmlformats.org/officeDocument/2006/relationships/table" Target="../tables/table34.xml"/><Relationship Id="rId33" Type="http://schemas.openxmlformats.org/officeDocument/2006/relationships/table" Target="../tables/table42.xml"/><Relationship Id="rId38" Type="http://schemas.openxmlformats.org/officeDocument/2006/relationships/table" Target="../tables/table47.xml"/><Relationship Id="rId46" Type="http://schemas.openxmlformats.org/officeDocument/2006/relationships/table" Target="../tables/table55.xml"/><Relationship Id="rId20" Type="http://schemas.openxmlformats.org/officeDocument/2006/relationships/table" Target="../tables/table29.xml"/><Relationship Id="rId41" Type="http://schemas.openxmlformats.org/officeDocument/2006/relationships/table" Target="../tables/table50.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58.x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4.bin"/><Relationship Id="rId1" Type="http://schemas.openxmlformats.org/officeDocument/2006/relationships/hyperlink" Target="https://students.connect.curtin.edu.au/" TargetMode="Externa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5.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students.connect.curtin.edu.au/"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7.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9.bin"/><Relationship Id="rId1" Type="http://schemas.openxmlformats.org/officeDocument/2006/relationships/hyperlink" Target="https://students.connect.curtin.edu.a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AA36"/>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2.375" style="9" customWidth="1"/>
    <col min="4" max="4" width="56.125" style="8"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86" t="s">
        <v>8</v>
      </c>
      <c r="B3" s="286"/>
      <c r="C3" s="286"/>
      <c r="D3" s="286"/>
      <c r="E3" s="118"/>
      <c r="F3" s="118"/>
      <c r="G3" s="118"/>
      <c r="H3" s="118"/>
      <c r="I3" s="118"/>
      <c r="J3" s="118"/>
      <c r="K3" s="118"/>
      <c r="L3" s="118"/>
      <c r="M3" s="118"/>
      <c r="N3" s="118"/>
      <c r="O3" s="118"/>
      <c r="P3" s="118"/>
    </row>
    <row r="4" spans="1:27" ht="26.25" x14ac:dyDescent="0.25">
      <c r="A4" s="234"/>
      <c r="B4" s="235"/>
      <c r="C4" s="235"/>
      <c r="D4" s="236"/>
      <c r="E4" s="237" t="s">
        <v>9</v>
      </c>
      <c r="F4" s="235"/>
      <c r="G4" s="238"/>
      <c r="H4" s="238"/>
      <c r="I4" s="238"/>
      <c r="J4" s="238"/>
      <c r="K4" s="238"/>
      <c r="L4" s="238"/>
      <c r="M4" s="238"/>
      <c r="N4" s="238"/>
      <c r="O4" s="238"/>
      <c r="P4" s="238"/>
    </row>
    <row r="5" spans="1:27" ht="20.100000000000001" customHeight="1" x14ac:dyDescent="0.25">
      <c r="B5" s="119"/>
      <c r="C5" s="120" t="s">
        <v>10</v>
      </c>
      <c r="D5" s="121" t="s">
        <v>11</v>
      </c>
      <c r="E5" s="122"/>
      <c r="F5" s="120" t="s">
        <v>12</v>
      </c>
      <c r="G5" s="122" t="str">
        <f>IFERROR(CONCATENATE(VLOOKUP(D5,TableCourses[],2,FALSE)," ",VLOOKUP(D5,TableCourses[],3,FALSE)),"")</f>
        <v>MC-TEACH v.2</v>
      </c>
      <c r="H5" s="122"/>
      <c r="I5" s="122"/>
      <c r="J5" s="122"/>
      <c r="K5" s="123"/>
      <c r="L5" s="123"/>
      <c r="M5" s="123"/>
      <c r="N5" s="123"/>
      <c r="O5" s="123"/>
      <c r="P5" s="124"/>
    </row>
    <row r="6" spans="1:27" ht="20.100000000000001" customHeight="1" x14ac:dyDescent="0.25">
      <c r="B6" s="119"/>
      <c r="C6" s="120" t="s">
        <v>13</v>
      </c>
      <c r="D6" s="125" t="s">
        <v>14</v>
      </c>
      <c r="E6" s="122"/>
      <c r="F6" s="120" t="s">
        <v>15</v>
      </c>
      <c r="G6" s="122" t="str">
        <f>IFERROR(CONCATENATE(VLOOKUP(D6,TableMajors[],2,FALSE)," ",VLOOKUP(D6,TableMajors[],3,FALSE)),"")</f>
        <v>MJRP-TCHEC v.2</v>
      </c>
      <c r="H6" s="122"/>
      <c r="I6" s="122"/>
      <c r="J6" s="122"/>
      <c r="K6" s="123"/>
      <c r="L6" s="123"/>
      <c r="M6" s="123"/>
      <c r="N6" s="123"/>
      <c r="O6" s="123"/>
      <c r="P6" s="126" t="e">
        <f>CONCATENATE(VLOOKUP(D6,TableMajors[],2,FALSE),VLOOKUP(D7,TableStudyPeriods[],2,FALSE))</f>
        <v>#N/A</v>
      </c>
    </row>
    <row r="7" spans="1:27" ht="20.100000000000001" customHeight="1" x14ac:dyDescent="0.25">
      <c r="A7" s="127"/>
      <c r="B7" s="128"/>
      <c r="C7" s="120" t="s">
        <v>16</v>
      </c>
      <c r="D7" s="166" t="s">
        <v>41</v>
      </c>
      <c r="E7" s="130"/>
      <c r="F7" s="120" t="s">
        <v>18</v>
      </c>
      <c r="G7" s="122" t="str">
        <f>IFERROR(VLOOKUP($D$5,TableCourses[],7,FALSE),"")</f>
        <v>400 credit points required</v>
      </c>
      <c r="H7" s="131"/>
      <c r="I7" s="131"/>
      <c r="J7" s="131"/>
      <c r="K7" s="132"/>
      <c r="L7" s="132"/>
      <c r="M7" s="132"/>
      <c r="N7" s="132"/>
      <c r="O7" s="132"/>
      <c r="P7" s="132"/>
      <c r="AA7" s="10"/>
    </row>
    <row r="8" spans="1:27" s="12" customFormat="1" ht="14.1" customHeight="1" x14ac:dyDescent="0.25">
      <c r="A8" s="133"/>
      <c r="B8" s="133"/>
      <c r="C8" s="133"/>
      <c r="D8" s="134"/>
      <c r="E8" s="135"/>
      <c r="F8" s="133"/>
      <c r="G8" s="133"/>
      <c r="H8" s="136" t="s">
        <v>19</v>
      </c>
      <c r="I8" s="137"/>
      <c r="J8" s="137"/>
      <c r="K8" s="137"/>
      <c r="L8" s="137"/>
      <c r="M8" s="137"/>
      <c r="N8" s="137"/>
      <c r="O8" s="138"/>
      <c r="P8" s="135"/>
      <c r="Q8" s="139"/>
      <c r="R8" s="139"/>
      <c r="S8" s="139"/>
      <c r="AA8" s="11"/>
    </row>
    <row r="9" spans="1:27" s="12" customFormat="1" ht="31.5" x14ac:dyDescent="0.25">
      <c r="A9" s="133" t="s">
        <v>20</v>
      </c>
      <c r="B9" s="133"/>
      <c r="C9" s="133"/>
      <c r="D9" s="239" t="s">
        <v>3</v>
      </c>
      <c r="E9" s="140" t="s">
        <v>21</v>
      </c>
      <c r="F9" s="133" t="s">
        <v>22</v>
      </c>
      <c r="G9" s="133" t="s">
        <v>23</v>
      </c>
      <c r="H9" s="141" t="s">
        <v>24</v>
      </c>
      <c r="I9" s="142" t="s">
        <v>25</v>
      </c>
      <c r="J9" s="141" t="s">
        <v>26</v>
      </c>
      <c r="K9" s="142" t="s">
        <v>27</v>
      </c>
      <c r="L9" s="141" t="s">
        <v>28</v>
      </c>
      <c r="M9" s="142" t="s">
        <v>29</v>
      </c>
      <c r="N9" s="141" t="s">
        <v>30</v>
      </c>
      <c r="O9" s="142" t="s">
        <v>31</v>
      </c>
      <c r="P9" s="133" t="s">
        <v>32</v>
      </c>
      <c r="Q9" s="139"/>
      <c r="R9" s="139"/>
      <c r="S9" s="139"/>
      <c r="AA9" s="11"/>
    </row>
    <row r="10" spans="1:27" s="14" customFormat="1" ht="21" customHeight="1" x14ac:dyDescent="0.15">
      <c r="A10" s="143" t="str">
        <f>IFERROR(IF(HLOOKUP($P$6,RangeUnitsetsECEPR,Q10,FALSE)=0,"",HLOOKUP($P$6,RangeUnitsetsECEPR,Q10,FALSE)),"")</f>
        <v/>
      </c>
      <c r="B10" s="144" t="str">
        <f>IFERROR(IF(VLOOKUP($A10,TableHandbook[],2,FALSE)=0,"",VLOOKUP($A10,TableHandbook[],2,FALSE)),"")</f>
        <v/>
      </c>
      <c r="C10" s="144" t="str">
        <f>IFERROR(IF(VLOOKUP($A10,TableHandbook[],3,FALSE)=0,"",VLOOKUP($A10,TableHandbook[],3,FALSE)),"")</f>
        <v/>
      </c>
      <c r="D10" s="240" t="str">
        <f>IFERROR(IF(VLOOKUP($A10,TableHandbook[],4,FALSE)=0,"",VLOOKUP($A10,TableHandbook[],4,FALSE)),"")</f>
        <v/>
      </c>
      <c r="E10" s="144" t="str">
        <f>IF(OR(A10="",A10="--"),"",VLOOKUP($D$7,TableStudyPeriods[],2,FALSE))</f>
        <v/>
      </c>
      <c r="F10" s="146" t="str">
        <f>IFERROR(IF(VLOOKUP($A10,TableHandbook[],6,FALSE)=0,"",VLOOKUP($A10,TableHandbook[],6,FALSE)),"")</f>
        <v/>
      </c>
      <c r="G10" s="144" t="str">
        <f>IFERROR(IF(VLOOKUP($A10,TableHandbook[],5,FALSE)=0,"",VLOOKUP($A10,TableHandbook[],5,FALSE)),"")</f>
        <v/>
      </c>
      <c r="H10" s="147" t="str">
        <f>IFERROR(VLOOKUP($A10,TableHandbook[],H$2,FALSE),"")</f>
        <v/>
      </c>
      <c r="I10" s="148" t="str">
        <f>IFERROR(VLOOKUP($A10,TableHandbook[],I$2,FALSE),"")</f>
        <v/>
      </c>
      <c r="J10" s="147" t="str">
        <f>IFERROR(VLOOKUP($A10,TableHandbook[],J$2,FALSE),"")</f>
        <v/>
      </c>
      <c r="K10" s="148" t="str">
        <f>IFERROR(VLOOKUP($A10,TableHandbook[],K$2,FALSE),"")</f>
        <v/>
      </c>
      <c r="L10" s="147" t="str">
        <f>IFERROR(VLOOKUP($A10,TableHandbook[],L$2,FALSE),"")</f>
        <v/>
      </c>
      <c r="M10" s="148" t="str">
        <f>IFERROR(VLOOKUP($A10,TableHandbook[],M$2,FALSE),"")</f>
        <v/>
      </c>
      <c r="N10" s="147" t="str">
        <f>IFERROR(VLOOKUP($A10,TableHandbook[],N$2,FALSE),"")</f>
        <v/>
      </c>
      <c r="O10" s="148" t="str">
        <f>IFERROR(VLOOKUP($A10,TableHandbook[],O$2,FALSE),"")</f>
        <v/>
      </c>
      <c r="P10" s="23"/>
      <c r="Q10" s="149">
        <v>2</v>
      </c>
      <c r="R10" s="150"/>
      <c r="S10" s="150"/>
      <c r="AA10" s="13"/>
    </row>
    <row r="11" spans="1:27" s="14" customFormat="1" ht="21" customHeight="1" x14ac:dyDescent="0.15">
      <c r="A11" s="143" t="str">
        <f>IFERROR(IF(HLOOKUP($P$6,RangeUnitsetsECEPR,Q11,FALSE)=0,"",HLOOKUP($P$6,RangeUnitsetsECEPR,Q11,FALSE)),"")</f>
        <v/>
      </c>
      <c r="B11" s="144" t="str">
        <f>IFERROR(IF(VLOOKUP($A11,TableHandbook[],2,FALSE)=0,"",VLOOKUP($A11,TableHandbook[],2,FALSE)),"")</f>
        <v/>
      </c>
      <c r="C11" s="144" t="str">
        <f>IFERROR(IF(VLOOKUP($A11,TableHandbook[],3,FALSE)=0,"",VLOOKUP($A11,TableHandbook[],3,FALSE)),"")</f>
        <v/>
      </c>
      <c r="D11" s="240" t="str">
        <f>IFERROR(IF(VLOOKUP($A11,TableHandbook[],4,FALSE)=0,"",VLOOKUP($A11,TableHandbook[],4,FALSE)),"")</f>
        <v/>
      </c>
      <c r="E11" s="144" t="str">
        <f>IF(OR(A11="",A11="---"),"",E10)</f>
        <v/>
      </c>
      <c r="F11" s="146" t="str">
        <f>IFERROR(IF(VLOOKUP($A11,TableHandbook[],6,FALSE)=0,"",VLOOKUP($A11,TableHandbook[],6,FALSE)),"")</f>
        <v/>
      </c>
      <c r="G11" s="144" t="str">
        <f>IFERROR(IF(VLOOKUP($A11,TableHandbook[],5,FALSE)=0,"",VLOOKUP($A11,TableHandbook[],5,FALSE)),"")</f>
        <v/>
      </c>
      <c r="H11" s="147" t="str">
        <f>IFERROR(VLOOKUP($A11,TableHandbook[],H$2,FALSE),"")</f>
        <v/>
      </c>
      <c r="I11" s="148" t="str">
        <f>IFERROR(VLOOKUP($A11,TableHandbook[],I$2,FALSE),"")</f>
        <v/>
      </c>
      <c r="J11" s="147" t="str">
        <f>IFERROR(VLOOKUP($A11,TableHandbook[],J$2,FALSE),"")</f>
        <v/>
      </c>
      <c r="K11" s="148" t="str">
        <f>IFERROR(VLOOKUP($A11,TableHandbook[],K$2,FALSE),"")</f>
        <v/>
      </c>
      <c r="L11" s="147" t="str">
        <f>IFERROR(VLOOKUP($A11,TableHandbook[],L$2,FALSE),"")</f>
        <v/>
      </c>
      <c r="M11" s="148" t="str">
        <f>IFERROR(VLOOKUP($A11,TableHandbook[],M$2,FALSE),"")</f>
        <v/>
      </c>
      <c r="N11" s="147" t="str">
        <f>IFERROR(VLOOKUP($A11,TableHandbook[],N$2,FALSE),"")</f>
        <v/>
      </c>
      <c r="O11" s="148" t="str">
        <f>IFERROR(VLOOKUP($A11,TableHandbook[],O$2,FALSE),"")</f>
        <v/>
      </c>
      <c r="P11" s="23"/>
      <c r="Q11" s="149">
        <v>3</v>
      </c>
      <c r="R11" s="150"/>
      <c r="S11" s="150"/>
      <c r="AA11" s="13"/>
    </row>
    <row r="12" spans="1:27" s="14" customFormat="1" ht="6" customHeight="1" x14ac:dyDescent="0.15">
      <c r="A12" s="171"/>
      <c r="B12" s="172"/>
      <c r="C12" s="172"/>
      <c r="D12" s="243"/>
      <c r="E12" s="172"/>
      <c r="F12" s="174"/>
      <c r="G12" s="172"/>
      <c r="H12" s="175"/>
      <c r="I12" s="176"/>
      <c r="J12" s="175"/>
      <c r="K12" s="176"/>
      <c r="L12" s="175"/>
      <c r="M12" s="176"/>
      <c r="N12" s="175"/>
      <c r="O12" s="176"/>
      <c r="P12" s="106"/>
      <c r="Q12" s="149"/>
      <c r="R12" s="150"/>
      <c r="S12" s="150"/>
      <c r="T12" s="150"/>
      <c r="AA12" s="13"/>
    </row>
    <row r="13" spans="1:27" s="14" customFormat="1" ht="21" customHeight="1" x14ac:dyDescent="0.15">
      <c r="A13" s="143" t="str">
        <f>IFERROR(IF(HLOOKUP($P$6,RangeUnitsetsECEPR,Q13,FALSE)=0,"",HLOOKUP($P$6,RangeUnitsetsECEPR,Q13,FALSE)),"")</f>
        <v/>
      </c>
      <c r="B13" s="144" t="str">
        <f>IFERROR(IF(VLOOKUP($A13,TableHandbook[],2,FALSE)=0,"",VLOOKUP($A13,TableHandbook[],2,FALSE)),"")</f>
        <v/>
      </c>
      <c r="C13" s="144" t="str">
        <f>IFERROR(IF(VLOOKUP($A13,TableHandbook[],3,FALSE)=0,"",VLOOKUP($A13,TableHandbook[],3,FALSE)),"")</f>
        <v/>
      </c>
      <c r="D13" s="240" t="str">
        <f>IFERROR(IF(VLOOKUP($A13,TableHandbook[],4,FALSE)=0,"",VLOOKUP($A13,TableHandbook[],4,FALSE)),"")</f>
        <v/>
      </c>
      <c r="E13" s="144" t="str">
        <f>IF(OR(A13="",A13="--"),"",VLOOKUP($D$7,TableStudyPeriods[],3,FALSE))</f>
        <v/>
      </c>
      <c r="F13" s="146" t="str">
        <f>IFERROR(IF(VLOOKUP($A13,TableHandbook[],6,FALSE)=0,"",VLOOKUP($A13,TableHandbook[],6,FALSE)),"")</f>
        <v/>
      </c>
      <c r="G13" s="144" t="str">
        <f>IFERROR(IF(VLOOKUP($A13,TableHandbook[],5,FALSE)=0,"",VLOOKUP($A13,TableHandbook[],5,FALSE)),"")</f>
        <v/>
      </c>
      <c r="H13" s="147" t="str">
        <f>IFERROR(VLOOKUP($A13,TableHandbook[],H$2,FALSE),"")</f>
        <v/>
      </c>
      <c r="I13" s="148" t="str">
        <f>IFERROR(VLOOKUP($A13,TableHandbook[],I$2,FALSE),"")</f>
        <v/>
      </c>
      <c r="J13" s="147" t="str">
        <f>IFERROR(VLOOKUP($A13,TableHandbook[],J$2,FALSE),"")</f>
        <v/>
      </c>
      <c r="K13" s="148" t="str">
        <f>IFERROR(VLOOKUP($A13,TableHandbook[],K$2,FALSE),"")</f>
        <v/>
      </c>
      <c r="L13" s="147" t="str">
        <f>IFERROR(VLOOKUP($A13,TableHandbook[],L$2,FALSE),"")</f>
        <v/>
      </c>
      <c r="M13" s="148" t="str">
        <f>IFERROR(VLOOKUP($A13,TableHandbook[],M$2,FALSE),"")</f>
        <v/>
      </c>
      <c r="N13" s="147" t="str">
        <f>IFERROR(VLOOKUP($A13,TableHandbook[],N$2,FALSE),"")</f>
        <v/>
      </c>
      <c r="O13" s="148" t="str">
        <f>IFERROR(VLOOKUP($A13,TableHandbook[],O$2,FALSE),"")</f>
        <v/>
      </c>
      <c r="P13" s="24"/>
      <c r="Q13" s="149">
        <v>4</v>
      </c>
      <c r="R13" s="150"/>
      <c r="S13" s="150"/>
      <c r="AA13" s="13"/>
    </row>
    <row r="14" spans="1:27" s="14" customFormat="1" ht="21" customHeight="1" x14ac:dyDescent="0.15">
      <c r="A14" s="143" t="str">
        <f>IFERROR(IF(HLOOKUP($P$6,RangeUnitsetsECEPR,Q14,FALSE)=0,"",HLOOKUP($P$6,RangeUnitsetsECEPR,Q14,FALSE)),"")</f>
        <v/>
      </c>
      <c r="B14" s="144" t="str">
        <f>IFERROR(IF(VLOOKUP($A14,TableHandbook[],2,FALSE)=0,"",VLOOKUP($A14,TableHandbook[],2,FALSE)),"")</f>
        <v/>
      </c>
      <c r="C14" s="144" t="str">
        <f>IFERROR(IF(VLOOKUP($A14,TableHandbook[],3,FALSE)=0,"",VLOOKUP($A14,TableHandbook[],3,FALSE)),"")</f>
        <v/>
      </c>
      <c r="D14" s="240" t="str">
        <f>IFERROR(IF(VLOOKUP($A14,TableHandbook[],4,FALSE)=0,"",VLOOKUP($A14,TableHandbook[],4,FALSE)),"")</f>
        <v/>
      </c>
      <c r="E14" s="144" t="str">
        <f>IF(OR(A14="",A14="---"),"",E13)</f>
        <v/>
      </c>
      <c r="F14" s="146" t="str">
        <f>IFERROR(IF(VLOOKUP($A14,TableHandbook[],6,FALSE)=0,"",VLOOKUP($A14,TableHandbook[],6,FALSE)),"")</f>
        <v/>
      </c>
      <c r="G14" s="144" t="str">
        <f>IFERROR(IF(VLOOKUP($A14,TableHandbook[],5,FALSE)=0,"",VLOOKUP($A14,TableHandbook[],5,FALSE)),"")</f>
        <v/>
      </c>
      <c r="H14" s="147" t="str">
        <f>IFERROR(VLOOKUP($A14,TableHandbook[],H$2,FALSE),"")</f>
        <v/>
      </c>
      <c r="I14" s="148" t="str">
        <f>IFERROR(VLOOKUP($A14,TableHandbook[],I$2,FALSE),"")</f>
        <v/>
      </c>
      <c r="J14" s="147" t="str">
        <f>IFERROR(VLOOKUP($A14,TableHandbook[],J$2,FALSE),"")</f>
        <v/>
      </c>
      <c r="K14" s="148" t="str">
        <f>IFERROR(VLOOKUP($A14,TableHandbook[],K$2,FALSE),"")</f>
        <v/>
      </c>
      <c r="L14" s="147" t="str">
        <f>IFERROR(VLOOKUP($A14,TableHandbook[],L$2,FALSE),"")</f>
        <v/>
      </c>
      <c r="M14" s="148" t="str">
        <f>IFERROR(VLOOKUP($A14,TableHandbook[],M$2,FALSE),"")</f>
        <v/>
      </c>
      <c r="N14" s="147" t="str">
        <f>IFERROR(VLOOKUP($A14,TableHandbook[],N$2,FALSE),"")</f>
        <v/>
      </c>
      <c r="O14" s="148" t="str">
        <f>IFERROR(VLOOKUP($A14,TableHandbook[],O$2,FALSE),"")</f>
        <v/>
      </c>
      <c r="P14" s="23"/>
      <c r="Q14" s="149">
        <v>5</v>
      </c>
      <c r="R14" s="150"/>
      <c r="S14" s="150"/>
      <c r="AA14" s="13"/>
    </row>
    <row r="15" spans="1:27" s="14" customFormat="1" ht="6" customHeight="1" x14ac:dyDescent="0.15">
      <c r="A15" s="171"/>
      <c r="B15" s="172"/>
      <c r="C15" s="172"/>
      <c r="D15" s="243"/>
      <c r="E15" s="172"/>
      <c r="F15" s="174"/>
      <c r="G15" s="172"/>
      <c r="H15" s="175"/>
      <c r="I15" s="176"/>
      <c r="J15" s="175"/>
      <c r="K15" s="176"/>
      <c r="L15" s="175"/>
      <c r="M15" s="176"/>
      <c r="N15" s="175"/>
      <c r="O15" s="176"/>
      <c r="P15" s="106"/>
      <c r="Q15" s="149"/>
      <c r="R15" s="150"/>
      <c r="S15" s="150"/>
      <c r="T15" s="150"/>
      <c r="AA15" s="13"/>
    </row>
    <row r="16" spans="1:27" s="14" customFormat="1" ht="21" customHeight="1" x14ac:dyDescent="0.15">
      <c r="A16" s="143" t="str">
        <f>IFERROR(IF(HLOOKUP($P$6,RangeUnitsetsECEPR,Q16,FALSE)=0,"",HLOOKUP($P$6,RangeUnitsetsECEPR,Q16,FALSE)),"")</f>
        <v/>
      </c>
      <c r="B16" s="151" t="str">
        <f>IFERROR(IF(VLOOKUP($A16,TableHandbook[],2,FALSE)=0,"",VLOOKUP($A16,TableHandbook[],2,FALSE)),"")</f>
        <v/>
      </c>
      <c r="C16" s="151" t="str">
        <f>IFERROR(IF(VLOOKUP($A16,TableHandbook[],3,FALSE)=0,"",VLOOKUP($A16,TableHandbook[],3,FALSE)),"")</f>
        <v/>
      </c>
      <c r="D16" s="240" t="str">
        <f>IFERROR(IF(VLOOKUP($A16,TableHandbook[],4,FALSE)=0,"",VLOOKUP($A16,TableHandbook[],4,FALSE)),"")</f>
        <v/>
      </c>
      <c r="E16" s="144" t="str">
        <f>IF(OR(A16="",A16="--"),"",VLOOKUP($D$7,TableStudyPeriods[],4,FALSE))</f>
        <v/>
      </c>
      <c r="F16" s="146" t="str">
        <f>IFERROR(IF(VLOOKUP($A16,TableHandbook[],6,FALSE)=0,"",VLOOKUP($A16,TableHandbook[],6,FALSE)),"")</f>
        <v/>
      </c>
      <c r="G16" s="151" t="str">
        <f>IFERROR(IF(VLOOKUP($A16,TableHandbook[],5,FALSE)=0,"",VLOOKUP($A16,TableHandbook[],5,FALSE)),"")</f>
        <v/>
      </c>
      <c r="H16" s="152" t="str">
        <f>IFERROR(VLOOKUP($A16,TableHandbook[],H$2,FALSE),"")</f>
        <v/>
      </c>
      <c r="I16" s="153" t="str">
        <f>IFERROR(VLOOKUP($A16,TableHandbook[],I$2,FALSE),"")</f>
        <v/>
      </c>
      <c r="J16" s="152" t="str">
        <f>IFERROR(VLOOKUP($A16,TableHandbook[],J$2,FALSE),"")</f>
        <v/>
      </c>
      <c r="K16" s="153" t="str">
        <f>IFERROR(VLOOKUP($A16,TableHandbook[],K$2,FALSE),"")</f>
        <v/>
      </c>
      <c r="L16" s="152" t="str">
        <f>IFERROR(VLOOKUP($A16,TableHandbook[],L$2,FALSE),"")</f>
        <v/>
      </c>
      <c r="M16" s="153" t="str">
        <f>IFERROR(VLOOKUP($A16,TableHandbook[],M$2,FALSE),"")</f>
        <v/>
      </c>
      <c r="N16" s="152" t="str">
        <f>IFERROR(VLOOKUP($A16,TableHandbook[],N$2,FALSE),"")</f>
        <v/>
      </c>
      <c r="O16" s="153" t="str">
        <f>IFERROR(VLOOKUP($A16,TableHandbook[],O$2,FALSE),"")</f>
        <v/>
      </c>
      <c r="P16" s="24"/>
      <c r="Q16" s="149">
        <v>6</v>
      </c>
      <c r="R16" s="150"/>
      <c r="S16" s="150"/>
      <c r="AA16" s="13"/>
    </row>
    <row r="17" spans="1:27" s="16" customFormat="1" ht="21" customHeight="1" x14ac:dyDescent="0.15">
      <c r="A17" s="143" t="str">
        <f>IFERROR(IF(HLOOKUP($P$6,RangeUnitsetsECEPR,Q17,FALSE)=0,"",HLOOKUP($P$6,RangeUnitsetsECEPR,Q17,FALSE)),"")</f>
        <v/>
      </c>
      <c r="B17" s="151" t="str">
        <f>IFERROR(IF(VLOOKUP($A17,TableHandbook[],2,FALSE)=0,"",VLOOKUP($A17,TableHandbook[],2,FALSE)),"")</f>
        <v/>
      </c>
      <c r="C17" s="151" t="str">
        <f>IFERROR(IF(VLOOKUP($A17,TableHandbook[],3,FALSE)=0,"",VLOOKUP($A17,TableHandbook[],3,FALSE)),"")</f>
        <v/>
      </c>
      <c r="D17" s="240" t="str">
        <f>IFERROR(IF(VLOOKUP($A17,TableHandbook[],4,FALSE)=0,"",VLOOKUP($A17,TableHandbook[],4,FALSE)),"")</f>
        <v/>
      </c>
      <c r="E17" s="144" t="str">
        <f>IF(OR(A17="",A17="---"),"",E16)</f>
        <v/>
      </c>
      <c r="F17" s="146" t="str">
        <f>IFERROR(IF(VLOOKUP($A17,TableHandbook[],6,FALSE)=0,"",VLOOKUP($A17,TableHandbook[],6,FALSE)),"")</f>
        <v/>
      </c>
      <c r="G17" s="151" t="str">
        <f>IFERROR(IF(VLOOKUP($A17,TableHandbook[],5,FALSE)=0,"",VLOOKUP($A17,TableHandbook[],5,FALSE)),"")</f>
        <v/>
      </c>
      <c r="H17" s="152" t="str">
        <f>IFERROR(VLOOKUP($A17,TableHandbook[],H$2,FALSE),"")</f>
        <v/>
      </c>
      <c r="I17" s="153" t="str">
        <f>IFERROR(VLOOKUP($A17,TableHandbook[],I$2,FALSE),"")</f>
        <v/>
      </c>
      <c r="J17" s="152" t="str">
        <f>IFERROR(VLOOKUP($A17,TableHandbook[],J$2,FALSE),"")</f>
        <v/>
      </c>
      <c r="K17" s="153" t="str">
        <f>IFERROR(VLOOKUP($A17,TableHandbook[],K$2,FALSE),"")</f>
        <v/>
      </c>
      <c r="L17" s="152" t="str">
        <f>IFERROR(VLOOKUP($A17,TableHandbook[],L$2,FALSE),"")</f>
        <v/>
      </c>
      <c r="M17" s="153" t="str">
        <f>IFERROR(VLOOKUP($A17,TableHandbook[],M$2,FALSE),"")</f>
        <v/>
      </c>
      <c r="N17" s="152" t="str">
        <f>IFERROR(VLOOKUP($A17,TableHandbook[],N$2,FALSE),"")</f>
        <v/>
      </c>
      <c r="O17" s="153" t="str">
        <f>IFERROR(VLOOKUP($A17,TableHandbook[],O$2,FALSE),"")</f>
        <v/>
      </c>
      <c r="P17" s="24"/>
      <c r="Q17" s="149">
        <v>7</v>
      </c>
      <c r="R17" s="154"/>
      <c r="S17" s="154"/>
      <c r="AA17" s="15"/>
    </row>
    <row r="18" spans="1:27" s="14" customFormat="1" ht="6" customHeight="1" x14ac:dyDescent="0.15">
      <c r="A18" s="171"/>
      <c r="B18" s="172"/>
      <c r="C18" s="172"/>
      <c r="D18" s="243"/>
      <c r="E18" s="172"/>
      <c r="F18" s="174"/>
      <c r="G18" s="172"/>
      <c r="H18" s="175"/>
      <c r="I18" s="176"/>
      <c r="J18" s="175"/>
      <c r="K18" s="176"/>
      <c r="L18" s="175"/>
      <c r="M18" s="176"/>
      <c r="N18" s="175"/>
      <c r="O18" s="176"/>
      <c r="P18" s="106"/>
      <c r="Q18" s="149"/>
      <c r="R18" s="150"/>
      <c r="S18" s="150"/>
      <c r="T18" s="150"/>
      <c r="AA18" s="13"/>
    </row>
    <row r="19" spans="1:27" s="16" customFormat="1" ht="21" customHeight="1" x14ac:dyDescent="0.15">
      <c r="A19" s="143" t="str">
        <f>IFERROR(IF(HLOOKUP($P$6,RangeUnitsetsECEPR,Q19,FALSE)=0,"",HLOOKUP($P$6,RangeUnitsetsECEPR,Q19,FALSE)),"")</f>
        <v/>
      </c>
      <c r="B19" s="151" t="str">
        <f>IFERROR(IF(VLOOKUP($A19,TableHandbook[],2,FALSE)=0,"",VLOOKUP($A19,TableHandbook[],2,FALSE)),"")</f>
        <v/>
      </c>
      <c r="C19" s="151" t="str">
        <f>IFERROR(IF(VLOOKUP($A19,TableHandbook[],3,FALSE)=0,"",VLOOKUP($A19,TableHandbook[],3,FALSE)),"")</f>
        <v/>
      </c>
      <c r="D19" s="240" t="str">
        <f>IFERROR(IF(VLOOKUP($A19,TableHandbook[],4,FALSE)=0,"",VLOOKUP($A19,TableHandbook[],4,FALSE)),"")</f>
        <v/>
      </c>
      <c r="E19" s="144" t="str">
        <f>IF(OR(A19="",A19="--"),"",VLOOKUP($D$7,TableStudyPeriods[],5,FALSE))</f>
        <v/>
      </c>
      <c r="F19" s="146" t="str">
        <f>IFERROR(IF(VLOOKUP($A19,TableHandbook[],6,FALSE)=0,"",VLOOKUP($A19,TableHandbook[],6,FALSE)),"")</f>
        <v/>
      </c>
      <c r="G19" s="151" t="str">
        <f>IFERROR(IF(VLOOKUP($A19,TableHandbook[],5,FALSE)=0,"",VLOOKUP($A19,TableHandbook[],5,FALSE)),"")</f>
        <v/>
      </c>
      <c r="H19" s="152" t="str">
        <f>IFERROR(VLOOKUP($A19,TableHandbook[],H$2,FALSE),"")</f>
        <v/>
      </c>
      <c r="I19" s="153" t="str">
        <f>IFERROR(VLOOKUP($A19,TableHandbook[],I$2,FALSE),"")</f>
        <v/>
      </c>
      <c r="J19" s="152" t="str">
        <f>IFERROR(VLOOKUP($A19,TableHandbook[],J$2,FALSE),"")</f>
        <v/>
      </c>
      <c r="K19" s="153" t="str">
        <f>IFERROR(VLOOKUP($A19,TableHandbook[],K$2,FALSE),"")</f>
        <v/>
      </c>
      <c r="L19" s="152" t="str">
        <f>IFERROR(VLOOKUP($A19,TableHandbook[],L$2,FALSE),"")</f>
        <v/>
      </c>
      <c r="M19" s="153" t="str">
        <f>IFERROR(VLOOKUP($A19,TableHandbook[],M$2,FALSE),"")</f>
        <v/>
      </c>
      <c r="N19" s="152" t="str">
        <f>IFERROR(VLOOKUP($A19,TableHandbook[],N$2,FALSE),"")</f>
        <v/>
      </c>
      <c r="O19" s="153" t="str">
        <f>IFERROR(VLOOKUP($A19,TableHandbook[],O$2,FALSE),"")</f>
        <v/>
      </c>
      <c r="P19" s="24"/>
      <c r="Q19" s="149">
        <v>8</v>
      </c>
      <c r="R19" s="154"/>
      <c r="S19" s="154"/>
      <c r="AA19" s="15"/>
    </row>
    <row r="20" spans="1:27" s="16" customFormat="1" ht="21" customHeight="1" x14ac:dyDescent="0.15">
      <c r="A20" s="143" t="str">
        <f>IFERROR(IF(HLOOKUP($P$6,RangeUnitsetsECEPR,Q20,FALSE)=0,"",HLOOKUP($P$6,RangeUnitsetsECEPR,Q20,FALSE)),"")</f>
        <v/>
      </c>
      <c r="B20" s="151" t="str">
        <f>IFERROR(IF(VLOOKUP($A20,TableHandbook[],2,FALSE)=0,"",VLOOKUP($A20,TableHandbook[],2,FALSE)),"")</f>
        <v/>
      </c>
      <c r="C20" s="151" t="str">
        <f>IFERROR(IF(VLOOKUP($A20,TableHandbook[],3,FALSE)=0,"",VLOOKUP($A20,TableHandbook[],3,FALSE)),"")</f>
        <v/>
      </c>
      <c r="D20" s="241" t="str">
        <f>IFERROR(IF(VLOOKUP($A20,TableHandbook[],4,FALSE)=0,"",VLOOKUP($A20,TableHandbook[],4,FALSE)),"")</f>
        <v/>
      </c>
      <c r="E20" s="151" t="str">
        <f>IF(OR(A20="",A20="---"),"",E19)</f>
        <v/>
      </c>
      <c r="F20" s="146" t="str">
        <f>IFERROR(IF(VLOOKUP($A20,TableHandbook[],6,FALSE)=0,"",VLOOKUP($A20,TableHandbook[],6,FALSE)),"")</f>
        <v/>
      </c>
      <c r="G20" s="151" t="str">
        <f>IFERROR(IF(VLOOKUP($A20,TableHandbook[],5,FALSE)=0,"",VLOOKUP($A20,TableHandbook[],5,FALSE)),"")</f>
        <v/>
      </c>
      <c r="H20" s="152" t="str">
        <f>IFERROR(VLOOKUP($A20,TableHandbook[],H$2,FALSE),"")</f>
        <v/>
      </c>
      <c r="I20" s="153" t="str">
        <f>IFERROR(VLOOKUP($A20,TableHandbook[],I$2,FALSE),"")</f>
        <v/>
      </c>
      <c r="J20" s="152" t="str">
        <f>IFERROR(VLOOKUP($A20,TableHandbook[],J$2,FALSE),"")</f>
        <v/>
      </c>
      <c r="K20" s="153" t="str">
        <f>IFERROR(VLOOKUP($A20,TableHandbook[],K$2,FALSE),"")</f>
        <v/>
      </c>
      <c r="L20" s="152" t="str">
        <f>IFERROR(VLOOKUP($A20,TableHandbook[],L$2,FALSE),"")</f>
        <v/>
      </c>
      <c r="M20" s="153" t="str">
        <f>IFERROR(VLOOKUP($A20,TableHandbook[],M$2,FALSE),"")</f>
        <v/>
      </c>
      <c r="N20" s="152" t="str">
        <f>IFERROR(VLOOKUP($A20,TableHandbook[],N$2,FALSE),"")</f>
        <v/>
      </c>
      <c r="O20" s="153" t="str">
        <f>IFERROR(VLOOKUP($A20,TableHandbook[],O$2,FALSE),"")</f>
        <v/>
      </c>
      <c r="P20" s="24"/>
      <c r="Q20" s="149">
        <v>9</v>
      </c>
      <c r="R20" s="154"/>
      <c r="S20" s="154"/>
      <c r="AA20" s="15"/>
    </row>
    <row r="21" spans="1:27" s="12" customFormat="1" ht="31.5" x14ac:dyDescent="0.25">
      <c r="A21" s="133" t="s">
        <v>33</v>
      </c>
      <c r="B21" s="133"/>
      <c r="C21" s="133"/>
      <c r="D21" s="239" t="s">
        <v>3</v>
      </c>
      <c r="E21" s="140" t="s">
        <v>21</v>
      </c>
      <c r="F21" s="133" t="s">
        <v>22</v>
      </c>
      <c r="G21" s="133" t="s">
        <v>23</v>
      </c>
      <c r="H21" s="141" t="str">
        <f>H$9</f>
        <v>SSP1 BEN</v>
      </c>
      <c r="I21" s="142" t="str">
        <f t="shared" ref="I21:P21" si="0">I$9</f>
        <v>SSP1 FO</v>
      </c>
      <c r="J21" s="141" t="str">
        <f t="shared" si="0"/>
        <v>SSP2 BEN</v>
      </c>
      <c r="K21" s="142" t="str">
        <f t="shared" si="0"/>
        <v>SSP2 FO</v>
      </c>
      <c r="L21" s="141" t="str">
        <f t="shared" si="0"/>
        <v>SSP3 BEN</v>
      </c>
      <c r="M21" s="142" t="str">
        <f t="shared" si="0"/>
        <v>SSP3 FO</v>
      </c>
      <c r="N21" s="141" t="str">
        <f t="shared" si="0"/>
        <v>SSP4 BEN</v>
      </c>
      <c r="O21" s="142" t="str">
        <f t="shared" si="0"/>
        <v>SSP4 FO</v>
      </c>
      <c r="P21" s="133" t="str">
        <f t="shared" si="0"/>
        <v>Notes / Progress</v>
      </c>
      <c r="Q21" s="157"/>
      <c r="R21" s="139"/>
      <c r="S21" s="139"/>
      <c r="AA21" s="11"/>
    </row>
    <row r="22" spans="1:27" s="14" customFormat="1" ht="21" customHeight="1" x14ac:dyDescent="0.15">
      <c r="A22" s="143" t="str">
        <f>IFERROR(IF(HLOOKUP($P$6,RangeUnitsetsECEPR,Q22,FALSE)=0,"",HLOOKUP($P$6,RangeUnitsetsECEPR,Q22,FALSE)),"")</f>
        <v/>
      </c>
      <c r="B22" s="151" t="str">
        <f>IFERROR(IF(VLOOKUP($A22,TableHandbook[],2,FALSE)=0,"",VLOOKUP($A22,TableHandbook[],2,FALSE)),"")</f>
        <v/>
      </c>
      <c r="C22" s="151" t="str">
        <f>IFERROR(IF(VLOOKUP($A22,TableHandbook[],3,FALSE)=0,"",VLOOKUP($A22,TableHandbook[],3,FALSE)),"")</f>
        <v/>
      </c>
      <c r="D22" s="242" t="str">
        <f>IFERROR(IF(VLOOKUP($A22,TableHandbook[],4,FALSE)=0,"",VLOOKUP($A22,TableHandbook[],4,FALSE)),"")</f>
        <v/>
      </c>
      <c r="E22" s="151" t="str">
        <f>IF(OR(A22="",A22="--"),"",VLOOKUP($D$7,TableStudyPeriods[],2,FALSE))</f>
        <v/>
      </c>
      <c r="F22" s="146" t="str">
        <f>IFERROR(IF(VLOOKUP($A22,TableHandbook[],6,FALSE)=0,"",VLOOKUP($A22,TableHandbook[],6,FALSE)),"")</f>
        <v/>
      </c>
      <c r="G22" s="144" t="str">
        <f>IFERROR(IF(VLOOKUP($A22,TableHandbook[],5,FALSE)=0,"",VLOOKUP($A22,TableHandbook[],5,FALSE)),"")</f>
        <v/>
      </c>
      <c r="H22" s="147" t="str">
        <f>IFERROR(VLOOKUP($A22,TableHandbook[],H$2,FALSE),"")</f>
        <v/>
      </c>
      <c r="I22" s="148" t="str">
        <f>IFERROR(VLOOKUP($A22,TableHandbook[],I$2,FALSE),"")</f>
        <v/>
      </c>
      <c r="J22" s="147" t="str">
        <f>IFERROR(VLOOKUP($A22,TableHandbook[],J$2,FALSE),"")</f>
        <v/>
      </c>
      <c r="K22" s="148" t="str">
        <f>IFERROR(VLOOKUP($A22,TableHandbook[],K$2,FALSE),"")</f>
        <v/>
      </c>
      <c r="L22" s="147" t="str">
        <f>IFERROR(VLOOKUP($A22,TableHandbook[],L$2,FALSE),"")</f>
        <v/>
      </c>
      <c r="M22" s="148" t="str">
        <f>IFERROR(VLOOKUP($A22,TableHandbook[],M$2,FALSE),"")</f>
        <v/>
      </c>
      <c r="N22" s="147" t="str">
        <f>IFERROR(VLOOKUP($A22,TableHandbook[],N$2,FALSE),"")</f>
        <v/>
      </c>
      <c r="O22" s="148" t="str">
        <f>IFERROR(VLOOKUP($A22,TableHandbook[],O$2,FALSE),"")</f>
        <v/>
      </c>
      <c r="P22" s="22"/>
      <c r="Q22" s="149">
        <v>10</v>
      </c>
      <c r="R22" s="150"/>
      <c r="S22" s="150"/>
      <c r="AA22" s="13"/>
    </row>
    <row r="23" spans="1:27" s="14" customFormat="1" ht="21" customHeight="1" x14ac:dyDescent="0.15">
      <c r="A23" s="143" t="str">
        <f>IFERROR(IF(HLOOKUP($P$6,RangeUnitsetsECEPR,Q23,FALSE)=0,"",HLOOKUP($P$6,RangeUnitsetsECEPR,Q23,FALSE)),"")</f>
        <v/>
      </c>
      <c r="B23" s="151" t="str">
        <f>IFERROR(IF(VLOOKUP($A23,TableHandbook[],2,FALSE)=0,"",VLOOKUP($A23,TableHandbook[],2,FALSE)),"")</f>
        <v/>
      </c>
      <c r="C23" s="151" t="str">
        <f>IFERROR(IF(VLOOKUP($A23,TableHandbook[],3,FALSE)=0,"",VLOOKUP($A23,TableHandbook[],3,FALSE)),"")</f>
        <v/>
      </c>
      <c r="D23" s="241" t="str">
        <f>IFERROR(IF(VLOOKUP($A23,TableHandbook[],4,FALSE)=0,"",VLOOKUP($A23,TableHandbook[],4,FALSE)),"")</f>
        <v/>
      </c>
      <c r="E23" s="151" t="str">
        <f>IF(OR(A23="",A23="---"),"",E22)</f>
        <v/>
      </c>
      <c r="F23" s="146" t="str">
        <f>IFERROR(IF(VLOOKUP($A23,TableHandbook[],6,FALSE)=0,"",VLOOKUP($A23,TableHandbook[],6,FALSE)),"")</f>
        <v/>
      </c>
      <c r="G23" s="144" t="str">
        <f>IFERROR(IF(VLOOKUP($A23,TableHandbook[],5,FALSE)=0,"",VLOOKUP($A23,TableHandbook[],5,FALSE)),"")</f>
        <v/>
      </c>
      <c r="H23" s="147" t="str">
        <f>IFERROR(VLOOKUP($A23,TableHandbook[],H$2,FALSE),"")</f>
        <v/>
      </c>
      <c r="I23" s="148" t="str">
        <f>IFERROR(VLOOKUP($A23,TableHandbook[],I$2,FALSE),"")</f>
        <v/>
      </c>
      <c r="J23" s="147" t="str">
        <f>IFERROR(VLOOKUP($A23,TableHandbook[],J$2,FALSE),"")</f>
        <v/>
      </c>
      <c r="K23" s="148" t="str">
        <f>IFERROR(VLOOKUP($A23,TableHandbook[],K$2,FALSE),"")</f>
        <v/>
      </c>
      <c r="L23" s="147" t="str">
        <f>IFERROR(VLOOKUP($A23,TableHandbook[],L$2,FALSE),"")</f>
        <v/>
      </c>
      <c r="M23" s="148" t="str">
        <f>IFERROR(VLOOKUP($A23,TableHandbook[],M$2,FALSE),"")</f>
        <v/>
      </c>
      <c r="N23" s="147" t="str">
        <f>IFERROR(VLOOKUP($A23,TableHandbook[],N$2,FALSE),"")</f>
        <v/>
      </c>
      <c r="O23" s="148" t="str">
        <f>IFERROR(VLOOKUP($A23,TableHandbook[],O$2,FALSE),"")</f>
        <v/>
      </c>
      <c r="P23" s="22"/>
      <c r="Q23" s="149">
        <v>11</v>
      </c>
      <c r="R23" s="150"/>
      <c r="S23" s="150"/>
      <c r="AA23" s="13"/>
    </row>
    <row r="24" spans="1:27" s="14" customFormat="1" ht="6" customHeight="1" x14ac:dyDescent="0.15">
      <c r="A24" s="171"/>
      <c r="B24" s="172"/>
      <c r="C24" s="172"/>
      <c r="D24" s="243"/>
      <c r="E24" s="172"/>
      <c r="F24" s="174"/>
      <c r="G24" s="172"/>
      <c r="H24" s="175"/>
      <c r="I24" s="176"/>
      <c r="J24" s="175"/>
      <c r="K24" s="176"/>
      <c r="L24" s="175"/>
      <c r="M24" s="176"/>
      <c r="N24" s="175"/>
      <c r="O24" s="176"/>
      <c r="P24" s="106"/>
      <c r="Q24" s="149"/>
      <c r="R24" s="150"/>
      <c r="S24" s="150"/>
      <c r="T24" s="150"/>
      <c r="AA24" s="13"/>
    </row>
    <row r="25" spans="1:27" s="14" customFormat="1" ht="21" customHeight="1" x14ac:dyDescent="0.15">
      <c r="A25" s="143" t="str">
        <f>IFERROR(IF(HLOOKUP($P$6,RangeUnitsetsECEPR,Q25,FALSE)=0,"",HLOOKUP($P$6,RangeUnitsetsECEPR,Q25,FALSE)),"")</f>
        <v/>
      </c>
      <c r="B25" s="151" t="str">
        <f>IFERROR(IF(VLOOKUP($A25,TableHandbook[],2,FALSE)=0,"",VLOOKUP($A25,TableHandbook[],2,FALSE)),"")</f>
        <v/>
      </c>
      <c r="C25" s="151" t="str">
        <f>IFERROR(IF(VLOOKUP($A25,TableHandbook[],3,FALSE)=0,"",VLOOKUP($A25,TableHandbook[],3,FALSE)),"")</f>
        <v/>
      </c>
      <c r="D25" s="241" t="str">
        <f>IFERROR(IF(VLOOKUP($A25,TableHandbook[],4,FALSE)=0,"",VLOOKUP($A25,TableHandbook[],4,FALSE)),"")</f>
        <v/>
      </c>
      <c r="E25" s="151" t="str">
        <f>IF(OR(A25="",A25="--"),"",VLOOKUP($D$7,TableStudyPeriods[],3,FALSE))</f>
        <v/>
      </c>
      <c r="F25" s="146" t="str">
        <f>IFERROR(IF(VLOOKUP($A25,TableHandbook[],6,FALSE)=0,"",VLOOKUP($A25,TableHandbook[],6,FALSE)),"")</f>
        <v/>
      </c>
      <c r="G25" s="144" t="str">
        <f>IFERROR(IF(VLOOKUP($A25,TableHandbook[],5,FALSE)=0,"",VLOOKUP($A25,TableHandbook[],5,FALSE)),"")</f>
        <v/>
      </c>
      <c r="H25" s="147" t="str">
        <f>IFERROR(VLOOKUP($A25,TableHandbook[],H$2,FALSE),"")</f>
        <v/>
      </c>
      <c r="I25" s="148" t="str">
        <f>IFERROR(VLOOKUP($A25,TableHandbook[],I$2,FALSE),"")</f>
        <v/>
      </c>
      <c r="J25" s="147" t="str">
        <f>IFERROR(VLOOKUP($A25,TableHandbook[],J$2,FALSE),"")</f>
        <v/>
      </c>
      <c r="K25" s="148" t="str">
        <f>IFERROR(VLOOKUP($A25,TableHandbook[],K$2,FALSE),"")</f>
        <v/>
      </c>
      <c r="L25" s="147" t="str">
        <f>IFERROR(VLOOKUP($A25,TableHandbook[],L$2,FALSE),"")</f>
        <v/>
      </c>
      <c r="M25" s="148" t="str">
        <f>IFERROR(VLOOKUP($A25,TableHandbook[],M$2,FALSE),"")</f>
        <v/>
      </c>
      <c r="N25" s="147" t="str">
        <f>IFERROR(VLOOKUP($A25,TableHandbook[],N$2,FALSE),"")</f>
        <v/>
      </c>
      <c r="O25" s="148" t="str">
        <f>IFERROR(VLOOKUP($A25,TableHandbook[],O$2,FALSE),"")</f>
        <v/>
      </c>
      <c r="P25" s="22"/>
      <c r="Q25" s="149">
        <v>12</v>
      </c>
      <c r="R25" s="150"/>
      <c r="S25" s="150"/>
      <c r="AA25" s="13"/>
    </row>
    <row r="26" spans="1:27" s="14" customFormat="1" ht="21" customHeight="1" x14ac:dyDescent="0.15">
      <c r="A26" s="143" t="str">
        <f>IFERROR(IF(HLOOKUP($P$6,RangeUnitsetsECEPR,Q26,FALSE)=0,"",HLOOKUP($P$6,RangeUnitsetsECEPR,Q26,FALSE)),"")</f>
        <v/>
      </c>
      <c r="B26" s="151" t="str">
        <f>IFERROR(IF(VLOOKUP($A26,TableHandbook[],2,FALSE)=0,"",VLOOKUP($A26,TableHandbook[],2,FALSE)),"")</f>
        <v/>
      </c>
      <c r="C26" s="151" t="str">
        <f>IFERROR(IF(VLOOKUP($A26,TableHandbook[],3,FALSE)=0,"",VLOOKUP($A26,TableHandbook[],3,FALSE)),"")</f>
        <v/>
      </c>
      <c r="D26" s="241" t="str">
        <f>IFERROR(IF(VLOOKUP($A26,TableHandbook[],4,FALSE)=0,"",VLOOKUP($A26,TableHandbook[],4,FALSE)),"")</f>
        <v/>
      </c>
      <c r="E26" s="151" t="str">
        <f>IF(OR(A26="",A26="---"),"",E25)</f>
        <v/>
      </c>
      <c r="F26" s="146" t="str">
        <f>IFERROR(IF(VLOOKUP($A26,TableHandbook[],6,FALSE)=0,"",VLOOKUP($A26,TableHandbook[],6,FALSE)),"")</f>
        <v/>
      </c>
      <c r="G26" s="144" t="str">
        <f>IFERROR(IF(VLOOKUP($A26,TableHandbook[],5,FALSE)=0,"",VLOOKUP($A26,TableHandbook[],5,FALSE)),"")</f>
        <v/>
      </c>
      <c r="H26" s="147" t="str">
        <f>IFERROR(VLOOKUP($A26,TableHandbook[],H$2,FALSE),"")</f>
        <v/>
      </c>
      <c r="I26" s="148" t="str">
        <f>IFERROR(VLOOKUP($A26,TableHandbook[],I$2,FALSE),"")</f>
        <v/>
      </c>
      <c r="J26" s="147" t="str">
        <f>IFERROR(VLOOKUP($A26,TableHandbook[],J$2,FALSE),"")</f>
        <v/>
      </c>
      <c r="K26" s="148" t="str">
        <f>IFERROR(VLOOKUP($A26,TableHandbook[],K$2,FALSE),"")</f>
        <v/>
      </c>
      <c r="L26" s="147" t="str">
        <f>IFERROR(VLOOKUP($A26,TableHandbook[],L$2,FALSE),"")</f>
        <v/>
      </c>
      <c r="M26" s="148" t="str">
        <f>IFERROR(VLOOKUP($A26,TableHandbook[],M$2,FALSE),"")</f>
        <v/>
      </c>
      <c r="N26" s="147" t="str">
        <f>IFERROR(VLOOKUP($A26,TableHandbook[],N$2,FALSE),"")</f>
        <v/>
      </c>
      <c r="O26" s="148" t="str">
        <f>IFERROR(VLOOKUP($A26,TableHandbook[],O$2,FALSE),"")</f>
        <v/>
      </c>
      <c r="P26" s="22"/>
      <c r="Q26" s="149">
        <v>13</v>
      </c>
      <c r="R26" s="150"/>
      <c r="S26" s="150"/>
      <c r="AA26" s="13"/>
    </row>
    <row r="27" spans="1:27" s="14" customFormat="1" ht="6" customHeight="1" x14ac:dyDescent="0.15">
      <c r="A27" s="171"/>
      <c r="B27" s="172"/>
      <c r="C27" s="172"/>
      <c r="D27" s="243"/>
      <c r="E27" s="172"/>
      <c r="F27" s="174"/>
      <c r="G27" s="172"/>
      <c r="H27" s="175"/>
      <c r="I27" s="176"/>
      <c r="J27" s="175"/>
      <c r="K27" s="176"/>
      <c r="L27" s="175"/>
      <c r="M27" s="176"/>
      <c r="N27" s="175"/>
      <c r="O27" s="176"/>
      <c r="P27" s="106"/>
      <c r="Q27" s="149"/>
      <c r="R27" s="150"/>
      <c r="S27" s="150"/>
      <c r="T27" s="150"/>
      <c r="AA27" s="13"/>
    </row>
    <row r="28" spans="1:27" s="14" customFormat="1" ht="21" customHeight="1" x14ac:dyDescent="0.15">
      <c r="A28" s="143" t="str">
        <f>IFERROR(IF(HLOOKUP($P$6,RangeUnitsetsECEPR,Q28,FALSE)=0,"",HLOOKUP($P$6,RangeUnitsetsECEPR,Q28,FALSE)),"")</f>
        <v/>
      </c>
      <c r="B28" s="151" t="str">
        <f>IFERROR(IF(VLOOKUP($A28,TableHandbook[],2,FALSE)=0,"",VLOOKUP($A28,TableHandbook[],2,FALSE)),"")</f>
        <v/>
      </c>
      <c r="C28" s="151" t="str">
        <f>IFERROR(IF(VLOOKUP($A28,TableHandbook[],3,FALSE)=0,"",VLOOKUP($A28,TableHandbook[],3,FALSE)),"")</f>
        <v/>
      </c>
      <c r="D28" s="241" t="str">
        <f>IFERROR(IF(VLOOKUP($A28,TableHandbook[],4,FALSE)=0,"",VLOOKUP($A28,TableHandbook[],4,FALSE)),"")</f>
        <v/>
      </c>
      <c r="E28" s="151" t="str">
        <f>IF(OR(A28="",A28="--"),"",VLOOKUP($D$7,TableStudyPeriods[],4,FALSE))</f>
        <v/>
      </c>
      <c r="F28" s="146" t="str">
        <f>IFERROR(IF(VLOOKUP($A28,TableHandbook[],6,FALSE)=0,"",VLOOKUP($A28,TableHandbook[],6,FALSE)),"")</f>
        <v/>
      </c>
      <c r="G28" s="144" t="str">
        <f>IFERROR(IF(VLOOKUP($A28,TableHandbook[],5,FALSE)=0,"",VLOOKUP($A28,TableHandbook[],5,FALSE)),"")</f>
        <v/>
      </c>
      <c r="H28" s="152" t="str">
        <f>IFERROR(VLOOKUP($A28,TableHandbook[],H$2,FALSE),"")</f>
        <v/>
      </c>
      <c r="I28" s="153" t="str">
        <f>IFERROR(VLOOKUP($A28,TableHandbook[],I$2,FALSE),"")</f>
        <v/>
      </c>
      <c r="J28" s="152" t="str">
        <f>IFERROR(VLOOKUP($A28,TableHandbook[],J$2,FALSE),"")</f>
        <v/>
      </c>
      <c r="K28" s="153" t="str">
        <f>IFERROR(VLOOKUP($A28,TableHandbook[],K$2,FALSE),"")</f>
        <v/>
      </c>
      <c r="L28" s="152" t="str">
        <f>IFERROR(VLOOKUP($A28,TableHandbook[],L$2,FALSE),"")</f>
        <v/>
      </c>
      <c r="M28" s="153" t="str">
        <f>IFERROR(VLOOKUP($A28,TableHandbook[],M$2,FALSE),"")</f>
        <v/>
      </c>
      <c r="N28" s="152" t="str">
        <f>IFERROR(VLOOKUP($A28,TableHandbook[],N$2,FALSE),"")</f>
        <v/>
      </c>
      <c r="O28" s="153" t="str">
        <f>IFERROR(VLOOKUP($A28,TableHandbook[],O$2,FALSE),"")</f>
        <v/>
      </c>
      <c r="P28" s="22"/>
      <c r="Q28" s="149">
        <v>14</v>
      </c>
      <c r="R28" s="150"/>
      <c r="S28" s="150"/>
      <c r="AA28" s="13"/>
    </row>
    <row r="29" spans="1:27" s="14" customFormat="1" ht="21" customHeight="1" x14ac:dyDescent="0.15">
      <c r="A29" s="143" t="str">
        <f>IFERROR(IF(HLOOKUP($P$6,RangeUnitsetsECEPR,Q29,FALSE)=0,"",HLOOKUP($P$6,RangeUnitsetsECEPR,Q29,FALSE)),"")</f>
        <v/>
      </c>
      <c r="B29" s="151" t="str">
        <f>IFERROR(IF(VLOOKUP($A29,TableHandbook[],2,FALSE)=0,"",VLOOKUP($A29,TableHandbook[],2,FALSE)),"")</f>
        <v/>
      </c>
      <c r="C29" s="151" t="str">
        <f>IFERROR(IF(VLOOKUP($A29,TableHandbook[],3,FALSE)=0,"",VLOOKUP($A29,TableHandbook[],3,FALSE)),"")</f>
        <v/>
      </c>
      <c r="D29" s="241" t="str">
        <f>IFERROR(IF(VLOOKUP($A29,TableHandbook[],4,FALSE)=0,"",VLOOKUP($A29,TableHandbook[],4,FALSE)),"")</f>
        <v/>
      </c>
      <c r="E29" s="151" t="str">
        <f>IF(OR(A29="",A29="---"),"",E28)</f>
        <v/>
      </c>
      <c r="F29" s="146" t="str">
        <f>IFERROR(IF(VLOOKUP($A29,TableHandbook[],6,FALSE)=0,"",VLOOKUP($A29,TableHandbook[],6,FALSE)),"")</f>
        <v/>
      </c>
      <c r="G29" s="144" t="str">
        <f>IFERROR(IF(VLOOKUP($A29,TableHandbook[],5,FALSE)=0,"",VLOOKUP($A29,TableHandbook[],5,FALSE)),"")</f>
        <v/>
      </c>
      <c r="H29" s="152" t="str">
        <f>IFERROR(VLOOKUP($A29,TableHandbook[],H$2,FALSE),"")</f>
        <v/>
      </c>
      <c r="I29" s="153" t="str">
        <f>IFERROR(VLOOKUP($A29,TableHandbook[],I$2,FALSE),"")</f>
        <v/>
      </c>
      <c r="J29" s="152" t="str">
        <f>IFERROR(VLOOKUP($A29,TableHandbook[],J$2,FALSE),"")</f>
        <v/>
      </c>
      <c r="K29" s="153" t="str">
        <f>IFERROR(VLOOKUP($A29,TableHandbook[],K$2,FALSE),"")</f>
        <v/>
      </c>
      <c r="L29" s="152" t="str">
        <f>IFERROR(VLOOKUP($A29,TableHandbook[],L$2,FALSE),"")</f>
        <v/>
      </c>
      <c r="M29" s="153" t="str">
        <f>IFERROR(VLOOKUP($A29,TableHandbook[],M$2,FALSE),"")</f>
        <v/>
      </c>
      <c r="N29" s="152" t="str">
        <f>IFERROR(VLOOKUP($A29,TableHandbook[],N$2,FALSE),"")</f>
        <v/>
      </c>
      <c r="O29" s="153" t="str">
        <f>IFERROR(VLOOKUP($A29,TableHandbook[],O$2,FALSE),"")</f>
        <v/>
      </c>
      <c r="P29" s="22"/>
      <c r="Q29" s="149">
        <v>15</v>
      </c>
      <c r="R29" s="150"/>
      <c r="S29" s="150"/>
      <c r="AA29" s="13"/>
    </row>
    <row r="30" spans="1:27" s="16" customFormat="1" ht="6" customHeight="1" x14ac:dyDescent="0.15">
      <c r="A30" s="171"/>
      <c r="B30" s="172"/>
      <c r="C30" s="172"/>
      <c r="D30" s="243"/>
      <c r="E30" s="172"/>
      <c r="F30" s="174"/>
      <c r="G30" s="172"/>
      <c r="H30" s="175"/>
      <c r="I30" s="176"/>
      <c r="J30" s="175"/>
      <c r="K30" s="176"/>
      <c r="L30" s="175"/>
      <c r="M30" s="176"/>
      <c r="N30" s="175"/>
      <c r="O30" s="176"/>
      <c r="P30" s="106"/>
      <c r="Q30" s="149"/>
      <c r="R30" s="154"/>
      <c r="S30" s="154"/>
      <c r="AA30" s="15"/>
    </row>
    <row r="31" spans="1:27" s="16" customFormat="1" ht="21" customHeight="1" x14ac:dyDescent="0.15">
      <c r="A31" s="143" t="str">
        <f>IFERROR(IF(HLOOKUP($P$6,RangeUnitsetsECEPR,Q31,FALSE)=0,"",HLOOKUP($P$6,RangeUnitsetsECEPR,Q31,FALSE)),"")</f>
        <v/>
      </c>
      <c r="B31" s="151" t="str">
        <f>IFERROR(IF(VLOOKUP($A31,TableHandbook[],2,FALSE)=0,"",VLOOKUP($A31,TableHandbook[],2,FALSE)),"")</f>
        <v/>
      </c>
      <c r="C31" s="151" t="str">
        <f>IFERROR(IF(VLOOKUP($A31,TableHandbook[],3,FALSE)=0,"",VLOOKUP($A31,TableHandbook[],3,FALSE)),"")</f>
        <v/>
      </c>
      <c r="D31" s="241" t="str">
        <f>IFERROR(IF(VLOOKUP($A31,TableHandbook[],4,FALSE)=0,"",VLOOKUP($A31,TableHandbook[],4,FALSE)),"")</f>
        <v/>
      </c>
      <c r="E31" s="151" t="str">
        <f>IF(OR(A31="",A31="--"),"",VLOOKUP($D$7,TableStudyPeriods[],5,FALSE))</f>
        <v/>
      </c>
      <c r="F31" s="146" t="str">
        <f>IFERROR(IF(VLOOKUP($A31,TableHandbook[],6,FALSE)=0,"",VLOOKUP($A31,TableHandbook[],6,FALSE)),"")</f>
        <v/>
      </c>
      <c r="G31" s="144" t="str">
        <f>IFERROR(IF(VLOOKUP($A31,TableHandbook[],5,FALSE)=0,"",VLOOKUP($A31,TableHandbook[],5,FALSE)),"")</f>
        <v/>
      </c>
      <c r="H31" s="152" t="str">
        <f>IFERROR(VLOOKUP($A31,TableHandbook[],H$2,FALSE),"")</f>
        <v/>
      </c>
      <c r="I31" s="153" t="str">
        <f>IFERROR(VLOOKUP($A31,TableHandbook[],I$2,FALSE),"")</f>
        <v/>
      </c>
      <c r="J31" s="152" t="str">
        <f>IFERROR(VLOOKUP($A31,TableHandbook[],J$2,FALSE),"")</f>
        <v/>
      </c>
      <c r="K31" s="153" t="str">
        <f>IFERROR(VLOOKUP($A31,TableHandbook[],K$2,FALSE),"")</f>
        <v/>
      </c>
      <c r="L31" s="152" t="str">
        <f>IFERROR(VLOOKUP($A31,TableHandbook[],L$2,FALSE),"")</f>
        <v/>
      </c>
      <c r="M31" s="153" t="str">
        <f>IFERROR(VLOOKUP($A31,TableHandbook[],M$2,FALSE),"")</f>
        <v/>
      </c>
      <c r="N31" s="152" t="str">
        <f>IFERROR(VLOOKUP($A31,TableHandbook[],N$2,FALSE),"")</f>
        <v/>
      </c>
      <c r="O31" s="153" t="str">
        <f>IFERROR(VLOOKUP($A31,TableHandbook[],O$2,FALSE),"")</f>
        <v/>
      </c>
      <c r="P31" s="22"/>
      <c r="Q31" s="149">
        <v>16</v>
      </c>
      <c r="R31" s="154"/>
      <c r="S31" s="154"/>
      <c r="AA31" s="15"/>
    </row>
    <row r="32" spans="1:27" s="16" customFormat="1" ht="21" customHeight="1" x14ac:dyDescent="0.15">
      <c r="A32" s="143" t="str">
        <f>IFERROR(IF(HLOOKUP($P$6,RangeUnitsetsECEPR,Q32,FALSE)=0,"",HLOOKUP($P$6,RangeUnitsetsECEPR,Q32,FALSE)),"")</f>
        <v/>
      </c>
      <c r="B32" s="151" t="str">
        <f>IFERROR(IF(VLOOKUP($A32,TableHandbook[],2,FALSE)=0,"",VLOOKUP($A32,TableHandbook[],2,FALSE)),"")</f>
        <v/>
      </c>
      <c r="C32" s="151" t="str">
        <f>IFERROR(IF(VLOOKUP($A32,TableHandbook[],3,FALSE)=0,"",VLOOKUP($A32,TableHandbook[],3,FALSE)),"")</f>
        <v/>
      </c>
      <c r="D32" s="241" t="str">
        <f>IFERROR(IF(VLOOKUP($A32,TableHandbook[],4,FALSE)=0,"",VLOOKUP($A32,TableHandbook[],4,FALSE)),"")</f>
        <v/>
      </c>
      <c r="E32" s="144" t="str">
        <f>IF(OR(A32="",A32="---"),"",E31)</f>
        <v/>
      </c>
      <c r="F32" s="146" t="str">
        <f>IFERROR(IF(VLOOKUP($A32,TableHandbook[],6,FALSE)=0,"",VLOOKUP($A32,TableHandbook[],6,FALSE)),"")</f>
        <v/>
      </c>
      <c r="G32" s="144" t="str">
        <f>IFERROR(IF(VLOOKUP($A32,TableHandbook[],5,FALSE)=0,"",VLOOKUP($A32,TableHandbook[],5,FALSE)),"")</f>
        <v/>
      </c>
      <c r="H32" s="152" t="str">
        <f>IFERROR(VLOOKUP($A32,TableHandbook[],H$2,FALSE),"")</f>
        <v/>
      </c>
      <c r="I32" s="153" t="str">
        <f>IFERROR(VLOOKUP($A32,TableHandbook[],I$2,FALSE),"")</f>
        <v/>
      </c>
      <c r="J32" s="152" t="str">
        <f>IFERROR(VLOOKUP($A32,TableHandbook[],J$2,FALSE),"")</f>
        <v/>
      </c>
      <c r="K32" s="153" t="str">
        <f>IFERROR(VLOOKUP($A32,TableHandbook[],K$2,FALSE),"")</f>
        <v/>
      </c>
      <c r="L32" s="152" t="str">
        <f>IFERROR(VLOOKUP($A32,TableHandbook[],L$2,FALSE),"")</f>
        <v/>
      </c>
      <c r="M32" s="153" t="str">
        <f>IFERROR(VLOOKUP($A32,TableHandbook[],M$2,FALSE),"")</f>
        <v/>
      </c>
      <c r="N32" s="152" t="str">
        <f>IFERROR(VLOOKUP($A32,TableHandbook[],N$2,FALSE),"")</f>
        <v/>
      </c>
      <c r="O32" s="153" t="str">
        <f>IFERROR(VLOOKUP($A32,TableHandbook[],O$2,FALSE),"")</f>
        <v/>
      </c>
      <c r="P32" s="22"/>
      <c r="Q32" s="149">
        <v>17</v>
      </c>
      <c r="R32" s="154"/>
      <c r="S32" s="154"/>
      <c r="AA32" s="15"/>
    </row>
    <row r="33" spans="1:27" ht="15" customHeight="1" x14ac:dyDescent="0.25">
      <c r="A33" s="159"/>
      <c r="B33" s="159"/>
      <c r="C33" s="159"/>
      <c r="D33" s="160"/>
      <c r="E33" s="160"/>
      <c r="F33" s="161"/>
      <c r="G33" s="161"/>
      <c r="H33" s="161"/>
      <c r="I33" s="161"/>
      <c r="J33" s="161"/>
      <c r="K33" s="161"/>
      <c r="L33" s="161"/>
      <c r="M33" s="161"/>
      <c r="N33" s="161"/>
      <c r="O33" s="161"/>
      <c r="P33" s="161"/>
      <c r="AA33" s="10"/>
    </row>
    <row r="34" spans="1:27" s="10" customFormat="1" ht="35.25" customHeight="1" x14ac:dyDescent="0.25">
      <c r="A34" s="287" t="s">
        <v>34</v>
      </c>
      <c r="B34" s="287"/>
      <c r="C34" s="287"/>
      <c r="D34" s="287"/>
      <c r="E34" s="287"/>
      <c r="F34" s="287"/>
      <c r="G34" s="287"/>
      <c r="H34" s="287"/>
      <c r="I34" s="287"/>
      <c r="J34" s="287"/>
      <c r="K34" s="287"/>
      <c r="L34" s="287"/>
      <c r="M34" s="287"/>
      <c r="N34" s="287"/>
      <c r="O34" s="287"/>
      <c r="P34" s="287"/>
      <c r="Q34" s="8"/>
      <c r="R34" s="8"/>
      <c r="S34" s="8"/>
      <c r="T34" s="8"/>
      <c r="U34" s="8"/>
      <c r="V34" s="8"/>
      <c r="W34" s="8"/>
      <c r="X34" s="8"/>
      <c r="Y34" s="8"/>
      <c r="Z34" s="8"/>
    </row>
    <row r="35" spans="1:27" s="18" customFormat="1" ht="17.25" x14ac:dyDescent="0.2">
      <c r="A35" s="66" t="s">
        <v>35</v>
      </c>
      <c r="B35" s="66"/>
      <c r="C35" s="66"/>
      <c r="D35" s="67"/>
      <c r="E35" s="67"/>
      <c r="F35" s="67"/>
      <c r="G35" s="67"/>
      <c r="H35" s="67"/>
      <c r="I35" s="67"/>
      <c r="J35" s="67"/>
      <c r="K35" s="67"/>
      <c r="L35" s="67"/>
      <c r="M35" s="67"/>
      <c r="N35" s="67"/>
      <c r="O35" s="67"/>
      <c r="P35" s="67"/>
      <c r="Q35" s="162"/>
      <c r="R35" s="162"/>
      <c r="S35" s="162"/>
      <c r="AA35" s="17"/>
    </row>
    <row r="36" spans="1:27" x14ac:dyDescent="0.25">
      <c r="A36" s="163" t="s">
        <v>36</v>
      </c>
      <c r="B36" s="163"/>
      <c r="C36" s="163"/>
      <c r="D36" s="163"/>
      <c r="E36" s="164"/>
      <c r="F36" s="161"/>
      <c r="G36" s="165"/>
      <c r="H36" s="165"/>
      <c r="I36" s="165"/>
      <c r="J36" s="165"/>
      <c r="K36" s="165"/>
      <c r="L36" s="165"/>
      <c r="M36" s="165"/>
      <c r="N36" s="165"/>
      <c r="O36" s="165"/>
      <c r="P36" s="165" t="s">
        <v>37</v>
      </c>
    </row>
  </sheetData>
  <sheetProtection formatCells="0"/>
  <mergeCells count="2">
    <mergeCell ref="A3:D3"/>
    <mergeCell ref="A34:P34"/>
  </mergeCells>
  <conditionalFormatting sqref="A10:P32">
    <cfRule type="expression" dxfId="121" priority="1">
      <formula>$A10=""</formula>
    </cfRule>
  </conditionalFormatting>
  <conditionalFormatting sqref="D5:D7">
    <cfRule type="containsText" dxfId="120" priority="8" operator="containsText" text="Choose">
      <formula>NOT(ISERROR(SEARCH("Choose",D5)))</formula>
    </cfRule>
  </conditionalFormatting>
  <conditionalFormatting sqref="H10:O32">
    <cfRule type="expression" dxfId="119" priority="2">
      <formula>$E10=LEFT(H$9,4)</formula>
    </cfRule>
  </conditionalFormatting>
  <dataValidations count="1">
    <dataValidation type="list" allowBlank="1" showInputMessage="1" showErrorMessage="1" sqref="P27 P15 P12 P18 P24 P30" xr:uid="{00000000-0002-0000-0000-000000000000}"/>
  </dataValidations>
  <hyperlinks>
    <hyperlink ref="A35:P35"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Unitsets!$A$35:$A$37</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AA48"/>
  <sheetViews>
    <sheetView showGridLines="0" topLeftCell="A9" workbookViewId="0">
      <selection activeCell="A11" sqref="A11"/>
    </sheetView>
  </sheetViews>
  <sheetFormatPr defaultColWidth="9" defaultRowHeight="15" x14ac:dyDescent="0.25"/>
  <cols>
    <col min="1" max="1" width="8.5" style="9" customWidth="1"/>
    <col min="2" max="2" width="3.25" style="9" customWidth="1"/>
    <col min="3" max="3" width="5.875" style="9" customWidth="1"/>
    <col min="4" max="4" width="56.375" style="8" bestFit="1" customWidth="1"/>
    <col min="5" max="5" width="7.25" style="8" customWidth="1"/>
    <col min="6" max="6" width="18.125" style="8" customWidth="1"/>
    <col min="7" max="7" width="5.625" style="8" customWidth="1"/>
    <col min="8" max="15" width="3.875" style="8" customWidth="1"/>
    <col min="16" max="16" width="15.6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c r="Q1" s="88"/>
    </row>
    <row r="2" spans="1:27"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7" ht="39.950000000000003" customHeight="1" x14ac:dyDescent="0.25">
      <c r="A3" s="288" t="s">
        <v>8</v>
      </c>
      <c r="B3" s="288"/>
      <c r="C3" s="288"/>
      <c r="D3" s="288"/>
      <c r="E3" s="118"/>
      <c r="F3" s="118"/>
      <c r="G3" s="118"/>
      <c r="H3" s="118"/>
      <c r="I3" s="118"/>
      <c r="J3" s="118"/>
      <c r="K3" s="118"/>
      <c r="L3" s="118"/>
      <c r="M3" s="118"/>
      <c r="N3" s="118"/>
      <c r="O3" s="118"/>
      <c r="P3" s="118"/>
      <c r="Q3" s="88"/>
    </row>
    <row r="4" spans="1:27" ht="26.25" x14ac:dyDescent="0.25">
      <c r="A4" s="244"/>
      <c r="B4" s="244"/>
      <c r="C4" s="244"/>
      <c r="D4" s="245"/>
      <c r="E4" s="246" t="s">
        <v>9</v>
      </c>
      <c r="F4" s="244"/>
      <c r="G4" s="247"/>
      <c r="H4" s="247"/>
      <c r="I4" s="247"/>
      <c r="J4" s="247"/>
      <c r="K4" s="247"/>
      <c r="L4" s="247"/>
      <c r="M4" s="247"/>
      <c r="N4" s="247"/>
      <c r="O4" s="247"/>
      <c r="P4" s="247"/>
      <c r="Q4" s="88"/>
    </row>
    <row r="5" spans="1:27" ht="20.100000000000001" customHeight="1" x14ac:dyDescent="0.25">
      <c r="B5" s="119"/>
      <c r="C5" s="120" t="s">
        <v>10</v>
      </c>
      <c r="D5" s="121" t="s">
        <v>11</v>
      </c>
      <c r="E5" s="122"/>
      <c r="F5" s="120" t="s">
        <v>12</v>
      </c>
      <c r="G5" s="127" t="str">
        <f>IFERROR(CONCATENATE(VLOOKUP(D5,TableCourses[],2,FALSE)," ",VLOOKUP(D5,TableCourses[],3,FALSE)),"")</f>
        <v>MC-TEACH v.2</v>
      </c>
      <c r="H5" s="167"/>
      <c r="I5" s="122"/>
      <c r="J5" s="122"/>
      <c r="K5" s="122"/>
      <c r="L5" s="122"/>
      <c r="M5" s="122"/>
      <c r="N5" s="122"/>
      <c r="O5" s="122"/>
      <c r="P5" s="200"/>
      <c r="Q5" s="88"/>
    </row>
    <row r="6" spans="1:27" ht="20.100000000000001" customHeight="1" x14ac:dyDescent="0.25">
      <c r="B6" s="119"/>
      <c r="C6" s="120" t="s">
        <v>13</v>
      </c>
      <c r="D6" s="125" t="s">
        <v>130</v>
      </c>
      <c r="E6" s="122"/>
      <c r="F6" s="120" t="s">
        <v>15</v>
      </c>
      <c r="G6" s="127" t="str">
        <f>IFERROR(CONCATENATE(VLOOKUP(D6,TableMajors[],2,FALSE)," ",VLOOKUP(D6,TableMajors[],3,FALSE)),"")</f>
        <v>MJRP-TCHSC v.2</v>
      </c>
      <c r="H6" s="167"/>
      <c r="I6" s="122"/>
      <c r="J6" s="122"/>
      <c r="K6" s="122"/>
      <c r="L6" s="122"/>
      <c r="M6" s="122"/>
      <c r="N6" s="122"/>
      <c r="O6" s="122"/>
      <c r="P6" s="169" t="str">
        <f>CONCATENATE(VLOOKUP(D6,TableMajors[],2,FALSE),VLOOKUP(D9,TableStudyPeriods[],2,FALSE))</f>
        <v>MJRP-TCHSCSSP1</v>
      </c>
      <c r="Q6" s="88"/>
    </row>
    <row r="7" spans="1:27" ht="20.100000000000001" customHeight="1" x14ac:dyDescent="0.25">
      <c r="B7" s="119"/>
      <c r="C7" s="120" t="s">
        <v>256</v>
      </c>
      <c r="D7" s="201" t="s">
        <v>257</v>
      </c>
      <c r="E7" s="122"/>
      <c r="F7" s="120" t="s">
        <v>258</v>
      </c>
      <c r="G7" s="127" t="str">
        <f>IFERROR(CONCATENATE(VLOOKUP(D7,TableTeachingArea1[],2,FALSE)," ",VLOOKUP(D7,TableTeachingArea1[],3,FALSE)),"")</f>
        <v>STRP-SCART v.1</v>
      </c>
      <c r="H7" s="167"/>
      <c r="I7" s="122"/>
      <c r="J7" s="122"/>
      <c r="K7" s="122"/>
      <c r="L7" s="122"/>
      <c r="M7" s="122"/>
      <c r="N7" s="122"/>
      <c r="O7" s="122"/>
      <c r="P7" s="169" t="str">
        <f>VLOOKUP(D7,TableTeachingArea1[],2,FALSE)</f>
        <v>STRP-SCART</v>
      </c>
      <c r="Q7" s="88"/>
    </row>
    <row r="8" spans="1:27" ht="20.100000000000001" customHeight="1" x14ac:dyDescent="0.25">
      <c r="B8" s="119"/>
      <c r="C8" s="120" t="s">
        <v>259</v>
      </c>
      <c r="D8" s="220" t="s">
        <v>260</v>
      </c>
      <c r="E8" s="122"/>
      <c r="F8" s="120" t="s">
        <v>261</v>
      </c>
      <c r="G8" s="127" t="str">
        <f>IFERROR(CONCATENATE(VLOOKUP(D8,TableTeachingArea2[],2,FALSE)," ",VLOOKUP(D8,TableTeachingArea2[],3,FALSE)),"")</f>
        <v>STRP-SCENG v.1</v>
      </c>
      <c r="H8" s="167"/>
      <c r="I8" s="122"/>
      <c r="J8" s="122"/>
      <c r="K8" s="122"/>
      <c r="L8" s="122"/>
      <c r="M8" s="122"/>
      <c r="N8" s="122"/>
      <c r="O8" s="122"/>
      <c r="P8" s="169" t="str">
        <f>VLOOKUP(D8,TableTeachingArea2[],2,FALSE)</f>
        <v>STRP-SCENG</v>
      </c>
      <c r="Q8" s="88"/>
    </row>
    <row r="9" spans="1:27" ht="20.100000000000001" customHeight="1" x14ac:dyDescent="0.25">
      <c r="A9" s="127"/>
      <c r="B9" s="128"/>
      <c r="C9" s="120" t="s">
        <v>16</v>
      </c>
      <c r="D9" s="166" t="s">
        <v>39</v>
      </c>
      <c r="E9" s="130"/>
      <c r="F9" s="120" t="s">
        <v>18</v>
      </c>
      <c r="G9" s="122" t="str">
        <f>IFERROR(VLOOKUP($D$5,TableCourses[],7,FALSE),"")</f>
        <v>400 credit points required</v>
      </c>
      <c r="H9" s="131"/>
      <c r="I9" s="131"/>
      <c r="J9" s="131"/>
      <c r="K9" s="131"/>
      <c r="L9" s="131"/>
      <c r="M9" s="131"/>
      <c r="N9" s="131"/>
      <c r="O9" s="131"/>
      <c r="P9" s="169" t="str">
        <f>IFERROR(CONCATENATE("DD",MID(G7,6,5)),"")</f>
        <v>DDSCART</v>
      </c>
      <c r="Q9" s="88"/>
      <c r="AA9" s="10"/>
    </row>
    <row r="10" spans="1:27" s="12" customFormat="1" ht="14.1" customHeight="1" x14ac:dyDescent="0.25">
      <c r="A10" s="133"/>
      <c r="B10" s="133"/>
      <c r="C10" s="133"/>
      <c r="D10" s="134"/>
      <c r="E10" s="135"/>
      <c r="F10" s="133"/>
      <c r="G10" s="133"/>
      <c r="H10" s="136" t="s">
        <v>19</v>
      </c>
      <c r="I10" s="137"/>
      <c r="J10" s="137"/>
      <c r="K10" s="137"/>
      <c r="L10" s="137"/>
      <c r="M10" s="137"/>
      <c r="N10" s="137"/>
      <c r="O10" s="138"/>
      <c r="P10" s="135"/>
      <c r="Q10" s="157"/>
      <c r="R10" s="139"/>
      <c r="S10" s="139"/>
      <c r="AA10" s="11"/>
    </row>
    <row r="11" spans="1:27" s="12" customFormat="1" ht="31.5" x14ac:dyDescent="0.25">
      <c r="A11" s="133" t="s">
        <v>20</v>
      </c>
      <c r="B11" s="133"/>
      <c r="C11" s="133"/>
      <c r="D11" s="134" t="s">
        <v>3</v>
      </c>
      <c r="E11" s="140" t="s">
        <v>21</v>
      </c>
      <c r="F11" s="133" t="s">
        <v>22</v>
      </c>
      <c r="G11" s="133" t="s">
        <v>23</v>
      </c>
      <c r="H11" s="141" t="s">
        <v>24</v>
      </c>
      <c r="I11" s="142" t="s">
        <v>25</v>
      </c>
      <c r="J11" s="141" t="s">
        <v>26</v>
      </c>
      <c r="K11" s="142" t="s">
        <v>27</v>
      </c>
      <c r="L11" s="141" t="s">
        <v>28</v>
      </c>
      <c r="M11" s="142" t="s">
        <v>29</v>
      </c>
      <c r="N11" s="141" t="s">
        <v>30</v>
      </c>
      <c r="O11" s="142" t="s">
        <v>31</v>
      </c>
      <c r="P11" s="133" t="s">
        <v>32</v>
      </c>
      <c r="Q11" s="157"/>
      <c r="R11" s="139"/>
      <c r="S11" s="139"/>
      <c r="AA11" s="11"/>
    </row>
    <row r="12" spans="1:27" s="14" customFormat="1" ht="21" customHeight="1" x14ac:dyDescent="0.15">
      <c r="A12" s="143" t="str">
        <f>IFERROR(IF(HLOOKUP($P$6,RangeUnitsetsSec,Q12,FALSE)=0,"",HLOOKUP($P$6,RangeUnitsetsSec,Q12,FALSE)),"")</f>
        <v>EDSC5035</v>
      </c>
      <c r="B12" s="144">
        <f>IFERROR(IF(VLOOKUP($A12,TableHandbook[],2,FALSE)=0,"",VLOOKUP($A12,TableHandbook[],2,FALSE)),"")</f>
        <v>1</v>
      </c>
      <c r="C12" s="144" t="str">
        <f>IFERROR(IF(VLOOKUP($A12,TableHandbook[],3,FALSE)=0,"",VLOOKUP($A12,TableHandbook[],3,FALSE)),"")</f>
        <v/>
      </c>
      <c r="D12" s="145" t="str">
        <f>IFERROR(IF(VLOOKUP($A12,TableHandbook[],4,FALSE)=0,"",VLOOKUP($A12,TableHandbook[],4,FALSE)),"")</f>
        <v>Teaching in the Secondary School</v>
      </c>
      <c r="E12" s="144" t="str">
        <f>IF(OR(A12="",A12="--"),"",VLOOKUP($D$9,TableStudyPeriods[],2,FALSE))</f>
        <v>SSP1</v>
      </c>
      <c r="F12" s="146" t="str">
        <f>IFERROR(IF(VLOOKUP($A12,TableHandbook[],6,FALSE)=0,"",VLOOKUP($A12,TableHandbook[],6,FALSE)),"")</f>
        <v>Nil</v>
      </c>
      <c r="G12" s="144">
        <f>IFERROR(IF(VLOOKUP($A12,TableHandbook[],5,FALSE)=0,"",VLOOKUP($A12,TableHandbook[],5,FALSE)),"")</f>
        <v>25</v>
      </c>
      <c r="H12" s="147" t="str">
        <f>IFERROR(VLOOKUP($A12,TableHandbook[],H$2,FALSE),"")</f>
        <v>Y</v>
      </c>
      <c r="I12" s="148" t="str">
        <f>IFERROR(VLOOKUP($A12,TableHandbook[],I$2,FALSE),"")</f>
        <v>Y</v>
      </c>
      <c r="J12" s="147" t="str">
        <f>IFERROR(VLOOKUP($A12,TableHandbook[],J$2,FALSE),"")</f>
        <v>Y</v>
      </c>
      <c r="K12" s="148" t="str">
        <f>IFERROR(VLOOKUP($A12,TableHandbook[],K$2,FALSE),"")</f>
        <v>Y</v>
      </c>
      <c r="L12" s="147" t="str">
        <f>IFERROR(VLOOKUP($A12,TableHandbook[],L$2,FALSE),"")</f>
        <v/>
      </c>
      <c r="M12" s="148" t="str">
        <f>IFERROR(VLOOKUP($A12,TableHandbook[],M$2,FALSE),"")</f>
        <v/>
      </c>
      <c r="N12" s="147" t="str">
        <f>IFERROR(VLOOKUP($A12,TableHandbook[],N$2,FALSE),"")</f>
        <v/>
      </c>
      <c r="O12" s="148" t="str">
        <f>IFERROR(VLOOKUP($A12,TableHandbook[],O$2,FALSE),"")</f>
        <v/>
      </c>
      <c r="P12" s="23"/>
      <c r="Q12" s="149">
        <v>2</v>
      </c>
      <c r="R12" s="150"/>
      <c r="S12" s="150"/>
      <c r="AA12" s="13"/>
    </row>
    <row r="13" spans="1:27" s="14" customFormat="1" ht="21" customHeight="1" x14ac:dyDescent="0.15">
      <c r="A13" s="170" t="str">
        <f>IFERROR(IF(HLOOKUP($P$6,RangeUnitsetsSec,Q13,FALSE)=0,"",HLOOKUP($P$6,RangeUnitsetsSec,Q13,FALSE)),"")</f>
        <v>EDUC5005</v>
      </c>
      <c r="B13" s="144">
        <f>IFERROR(IF(VLOOKUP($A13,TableHandbook[],2,FALSE)=0,"",VLOOKUP($A13,TableHandbook[],2,FALSE)),"")</f>
        <v>2</v>
      </c>
      <c r="C13" s="144" t="str">
        <f>IFERROR(IF(VLOOKUP($A13,TableHandbook[],3,FALSE)=0,"",VLOOKUP($A13,TableHandbook[],3,FALSE)),"")</f>
        <v/>
      </c>
      <c r="D13" s="145" t="str">
        <f>IFERROR(IF(VLOOKUP($A13,TableHandbook[],4,FALSE)=0,"",VLOOKUP($A13,TableHandbook[],4,FALSE)),"")</f>
        <v>Theories of Development and Learning</v>
      </c>
      <c r="E13" s="144" t="str">
        <f>IF(A13="","",E12)</f>
        <v>SSP1</v>
      </c>
      <c r="F13" s="146" t="str">
        <f>IFERROR(IF(VLOOKUP($A13,TableHandbook[],6,FALSE)=0,"",VLOOKUP($A13,TableHandbook[],6,FALSE)),"")</f>
        <v>Nil</v>
      </c>
      <c r="G13" s="144">
        <f>IFERROR(IF(VLOOKUP($A13,TableHandbook[],5,FALSE)=0,"",VLOOKUP($A13,TableHandbook[],5,FALSE)),"")</f>
        <v>25</v>
      </c>
      <c r="H13" s="147" t="str">
        <f>IFERROR(VLOOKUP($A13,TableHandbook[],H$2,FALSE),"")</f>
        <v>Y</v>
      </c>
      <c r="I13" s="148" t="str">
        <f>IFERROR(VLOOKUP($A13,TableHandbook[],I$2,FALSE),"")</f>
        <v>Y</v>
      </c>
      <c r="J13" s="147" t="str">
        <f>IFERROR(VLOOKUP($A13,TableHandbook[],J$2,FALSE),"")</f>
        <v/>
      </c>
      <c r="K13" s="148" t="str">
        <f>IFERROR(VLOOKUP($A13,TableHandbook[],K$2,FALSE),"")</f>
        <v/>
      </c>
      <c r="L13" s="147" t="str">
        <f>IFERROR(VLOOKUP($A13,TableHandbook[],L$2,FALSE),"")</f>
        <v>Y</v>
      </c>
      <c r="M13" s="148" t="str">
        <f>IFERROR(VLOOKUP($A13,TableHandbook[],M$2,FALSE),"")</f>
        <v>Y</v>
      </c>
      <c r="N13" s="147" t="str">
        <f>IFERROR(VLOOKUP($A13,TableHandbook[],N$2,FALSE),"")</f>
        <v/>
      </c>
      <c r="O13" s="148" t="str">
        <f>IFERROR(VLOOKUP($A13,TableHandbook[],O$2,FALSE),"")</f>
        <v/>
      </c>
      <c r="P13" s="23"/>
      <c r="Q13" s="149">
        <v>3</v>
      </c>
      <c r="R13" s="150"/>
      <c r="S13" s="150"/>
      <c r="AA13" s="13"/>
    </row>
    <row r="14" spans="1:27" s="14" customFormat="1" ht="6" customHeight="1" x14ac:dyDescent="0.15">
      <c r="A14" s="171"/>
      <c r="B14" s="172"/>
      <c r="C14" s="172"/>
      <c r="D14" s="173"/>
      <c r="E14" s="172"/>
      <c r="F14" s="174"/>
      <c r="G14" s="172"/>
      <c r="H14" s="175"/>
      <c r="I14" s="176"/>
      <c r="J14" s="175"/>
      <c r="K14" s="176"/>
      <c r="L14" s="175"/>
      <c r="M14" s="176"/>
      <c r="N14" s="175"/>
      <c r="O14" s="176"/>
      <c r="P14" s="106"/>
      <c r="Q14" s="149"/>
      <c r="R14" s="150"/>
      <c r="S14" s="150"/>
      <c r="T14" s="150"/>
      <c r="AA14" s="13"/>
    </row>
    <row r="15" spans="1:27" s="14" customFormat="1" ht="21" customHeight="1" x14ac:dyDescent="0.15">
      <c r="A15" s="143" t="str">
        <f>IFERROR(IF(HLOOKUP($P$6,RangeUnitsetsSec,Q15,FALSE)=0,"",HLOOKUP($P$6,RangeUnitsetsSec,Q15,FALSE)),"")</f>
        <v>EDSC5021</v>
      </c>
      <c r="B15" s="144">
        <f>IFERROR(IF(VLOOKUP($A15,TableHandbook[],2,FALSE)=0,"",VLOOKUP($A15,TableHandbook[],2,FALSE)),"")</f>
        <v>1</v>
      </c>
      <c r="C15" s="144" t="str">
        <f>IFERROR(IF(VLOOKUP($A15,TableHandbook[],3,FALSE)=0,"",VLOOKUP($A15,TableHandbook[],3,FALSE)),"")</f>
        <v/>
      </c>
      <c r="D15" s="145" t="str">
        <f>IFERROR(IF(VLOOKUP($A15,TableHandbook[],4,FALSE)=0,"",VLOOKUP($A15,TableHandbook[],4,FALSE)),"")</f>
        <v>Literacy and Numeracy across the Curriculum</v>
      </c>
      <c r="E15" s="144" t="str">
        <f>IF(OR(A15="",A15="--"),"",VLOOKUP($D$9,TableStudyPeriods[],3,FALSE))</f>
        <v>SSP2</v>
      </c>
      <c r="F15" s="146" t="str">
        <f>IFERROR(IF(VLOOKUP($A15,TableHandbook[],6,FALSE)=0,"",VLOOKUP($A15,TableHandbook[],6,FALSE)),"")</f>
        <v>Nil</v>
      </c>
      <c r="G15" s="144">
        <f>IFERROR(IF(VLOOKUP($A15,TableHandbook[],5,FALSE)=0,"",VLOOKUP($A15,TableHandbook[],5,FALSE)),"")</f>
        <v>25</v>
      </c>
      <c r="H15" s="147" t="str">
        <f>IFERROR(VLOOKUP($A15,TableHandbook[],H$2,FALSE),"")</f>
        <v/>
      </c>
      <c r="I15" s="148" t="str">
        <f>IFERROR(VLOOKUP($A15,TableHandbook[],I$2,FALSE),"")</f>
        <v/>
      </c>
      <c r="J15" s="147" t="str">
        <f>IFERROR(VLOOKUP($A15,TableHandbook[],J$2,FALSE),"")</f>
        <v>Y</v>
      </c>
      <c r="K15" s="148" t="str">
        <f>IFERROR(VLOOKUP($A15,TableHandbook[],K$2,FALSE),"")</f>
        <v>Y</v>
      </c>
      <c r="L15" s="147" t="str">
        <f>IFERROR(VLOOKUP($A15,TableHandbook[],L$2,FALSE),"")</f>
        <v/>
      </c>
      <c r="M15" s="148" t="str">
        <f>IFERROR(VLOOKUP($A15,TableHandbook[],M$2,FALSE),"")</f>
        <v/>
      </c>
      <c r="N15" s="147" t="str">
        <f>IFERROR(VLOOKUP($A15,TableHandbook[],N$2,FALSE),"")</f>
        <v>Y</v>
      </c>
      <c r="O15" s="148" t="str">
        <f>IFERROR(VLOOKUP($A15,TableHandbook[],O$2,FALSE),"")</f>
        <v>Y</v>
      </c>
      <c r="P15" s="24"/>
      <c r="Q15" s="149">
        <v>4</v>
      </c>
      <c r="R15" s="150"/>
      <c r="S15" s="150"/>
      <c r="AA15" s="13"/>
    </row>
    <row r="16" spans="1:27" s="14" customFormat="1" ht="21" customHeight="1" x14ac:dyDescent="0.15">
      <c r="A16" s="143" t="str">
        <f>IFERROR(IF(HLOOKUP($P$6,RangeUnitsetsSec,Q16,FALSE)=0,"",HLOOKUP($P$6,RangeUnitsetsSec,Q16,FALSE)),"")</f>
        <v>EDSC5028</v>
      </c>
      <c r="B16" s="144">
        <f>IFERROR(IF(VLOOKUP($A16,TableHandbook[],2,FALSE)=0,"",VLOOKUP($A16,TableHandbook[],2,FALSE)),"")</f>
        <v>1</v>
      </c>
      <c r="C16" s="144" t="str">
        <f>IFERROR(IF(VLOOKUP($A16,TableHandbook[],3,FALSE)=0,"",VLOOKUP($A16,TableHandbook[],3,FALSE)),"")</f>
        <v/>
      </c>
      <c r="D16" s="145" t="str">
        <f>IFERROR(IF(VLOOKUP($A16,TableHandbook[],4,FALSE)=0,"",VLOOKUP($A16,TableHandbook[],4,FALSE)),"")</f>
        <v>Secondary Professional Experience 1: Planning</v>
      </c>
      <c r="E16" s="144" t="str">
        <f>IF(A16="","",E15)</f>
        <v>SSP2</v>
      </c>
      <c r="F16" s="146" t="str">
        <f>IFERROR(IF(VLOOKUP($A16,TableHandbook[],6,FALSE)=0,"",VLOOKUP($A16,TableHandbook[],6,FALSE)),"")</f>
        <v>Nil</v>
      </c>
      <c r="G16" s="144">
        <f>IFERROR(IF(VLOOKUP($A16,TableHandbook[],5,FALSE)=0,"",VLOOKUP($A16,TableHandbook[],5,FALSE)),"")</f>
        <v>25</v>
      </c>
      <c r="H16" s="147" t="str">
        <f>IFERROR(VLOOKUP($A16,TableHandbook[],H$2,FALSE),"")</f>
        <v>Y</v>
      </c>
      <c r="I16" s="148" t="str">
        <f>IFERROR(VLOOKUP($A16,TableHandbook[],I$2,FALSE),"")</f>
        <v>Y</v>
      </c>
      <c r="J16" s="147" t="str">
        <f>IFERROR(VLOOKUP($A16,TableHandbook[],J$2,FALSE),"")</f>
        <v>Y</v>
      </c>
      <c r="K16" s="148" t="str">
        <f>IFERROR(VLOOKUP($A16,TableHandbook[],K$2,FALSE),"")</f>
        <v>Y</v>
      </c>
      <c r="L16" s="147" t="str">
        <f>IFERROR(VLOOKUP($A16,TableHandbook[],L$2,FALSE),"")</f>
        <v/>
      </c>
      <c r="M16" s="148" t="str">
        <f>IFERROR(VLOOKUP($A16,TableHandbook[],M$2,FALSE),"")</f>
        <v/>
      </c>
      <c r="N16" s="147" t="str">
        <f>IFERROR(VLOOKUP($A16,TableHandbook[],N$2,FALSE),"")</f>
        <v/>
      </c>
      <c r="O16" s="148" t="str">
        <f>IFERROR(VLOOKUP($A16,TableHandbook[],O$2,FALSE),"")</f>
        <v/>
      </c>
      <c r="P16" s="23"/>
      <c r="Q16" s="149">
        <v>5</v>
      </c>
      <c r="R16" s="150"/>
      <c r="S16" s="150"/>
      <c r="AA16" s="13"/>
    </row>
    <row r="17" spans="1:27" s="14" customFormat="1" ht="6" customHeight="1" x14ac:dyDescent="0.15">
      <c r="A17" s="171"/>
      <c r="B17" s="172"/>
      <c r="C17" s="172"/>
      <c r="D17" s="173"/>
      <c r="E17" s="172"/>
      <c r="F17" s="174"/>
      <c r="G17" s="172"/>
      <c r="H17" s="175"/>
      <c r="I17" s="176"/>
      <c r="J17" s="175"/>
      <c r="K17" s="176"/>
      <c r="L17" s="175"/>
      <c r="M17" s="176"/>
      <c r="N17" s="175"/>
      <c r="O17" s="176"/>
      <c r="P17" s="106"/>
      <c r="Q17" s="149"/>
      <c r="R17" s="150"/>
      <c r="S17" s="150"/>
      <c r="T17" s="150"/>
      <c r="AA17" s="13"/>
    </row>
    <row r="18" spans="1:27" s="14" customFormat="1" ht="21" customHeight="1" x14ac:dyDescent="0.15">
      <c r="A18" s="143" t="str">
        <f>IFERROR(IF(HLOOKUP($P$6,RangeUnitsetsSec,Q18,FALSE)=0,"",HLOOKUP($P$6,RangeUnitsetsSec,Q18,FALSE)),"")</f>
        <v>EDSC5022</v>
      </c>
      <c r="B18" s="151">
        <f>IFERROR(IF(VLOOKUP($A18,TableHandbook[],2,FALSE)=0,"",VLOOKUP($A18,TableHandbook[],2,FALSE)),"")</f>
        <v>1</v>
      </c>
      <c r="C18" s="151" t="str">
        <f>IFERROR(IF(VLOOKUP($A18,TableHandbook[],3,FALSE)=0,"",VLOOKUP($A18,TableHandbook[],3,FALSE)),"")</f>
        <v/>
      </c>
      <c r="D18" s="145" t="str">
        <f>IFERROR(IF(VLOOKUP($A18,TableHandbook[],4,FALSE)=0,"",VLOOKUP($A18,TableHandbook[],4,FALSE)),"")</f>
        <v>Managing the Learning Environment</v>
      </c>
      <c r="E18" s="144" t="str">
        <f>IF(OR(A18="",A18="--"),"",VLOOKUP($D$9,TableStudyPeriods[],4,FALSE))</f>
        <v>SSP3</v>
      </c>
      <c r="F18" s="146" t="str">
        <f>IFERROR(IF(VLOOKUP($A18,TableHandbook[],6,FALSE)=0,"",VLOOKUP($A18,TableHandbook[],6,FALSE)),"")</f>
        <v>Nil</v>
      </c>
      <c r="G18" s="151">
        <f>IFERROR(IF(VLOOKUP($A18,TableHandbook[],5,FALSE)=0,"",VLOOKUP($A18,TableHandbook[],5,FALSE)),"")</f>
        <v>25</v>
      </c>
      <c r="H18" s="152" t="str">
        <f>IFERROR(VLOOKUP($A18,TableHandbook[],H$2,FALSE),"")</f>
        <v>Y</v>
      </c>
      <c r="I18" s="153" t="str">
        <f>IFERROR(VLOOKUP($A18,TableHandbook[],I$2,FALSE),"")</f>
        <v>Y</v>
      </c>
      <c r="J18" s="152" t="str">
        <f>IFERROR(VLOOKUP($A18,TableHandbook[],J$2,FALSE),"")</f>
        <v/>
      </c>
      <c r="K18" s="153" t="str">
        <f>IFERROR(VLOOKUP($A18,TableHandbook[],K$2,FALSE),"")</f>
        <v/>
      </c>
      <c r="L18" s="152" t="str">
        <f>IFERROR(VLOOKUP($A18,TableHandbook[],L$2,FALSE),"")</f>
        <v>Y</v>
      </c>
      <c r="M18" s="153" t="str">
        <f>IFERROR(VLOOKUP($A18,TableHandbook[],M$2,FALSE),"")</f>
        <v>Y</v>
      </c>
      <c r="N18" s="152" t="str">
        <f>IFERROR(VLOOKUP($A18,TableHandbook[],N$2,FALSE),"")</f>
        <v/>
      </c>
      <c r="O18" s="153" t="str">
        <f>IFERROR(VLOOKUP($A18,TableHandbook[],O$2,FALSE),"")</f>
        <v/>
      </c>
      <c r="P18" s="24"/>
      <c r="Q18" s="149">
        <v>6</v>
      </c>
      <c r="R18" s="150"/>
      <c r="S18" s="150"/>
      <c r="AA18" s="13"/>
    </row>
    <row r="19" spans="1:27" s="16" customFormat="1" ht="21" customHeight="1" x14ac:dyDescent="0.15">
      <c r="A19" s="143" t="str">
        <f>IFERROR(IF(HLOOKUP($P$6,RangeUnitsetsSec,Q19,FALSE)=0,"",HLOOKUP($P$6,RangeUnitsetsSec,Q19,FALSE)),"")</f>
        <v>EDSC5029</v>
      </c>
      <c r="B19" s="151">
        <f>IFERROR(IF(VLOOKUP($A19,TableHandbook[],2,FALSE)=0,"",VLOOKUP($A19,TableHandbook[],2,FALSE)),"")</f>
        <v>1</v>
      </c>
      <c r="C19" s="151" t="str">
        <f>IFERROR(IF(VLOOKUP($A19,TableHandbook[],3,FALSE)=0,"",VLOOKUP($A19,TableHandbook[],3,FALSE)),"")</f>
        <v/>
      </c>
      <c r="D19" s="145" t="str">
        <f>IFERROR(IF(VLOOKUP($A19,TableHandbook[],4,FALSE)=0,"",VLOOKUP($A19,TableHandbook[],4,FALSE)),"")</f>
        <v>Secondary Professional Experience 2: Assessment and Reporting</v>
      </c>
      <c r="E19" s="144" t="str">
        <f>IF(A19="","",E18)</f>
        <v>SSP3</v>
      </c>
      <c r="F19" s="146" t="str">
        <f>IFERROR(IF(VLOOKUP($A19,TableHandbook[],6,FALSE)=0,"",VLOOKUP($A19,TableHandbook[],6,FALSE)),"")</f>
        <v>EDSC5028</v>
      </c>
      <c r="G19" s="151">
        <f>IFERROR(IF(VLOOKUP($A19,TableHandbook[],5,FALSE)=0,"",VLOOKUP($A19,TableHandbook[],5,FALSE)),"")</f>
        <v>25</v>
      </c>
      <c r="H19" s="152" t="str">
        <f>IFERROR(VLOOKUP($A19,TableHandbook[],H$2,FALSE),"")</f>
        <v/>
      </c>
      <c r="I19" s="153" t="str">
        <f>IFERROR(VLOOKUP($A19,TableHandbook[],I$2,FALSE),"")</f>
        <v/>
      </c>
      <c r="J19" s="152" t="str">
        <f>IFERROR(VLOOKUP($A19,TableHandbook[],J$2,FALSE),"")</f>
        <v>Y</v>
      </c>
      <c r="K19" s="153" t="str">
        <f>IFERROR(VLOOKUP($A19,TableHandbook[],K$2,FALSE),"")</f>
        <v>Y</v>
      </c>
      <c r="L19" s="152" t="str">
        <f>IFERROR(VLOOKUP($A19,TableHandbook[],L$2,FALSE),"")</f>
        <v>Y</v>
      </c>
      <c r="M19" s="153" t="str">
        <f>IFERROR(VLOOKUP($A19,TableHandbook[],M$2,FALSE),"")</f>
        <v>Y</v>
      </c>
      <c r="N19" s="152" t="str">
        <f>IFERROR(VLOOKUP($A19,TableHandbook[],N$2,FALSE),"")</f>
        <v/>
      </c>
      <c r="O19" s="153" t="str">
        <f>IFERROR(VLOOKUP($A19,TableHandbook[],O$2,FALSE),"")</f>
        <v/>
      </c>
      <c r="P19" s="24"/>
      <c r="Q19" s="149">
        <v>7</v>
      </c>
      <c r="R19" s="154"/>
      <c r="S19" s="154"/>
      <c r="AA19" s="15"/>
    </row>
    <row r="20" spans="1:27" s="14" customFormat="1" ht="6" customHeight="1" x14ac:dyDescent="0.15">
      <c r="A20" s="171"/>
      <c r="B20" s="172"/>
      <c r="C20" s="172"/>
      <c r="D20" s="173"/>
      <c r="E20" s="172"/>
      <c r="F20" s="174"/>
      <c r="G20" s="172"/>
      <c r="H20" s="175"/>
      <c r="I20" s="176"/>
      <c r="J20" s="175"/>
      <c r="K20" s="176"/>
      <c r="L20" s="175"/>
      <c r="M20" s="176"/>
      <c r="N20" s="175"/>
      <c r="O20" s="176"/>
      <c r="P20" s="106"/>
      <c r="Q20" s="149"/>
      <c r="R20" s="150"/>
      <c r="S20" s="150"/>
      <c r="T20" s="150"/>
      <c r="AA20" s="13"/>
    </row>
    <row r="21" spans="1:27" s="16" customFormat="1" ht="21" customHeight="1" x14ac:dyDescent="0.15">
      <c r="A21" s="143" t="str">
        <f>IFERROR(IF(HLOOKUP($P$6,RangeUnitsetsSec,Q21,FALSE)=0,"",HLOOKUP($P$6,RangeUnitsetsSec,Q21,FALSE)),"")</f>
        <v>FTAL</v>
      </c>
      <c r="B21" s="151" t="str">
        <f>IFERROR(IF(VLOOKUP($A21,TableHandbook[],2,FALSE)=0,"",VLOOKUP($A21,TableHandbook[],2,FALSE)),"")</f>
        <v/>
      </c>
      <c r="C21" s="151" t="str">
        <f>IFERROR(IF(VLOOKUP($A21,TableHandbook[],3,FALSE)=0,"",VLOOKUP($A21,TableHandbook[],3,FALSE)),"")</f>
        <v/>
      </c>
      <c r="D21" s="145" t="str">
        <f>IFERROR(IF(VLOOKUP($A21,TableHandbook[],4,FALSE)=0,"",VLOOKUP($A21,TableHandbook[],4,FALSE)),"")</f>
        <v>First Teaching Area LOWER subject (see below)</v>
      </c>
      <c r="E21" s="144" t="str">
        <f>IF(OR(A21="",A21="--"),"",VLOOKUP($D$9,TableStudyPeriods[],5,FALSE))</f>
        <v>SSP4</v>
      </c>
      <c r="F21" s="146" t="str">
        <f>IFERROR(IF(VLOOKUP($A21,TableHandbook[],6,FALSE)=0,"",VLOOKUP($A21,TableHandbook[],6,FALSE)),"")</f>
        <v>See below</v>
      </c>
      <c r="G21" s="151">
        <f>IFERROR(IF(VLOOKUP($A21,TableHandbook[],5,FALSE)=0,"",VLOOKUP($A21,TableHandbook[],5,FALSE)),"")</f>
        <v>25</v>
      </c>
      <c r="H21" s="152" t="str">
        <f>IFERROR(VLOOKUP($A21,TableHandbook[],H$2,FALSE),"")</f>
        <v/>
      </c>
      <c r="I21" s="153" t="str">
        <f>IFERROR(VLOOKUP($A21,TableHandbook[],I$2,FALSE),"")</f>
        <v/>
      </c>
      <c r="J21" s="152" t="str">
        <f>IFERROR(VLOOKUP($A21,TableHandbook[],J$2,FALSE),"")</f>
        <v/>
      </c>
      <c r="K21" s="153" t="str">
        <f>IFERROR(VLOOKUP($A21,TableHandbook[],K$2,FALSE),"")</f>
        <v/>
      </c>
      <c r="L21" s="152" t="str">
        <f>IFERROR(VLOOKUP($A21,TableHandbook[],L$2,FALSE),"")</f>
        <v/>
      </c>
      <c r="M21" s="153" t="str">
        <f>IFERROR(VLOOKUP($A21,TableHandbook[],M$2,FALSE),"")</f>
        <v/>
      </c>
      <c r="N21" s="152" t="str">
        <f>IFERROR(VLOOKUP($A21,TableHandbook[],N$2,FALSE),"")</f>
        <v/>
      </c>
      <c r="O21" s="153" t="str">
        <f>IFERROR(VLOOKUP($A21,TableHandbook[],O$2,FALSE),"")</f>
        <v/>
      </c>
      <c r="P21" s="24"/>
      <c r="Q21" s="149">
        <v>8</v>
      </c>
      <c r="R21" s="154"/>
      <c r="S21" s="154"/>
      <c r="AA21" s="15"/>
    </row>
    <row r="22" spans="1:27" s="16" customFormat="1" ht="21" customHeight="1" x14ac:dyDescent="0.15">
      <c r="A22" s="143" t="str">
        <f>IFERROR(IF(HLOOKUP($P$6,RangeUnitsetsSec,Q22,FALSE)=0,"",HLOOKUP($P$6,RangeUnitsetsSec,Q22,FALSE)),"")</f>
        <v>STAL</v>
      </c>
      <c r="B22" s="151" t="str">
        <f>IFERROR(IF(VLOOKUP($A22,TableHandbook[],2,FALSE)=0,"",VLOOKUP($A22,TableHandbook[],2,FALSE)),"")</f>
        <v/>
      </c>
      <c r="C22" s="151" t="str">
        <f>IFERROR(IF(VLOOKUP($A22,TableHandbook[],3,FALSE)=0,"",VLOOKUP($A22,TableHandbook[],3,FALSE)),"")</f>
        <v/>
      </c>
      <c r="D22" s="177" t="str">
        <f>IFERROR(IF(VLOOKUP($A22,TableHandbook[],4,FALSE)=0,"",VLOOKUP($A22,TableHandbook[],4,FALSE)),"")</f>
        <v>Second Teaching Area LOWER subject (see below)</v>
      </c>
      <c r="E22" s="151" t="str">
        <f>IF(A22="","",E21)</f>
        <v>SSP4</v>
      </c>
      <c r="F22" s="146" t="str">
        <f>IFERROR(IF(VLOOKUP($A22,TableHandbook[],6,FALSE)=0,"",VLOOKUP($A22,TableHandbook[],6,FALSE)),"")</f>
        <v>See below</v>
      </c>
      <c r="G22" s="151">
        <f>IFERROR(IF(VLOOKUP($A22,TableHandbook[],5,FALSE)=0,"",VLOOKUP($A22,TableHandbook[],5,FALSE)),"")</f>
        <v>25</v>
      </c>
      <c r="H22" s="152" t="str">
        <f>IFERROR(VLOOKUP($A22,TableHandbook[],H$2,FALSE),"")</f>
        <v/>
      </c>
      <c r="I22" s="153" t="str">
        <f>IFERROR(VLOOKUP($A22,TableHandbook[],I$2,FALSE),"")</f>
        <v/>
      </c>
      <c r="J22" s="152" t="str">
        <f>IFERROR(VLOOKUP($A22,TableHandbook[],J$2,FALSE),"")</f>
        <v/>
      </c>
      <c r="K22" s="153" t="str">
        <f>IFERROR(VLOOKUP($A22,TableHandbook[],K$2,FALSE),"")</f>
        <v/>
      </c>
      <c r="L22" s="152" t="str">
        <f>IFERROR(VLOOKUP($A22,TableHandbook[],L$2,FALSE),"")</f>
        <v/>
      </c>
      <c r="M22" s="153" t="str">
        <f>IFERROR(VLOOKUP($A22,TableHandbook[],M$2,FALSE),"")</f>
        <v/>
      </c>
      <c r="N22" s="152" t="str">
        <f>IFERROR(VLOOKUP($A22,TableHandbook[],N$2,FALSE),"")</f>
        <v/>
      </c>
      <c r="O22" s="153" t="str">
        <f>IFERROR(VLOOKUP($A22,TableHandbook[],O$2,FALSE),"")</f>
        <v/>
      </c>
      <c r="P22" s="24"/>
      <c r="Q22" s="149">
        <v>9</v>
      </c>
      <c r="R22" s="154"/>
      <c r="S22" s="154"/>
      <c r="AA22" s="15"/>
    </row>
    <row r="23" spans="1:27" s="12" customFormat="1" ht="31.5" x14ac:dyDescent="0.25">
      <c r="A23" s="133" t="s">
        <v>33</v>
      </c>
      <c r="B23" s="133"/>
      <c r="C23" s="133"/>
      <c r="D23" s="134" t="s">
        <v>3</v>
      </c>
      <c r="E23" s="140" t="s">
        <v>21</v>
      </c>
      <c r="F23" s="133" t="s">
        <v>22</v>
      </c>
      <c r="G23" s="133" t="s">
        <v>23</v>
      </c>
      <c r="H23" s="141" t="str">
        <f>H$11</f>
        <v>SSP1 BEN</v>
      </c>
      <c r="I23" s="142" t="str">
        <f t="shared" ref="I23:P23" si="0">I$11</f>
        <v>SSP1 FO</v>
      </c>
      <c r="J23" s="141" t="str">
        <f t="shared" si="0"/>
        <v>SSP2 BEN</v>
      </c>
      <c r="K23" s="142" t="str">
        <f t="shared" si="0"/>
        <v>SSP2 FO</v>
      </c>
      <c r="L23" s="141" t="str">
        <f t="shared" si="0"/>
        <v>SSP3 BEN</v>
      </c>
      <c r="M23" s="142" t="str">
        <f t="shared" si="0"/>
        <v>SSP3 FO</v>
      </c>
      <c r="N23" s="141" t="str">
        <f t="shared" si="0"/>
        <v>SSP4 BEN</v>
      </c>
      <c r="O23" s="142" t="str">
        <f t="shared" si="0"/>
        <v>SSP4 FO</v>
      </c>
      <c r="P23" s="133" t="str">
        <f t="shared" si="0"/>
        <v>Notes / Progress</v>
      </c>
      <c r="Q23" s="157"/>
      <c r="R23" s="139"/>
      <c r="S23" s="139"/>
      <c r="AA23" s="11"/>
    </row>
    <row r="24" spans="1:27" s="14" customFormat="1" ht="21" customHeight="1" x14ac:dyDescent="0.15">
      <c r="A24" s="143" t="str">
        <f>IFERROR(IF(HLOOKUP($P$6,RangeUnitsetsSec,Q24,FALSE)=0,"",HLOOKUP($P$6,RangeUnitsetsSec,Q24,FALSE)),"")</f>
        <v>EDSC6000</v>
      </c>
      <c r="B24" s="151">
        <f>IFERROR(IF(VLOOKUP($A24,TableHandbook[],2,FALSE)=0,"",VLOOKUP($A24,TableHandbook[],2,FALSE)),"")</f>
        <v>1</v>
      </c>
      <c r="C24" s="151" t="str">
        <f>IFERROR(IF(VLOOKUP($A24,TableHandbook[],3,FALSE)=0,"",VLOOKUP($A24,TableHandbook[],3,FALSE)),"")</f>
        <v/>
      </c>
      <c r="D24" s="158" t="str">
        <f>IFERROR(IF(VLOOKUP($A24,TableHandbook[],4,FALSE)=0,"",VLOOKUP($A24,TableHandbook[],4,FALSE)),"")</f>
        <v>Research-Based Inquiry to Enhance Practice</v>
      </c>
      <c r="E24" s="151" t="str">
        <f>IF(OR(A24="",A24="--"),"",VLOOKUP($D$9,TableStudyPeriods[],2,FALSE))</f>
        <v>SSP1</v>
      </c>
      <c r="F24" s="146" t="str">
        <f>IFERROR(IF(VLOOKUP($A24,TableHandbook[],6,FALSE)=0,"",VLOOKUP($A24,TableHandbook[],6,FALSE)),"")</f>
        <v>Nil</v>
      </c>
      <c r="G24" s="144">
        <f>IFERROR(IF(VLOOKUP($A24,TableHandbook[],5,FALSE)=0,"",VLOOKUP($A24,TableHandbook[],5,FALSE)),"")</f>
        <v>25</v>
      </c>
      <c r="H24" s="147" t="str">
        <f>IFERROR(VLOOKUP($A24,TableHandbook[],H$2,FALSE),"")</f>
        <v>Y</v>
      </c>
      <c r="I24" s="148" t="str">
        <f>IFERROR(VLOOKUP($A24,TableHandbook[],I$2,FALSE),"")</f>
        <v>Y</v>
      </c>
      <c r="J24" s="147" t="str">
        <f>IFERROR(VLOOKUP($A24,TableHandbook[],J$2,FALSE),"")</f>
        <v/>
      </c>
      <c r="K24" s="148" t="str">
        <f>IFERROR(VLOOKUP($A24,TableHandbook[],K$2,FALSE),"")</f>
        <v/>
      </c>
      <c r="L24" s="147" t="str">
        <f>IFERROR(VLOOKUP($A24,TableHandbook[],L$2,FALSE),"")</f>
        <v/>
      </c>
      <c r="M24" s="148" t="str">
        <f>IFERROR(VLOOKUP($A24,TableHandbook[],M$2,FALSE),"")</f>
        <v/>
      </c>
      <c r="N24" s="147" t="str">
        <f>IFERROR(VLOOKUP($A24,TableHandbook[],N$2,FALSE),"")</f>
        <v/>
      </c>
      <c r="O24" s="148" t="str">
        <f>IFERROR(VLOOKUP($A24,TableHandbook[],O$2,FALSE),"")</f>
        <v/>
      </c>
      <c r="P24" s="22"/>
      <c r="Q24" s="149">
        <v>10</v>
      </c>
      <c r="R24" s="150"/>
      <c r="S24" s="150"/>
      <c r="AA24" s="13"/>
    </row>
    <row r="25" spans="1:27" s="14" customFormat="1" ht="21" customHeight="1" x14ac:dyDescent="0.15">
      <c r="A25" s="143" t="str">
        <f>IFERROR(IF(HLOOKUP($P$6,RangeUnitsetsSec,Q25,FALSE)=0,"",HLOOKUP($P$6,RangeUnitsetsSec,Q25,FALSE)),"")</f>
        <v>EDUC6062</v>
      </c>
      <c r="B25" s="151">
        <f>IFERROR(IF(VLOOKUP($A25,TableHandbook[],2,FALSE)=0,"",VLOOKUP($A25,TableHandbook[],2,FALSE)),"")</f>
        <v>1</v>
      </c>
      <c r="C25" s="151" t="str">
        <f>IFERROR(IF(VLOOKUP($A25,TableHandbook[],3,FALSE)=0,"",VLOOKUP($A25,TableHandbook[],3,FALSE)),"")</f>
        <v/>
      </c>
      <c r="D25" s="177" t="str">
        <f>IFERROR(IF(VLOOKUP($A25,TableHandbook[],4,FALSE)=0,"",VLOOKUP($A25,TableHandbook[],4,FALSE)),"")</f>
        <v>Professional Experience 3: Using Data to Inform Teaching and Learning</v>
      </c>
      <c r="E25" s="151" t="str">
        <f>IF(A25="","",E24)</f>
        <v>SSP1</v>
      </c>
      <c r="F25" s="146" t="str">
        <f>IFERROR(IF(VLOOKUP($A25,TableHandbook[],6,FALSE)=0,"",VLOOKUP($A25,TableHandbook[],6,FALSE)),"")</f>
        <v>EDEC5001 or EDPR5001 or EDSC5029</v>
      </c>
      <c r="G25" s="144">
        <f>IFERROR(IF(VLOOKUP($A25,TableHandbook[],5,FALSE)=0,"",VLOOKUP($A25,TableHandbook[],5,FALSE)),"")</f>
        <v>25</v>
      </c>
      <c r="H25" s="147" t="str">
        <f>IFERROR(VLOOKUP($A25,TableHandbook[],H$2,FALSE),"")</f>
        <v>Y</v>
      </c>
      <c r="I25" s="148" t="str">
        <f>IFERROR(VLOOKUP($A25,TableHandbook[],I$2,FALSE),"")</f>
        <v>Y</v>
      </c>
      <c r="J25" s="147" t="str">
        <f>IFERROR(VLOOKUP($A25,TableHandbook[],J$2,FALSE),"")</f>
        <v/>
      </c>
      <c r="K25" s="148" t="str">
        <f>IFERROR(VLOOKUP($A25,TableHandbook[],K$2,FALSE),"")</f>
        <v/>
      </c>
      <c r="L25" s="147" t="str">
        <f>IFERROR(VLOOKUP($A25,TableHandbook[],L$2,FALSE),"")</f>
        <v>Y</v>
      </c>
      <c r="M25" s="148" t="str">
        <f>IFERROR(VLOOKUP($A25,TableHandbook[],M$2,FALSE),"")</f>
        <v>Y</v>
      </c>
      <c r="N25" s="147" t="str">
        <f>IFERROR(VLOOKUP($A25,TableHandbook[],N$2,FALSE),"")</f>
        <v/>
      </c>
      <c r="O25" s="148" t="str">
        <f>IFERROR(VLOOKUP($A25,TableHandbook[],O$2,FALSE),"")</f>
        <v/>
      </c>
      <c r="P25" s="22"/>
      <c r="Q25" s="149">
        <v>11</v>
      </c>
      <c r="R25" s="150"/>
      <c r="S25" s="150"/>
      <c r="AA25" s="13"/>
    </row>
    <row r="26" spans="1:27" s="14" customFormat="1" ht="6" customHeight="1" x14ac:dyDescent="0.15">
      <c r="A26" s="171"/>
      <c r="B26" s="172"/>
      <c r="C26" s="172"/>
      <c r="D26" s="173"/>
      <c r="E26" s="172"/>
      <c r="F26" s="174"/>
      <c r="G26" s="172"/>
      <c r="H26" s="175"/>
      <c r="I26" s="176"/>
      <c r="J26" s="175"/>
      <c r="K26" s="176"/>
      <c r="L26" s="175"/>
      <c r="M26" s="176"/>
      <c r="N26" s="175"/>
      <c r="O26" s="176"/>
      <c r="P26" s="106"/>
      <c r="Q26" s="149"/>
      <c r="R26" s="150"/>
      <c r="S26" s="150"/>
      <c r="T26" s="150"/>
      <c r="AA26" s="13"/>
    </row>
    <row r="27" spans="1:27" s="14" customFormat="1" ht="21" customHeight="1" x14ac:dyDescent="0.15">
      <c r="A27" s="143" t="str">
        <f>IFERROR(IF(HLOOKUP($P$6,RangeUnitsetsSec,Q27,FALSE)=0,"",HLOOKUP($P$6,RangeUnitsetsSec,Q27,FALSE)),"")</f>
        <v>FTAS</v>
      </c>
      <c r="B27" s="151" t="str">
        <f>IFERROR(IF(VLOOKUP($A27,TableHandbook[],2,FALSE)=0,"",VLOOKUP($A27,TableHandbook[],2,FALSE)),"")</f>
        <v/>
      </c>
      <c r="C27" s="151" t="str">
        <f>IFERROR(IF(VLOOKUP($A27,TableHandbook[],3,FALSE)=0,"",VLOOKUP($A27,TableHandbook[],3,FALSE)),"")</f>
        <v/>
      </c>
      <c r="D27" s="177" t="str">
        <f>IFERROR(IF(VLOOKUP($A27,TableHandbook[],4,FALSE)=0,"",VLOOKUP($A27,TableHandbook[],4,FALSE)),"")</f>
        <v>First Teaching Area SENIOR subject (see below)</v>
      </c>
      <c r="E27" s="151" t="str">
        <f>IF(OR(A27="",A27="--"),"",VLOOKUP($D$9,TableStudyPeriods[],3,FALSE))</f>
        <v>SSP2</v>
      </c>
      <c r="F27" s="146" t="str">
        <f>IFERROR(IF(VLOOKUP($A27,TableHandbook[],6,FALSE)=0,"",VLOOKUP($A27,TableHandbook[],6,FALSE)),"")</f>
        <v>See below</v>
      </c>
      <c r="G27" s="144">
        <f>IFERROR(IF(VLOOKUP($A27,TableHandbook[],5,FALSE)=0,"",VLOOKUP($A27,TableHandbook[],5,FALSE)),"")</f>
        <v>25</v>
      </c>
      <c r="H27" s="147" t="str">
        <f>IFERROR(VLOOKUP($A27,TableHandbook[],H$2,FALSE),"")</f>
        <v/>
      </c>
      <c r="I27" s="148" t="str">
        <f>IFERROR(VLOOKUP($A27,TableHandbook[],I$2,FALSE),"")</f>
        <v/>
      </c>
      <c r="J27" s="147" t="str">
        <f>IFERROR(VLOOKUP($A27,TableHandbook[],J$2,FALSE),"")</f>
        <v/>
      </c>
      <c r="K27" s="148" t="str">
        <f>IFERROR(VLOOKUP($A27,TableHandbook[],K$2,FALSE),"")</f>
        <v/>
      </c>
      <c r="L27" s="147" t="str">
        <f>IFERROR(VLOOKUP($A27,TableHandbook[],L$2,FALSE),"")</f>
        <v/>
      </c>
      <c r="M27" s="148" t="str">
        <f>IFERROR(VLOOKUP($A27,TableHandbook[],M$2,FALSE),"")</f>
        <v/>
      </c>
      <c r="N27" s="147" t="str">
        <f>IFERROR(VLOOKUP($A27,TableHandbook[],N$2,FALSE),"")</f>
        <v/>
      </c>
      <c r="O27" s="148" t="str">
        <f>IFERROR(VLOOKUP($A27,TableHandbook[],O$2,FALSE),"")</f>
        <v/>
      </c>
      <c r="P27" s="22"/>
      <c r="Q27" s="149">
        <v>12</v>
      </c>
      <c r="R27" s="150"/>
      <c r="S27" s="150"/>
      <c r="AA27" s="13"/>
    </row>
    <row r="28" spans="1:27" s="14" customFormat="1" ht="21" customHeight="1" x14ac:dyDescent="0.15">
      <c r="A28" s="143" t="str">
        <f>IFERROR(IF(HLOOKUP($P$6,RangeUnitsetsSec,Q28,FALSE)=0,"",HLOOKUP($P$6,RangeUnitsetsSec,Q28,FALSE)),"")</f>
        <v>STAS</v>
      </c>
      <c r="B28" s="151" t="str">
        <f>IFERROR(IF(VLOOKUP($A28,TableHandbook[],2,FALSE)=0,"",VLOOKUP($A28,TableHandbook[],2,FALSE)),"")</f>
        <v/>
      </c>
      <c r="C28" s="151" t="str">
        <f>IFERROR(IF(VLOOKUP($A28,TableHandbook[],3,FALSE)=0,"",VLOOKUP($A28,TableHandbook[],3,FALSE)),"")</f>
        <v/>
      </c>
      <c r="D28" s="177" t="str">
        <f>IFERROR(IF(VLOOKUP($A28,TableHandbook[],4,FALSE)=0,"",VLOOKUP($A28,TableHandbook[],4,FALSE)),"")</f>
        <v>Second Teaching Area SENIOR subject (see below)</v>
      </c>
      <c r="E28" s="151" t="str">
        <f>IF(A28="","",E27)</f>
        <v>SSP2</v>
      </c>
      <c r="F28" s="146" t="str">
        <f>IFERROR(IF(VLOOKUP($A28,TableHandbook[],6,FALSE)=0,"",VLOOKUP($A28,TableHandbook[],6,FALSE)),"")</f>
        <v>See below</v>
      </c>
      <c r="G28" s="144">
        <f>IFERROR(IF(VLOOKUP($A28,TableHandbook[],5,FALSE)=0,"",VLOOKUP($A28,TableHandbook[],5,FALSE)),"")</f>
        <v>25</v>
      </c>
      <c r="H28" s="147" t="str">
        <f>IFERROR(VLOOKUP($A28,TableHandbook[],H$2,FALSE),"")</f>
        <v/>
      </c>
      <c r="I28" s="148" t="str">
        <f>IFERROR(VLOOKUP($A28,TableHandbook[],I$2,FALSE),"")</f>
        <v/>
      </c>
      <c r="J28" s="147" t="str">
        <f>IFERROR(VLOOKUP($A28,TableHandbook[],J$2,FALSE),"")</f>
        <v/>
      </c>
      <c r="K28" s="148" t="str">
        <f>IFERROR(VLOOKUP($A28,TableHandbook[],K$2,FALSE),"")</f>
        <v/>
      </c>
      <c r="L28" s="147" t="str">
        <f>IFERROR(VLOOKUP($A28,TableHandbook[],L$2,FALSE),"")</f>
        <v/>
      </c>
      <c r="M28" s="148" t="str">
        <f>IFERROR(VLOOKUP($A28,TableHandbook[],M$2,FALSE),"")</f>
        <v/>
      </c>
      <c r="N28" s="147" t="str">
        <f>IFERROR(VLOOKUP($A28,TableHandbook[],N$2,FALSE),"")</f>
        <v/>
      </c>
      <c r="O28" s="148" t="str">
        <f>IFERROR(VLOOKUP($A28,TableHandbook[],O$2,FALSE),"")</f>
        <v/>
      </c>
      <c r="P28" s="22"/>
      <c r="Q28" s="149">
        <v>13</v>
      </c>
      <c r="R28" s="150"/>
      <c r="S28" s="150"/>
      <c r="AA28" s="13"/>
    </row>
    <row r="29" spans="1:27" s="14" customFormat="1" ht="6" customHeight="1" x14ac:dyDescent="0.15">
      <c r="A29" s="171"/>
      <c r="B29" s="172"/>
      <c r="C29" s="172"/>
      <c r="D29" s="173"/>
      <c r="E29" s="172"/>
      <c r="F29" s="174"/>
      <c r="G29" s="172"/>
      <c r="H29" s="175"/>
      <c r="I29" s="176"/>
      <c r="J29" s="175"/>
      <c r="K29" s="176"/>
      <c r="L29" s="175"/>
      <c r="M29" s="176"/>
      <c r="N29" s="175"/>
      <c r="O29" s="176"/>
      <c r="P29" s="106"/>
      <c r="Q29" s="149"/>
      <c r="R29" s="150"/>
      <c r="S29" s="150"/>
      <c r="T29" s="150"/>
      <c r="AA29" s="13"/>
    </row>
    <row r="30" spans="1:27" s="14" customFormat="1" ht="21" customHeight="1" x14ac:dyDescent="0.15">
      <c r="A30" s="143" t="str">
        <f>IFERROR(IF(HLOOKUP($P$6,RangeUnitsetsSec,Q30,FALSE)=0,"",HLOOKUP($P$6,RangeUnitsetsSec,Q30,FALSE)),"")</f>
        <v>EDUC5009</v>
      </c>
      <c r="B30" s="151">
        <f>IFERROR(IF(VLOOKUP($A30,TableHandbook[],2,FALSE)=0,"",VLOOKUP($A30,TableHandbook[],2,FALSE)),"")</f>
        <v>1</v>
      </c>
      <c r="C30" s="151" t="str">
        <f>IFERROR(IF(VLOOKUP($A30,TableHandbook[],3,FALSE)=0,"",VLOOKUP($A30,TableHandbook[],3,FALSE)),"")</f>
        <v/>
      </c>
      <c r="D30" s="177" t="str">
        <f>IFERROR(IF(VLOOKUP($A30,TableHandbook[],4,FALSE)=0,"",VLOOKUP($A30,TableHandbook[],4,FALSE)),"")</f>
        <v>Pedagogies for Diversity</v>
      </c>
      <c r="E30" s="151" t="str">
        <f>IF(OR(A30="",A30="--"),"",VLOOKUP($D$9,TableStudyPeriods[],4,FALSE))</f>
        <v>SSP3</v>
      </c>
      <c r="F30" s="146" t="str">
        <f>IFERROR(IF(VLOOKUP($A30,TableHandbook[],6,FALSE)=0,"",VLOOKUP($A30,TableHandbook[],6,FALSE)),"")</f>
        <v>Nil</v>
      </c>
      <c r="G30" s="144">
        <f>IFERROR(IF(VLOOKUP($A30,TableHandbook[],5,FALSE)=0,"",VLOOKUP($A30,TableHandbook[],5,FALSE)),"")</f>
        <v>25</v>
      </c>
      <c r="H30" s="152" t="str">
        <f>IFERROR(VLOOKUP($A30,TableHandbook[],H$2,FALSE),"")</f>
        <v>Y</v>
      </c>
      <c r="I30" s="153" t="str">
        <f>IFERROR(VLOOKUP($A30,TableHandbook[],I$2,FALSE),"")</f>
        <v>Y</v>
      </c>
      <c r="J30" s="152" t="str">
        <f>IFERROR(VLOOKUP($A30,TableHandbook[],J$2,FALSE),"")</f>
        <v/>
      </c>
      <c r="K30" s="153" t="str">
        <f>IFERROR(VLOOKUP($A30,TableHandbook[],K$2,FALSE),"")</f>
        <v/>
      </c>
      <c r="L30" s="152" t="str">
        <f>IFERROR(VLOOKUP($A30,TableHandbook[],L$2,FALSE),"")</f>
        <v>Y</v>
      </c>
      <c r="M30" s="153" t="str">
        <f>IFERROR(VLOOKUP($A30,TableHandbook[],M$2,FALSE),"")</f>
        <v>Y</v>
      </c>
      <c r="N30" s="152" t="str">
        <f>IFERROR(VLOOKUP($A30,TableHandbook[],N$2,FALSE),"")</f>
        <v/>
      </c>
      <c r="O30" s="153" t="str">
        <f>IFERROR(VLOOKUP($A30,TableHandbook[],O$2,FALSE),"")</f>
        <v/>
      </c>
      <c r="P30" s="22"/>
      <c r="Q30" s="149">
        <v>14</v>
      </c>
      <c r="R30" s="150"/>
      <c r="S30" s="150"/>
      <c r="AA30" s="13"/>
    </row>
    <row r="31" spans="1:27" s="14" customFormat="1" ht="21" customHeight="1" x14ac:dyDescent="0.15">
      <c r="A31" s="143" t="str">
        <f>IFERROR(IF(HLOOKUP($P$6,RangeUnitsetsSec,Q31,FALSE)=0,"",HLOOKUP($P$6,RangeUnitsetsSec,Q31,FALSE)),"")</f>
        <v>EDUC5006</v>
      </c>
      <c r="B31" s="151">
        <f>IFERROR(IF(VLOOKUP($A31,TableHandbook[],2,FALSE)=0,"",VLOOKUP($A31,TableHandbook[],2,FALSE)),"")</f>
        <v>1</v>
      </c>
      <c r="C31" s="151" t="str">
        <f>IFERROR(IF(VLOOKUP($A31,TableHandbook[],3,FALSE)=0,"",VLOOKUP($A31,TableHandbook[],3,FALSE)),"")</f>
        <v/>
      </c>
      <c r="D31" s="177" t="str">
        <f>IFERROR(IF(VLOOKUP($A31,TableHandbook[],4,FALSE)=0,"",VLOOKUP($A31,TableHandbook[],4,FALSE)),"")</f>
        <v>Creative Technologies</v>
      </c>
      <c r="E31" s="151" t="str">
        <f>IF(A31="","",E30)</f>
        <v>SSP3</v>
      </c>
      <c r="F31" s="146" t="str">
        <f>IFERROR(IF(VLOOKUP($A31,TableHandbook[],6,FALSE)=0,"",VLOOKUP($A31,TableHandbook[],6,FALSE)),"")</f>
        <v>Nil</v>
      </c>
      <c r="G31" s="144">
        <f>IFERROR(IF(VLOOKUP($A31,TableHandbook[],5,FALSE)=0,"",VLOOKUP($A31,TableHandbook[],5,FALSE)),"")</f>
        <v>25</v>
      </c>
      <c r="H31" s="152" t="str">
        <f>IFERROR(VLOOKUP($A31,TableHandbook[],H$2,FALSE),"")</f>
        <v/>
      </c>
      <c r="I31" s="153" t="str">
        <f>IFERROR(VLOOKUP($A31,TableHandbook[],I$2,FALSE),"")</f>
        <v/>
      </c>
      <c r="J31" s="152" t="str">
        <f>IFERROR(VLOOKUP($A31,TableHandbook[],J$2,FALSE),"")</f>
        <v>Y</v>
      </c>
      <c r="K31" s="153" t="str">
        <f>IFERROR(VLOOKUP($A31,TableHandbook[],K$2,FALSE),"")</f>
        <v>Y</v>
      </c>
      <c r="L31" s="152" t="str">
        <f>IFERROR(VLOOKUP($A31,TableHandbook[],L$2,FALSE),"")</f>
        <v>Y</v>
      </c>
      <c r="M31" s="153" t="str">
        <f>IFERROR(VLOOKUP($A31,TableHandbook[],M$2,FALSE),"")</f>
        <v>Y</v>
      </c>
      <c r="N31" s="152" t="str">
        <f>IFERROR(VLOOKUP($A31,TableHandbook[],N$2,FALSE),"")</f>
        <v>Y</v>
      </c>
      <c r="O31" s="153" t="str">
        <f>IFERROR(VLOOKUP($A31,TableHandbook[],O$2,FALSE),"")</f>
        <v>Y</v>
      </c>
      <c r="P31" s="22"/>
      <c r="Q31" s="149">
        <v>15</v>
      </c>
      <c r="R31" s="150"/>
      <c r="S31" s="150"/>
      <c r="AA31" s="13"/>
    </row>
    <row r="32" spans="1:27" s="16" customFormat="1" ht="6" customHeight="1" x14ac:dyDescent="0.15">
      <c r="A32" s="171"/>
      <c r="B32" s="172"/>
      <c r="C32" s="172"/>
      <c r="D32" s="173"/>
      <c r="E32" s="172"/>
      <c r="F32" s="174"/>
      <c r="G32" s="172"/>
      <c r="H32" s="175"/>
      <c r="I32" s="176"/>
      <c r="J32" s="175"/>
      <c r="K32" s="176"/>
      <c r="L32" s="175"/>
      <c r="M32" s="176"/>
      <c r="N32" s="175"/>
      <c r="O32" s="176"/>
      <c r="P32" s="106"/>
      <c r="Q32" s="149"/>
      <c r="R32" s="154"/>
      <c r="S32" s="154"/>
      <c r="AA32" s="15"/>
    </row>
    <row r="33" spans="1:27" s="16" customFormat="1" ht="21" customHeight="1" x14ac:dyDescent="0.15">
      <c r="A33" s="143" t="str">
        <f>IFERROR(IF(HLOOKUP($P$6,RangeUnitsetsSec,Q33,FALSE)=0,"",HLOOKUP($P$6,RangeUnitsetsSec,Q33,FALSE)),"")</f>
        <v>EDUC6066</v>
      </c>
      <c r="B33" s="151">
        <f>IFERROR(IF(VLOOKUP($A33,TableHandbook[],2,FALSE)=0,"",VLOOKUP($A33,TableHandbook[],2,FALSE)),"")</f>
        <v>1</v>
      </c>
      <c r="C33" s="151" t="str">
        <f>IFERROR(IF(VLOOKUP($A33,TableHandbook[],3,FALSE)=0,"",VLOOKUP($A33,TableHandbook[],3,FALSE)),"")</f>
        <v/>
      </c>
      <c r="D33" s="177" t="str">
        <f>IFERROR(IF(VLOOKUP($A33,TableHandbook[],4,FALSE)=0,"",VLOOKUP($A33,TableHandbook[],4,FALSE)),"")</f>
        <v>Schooling and Australian Society</v>
      </c>
      <c r="E33" s="151" t="str">
        <f>IF(OR(A33="",A33="--"),"",VLOOKUP($D$9,TableStudyPeriods[],5,FALSE))</f>
        <v>SSP4</v>
      </c>
      <c r="F33" s="146" t="str">
        <f>IFERROR(IF(VLOOKUP($A33,TableHandbook[],6,FALSE)=0,"",VLOOKUP($A33,TableHandbook[],6,FALSE)),"")</f>
        <v>Nil</v>
      </c>
      <c r="G33" s="144">
        <f>IFERROR(IF(VLOOKUP($A33,TableHandbook[],5,FALSE)=0,"",VLOOKUP($A33,TableHandbook[],5,FALSE)),"")</f>
        <v>25</v>
      </c>
      <c r="H33" s="152" t="str">
        <f>IFERROR(VLOOKUP($A33,TableHandbook[],H$2,FALSE),"")</f>
        <v>Y</v>
      </c>
      <c r="I33" s="153" t="str">
        <f>IFERROR(VLOOKUP($A33,TableHandbook[],I$2,FALSE),"")</f>
        <v>Y</v>
      </c>
      <c r="J33" s="152" t="str">
        <f>IFERROR(VLOOKUP($A33,TableHandbook[],J$2,FALSE),"")</f>
        <v/>
      </c>
      <c r="K33" s="153" t="str">
        <f>IFERROR(VLOOKUP($A33,TableHandbook[],K$2,FALSE),"")</f>
        <v/>
      </c>
      <c r="L33" s="152" t="str">
        <f>IFERROR(VLOOKUP($A33,TableHandbook[],L$2,FALSE),"")</f>
        <v/>
      </c>
      <c r="M33" s="153" t="str">
        <f>IFERROR(VLOOKUP($A33,TableHandbook[],M$2,FALSE),"")</f>
        <v/>
      </c>
      <c r="N33" s="152" t="str">
        <f>IFERROR(VLOOKUP($A33,TableHandbook[],N$2,FALSE),"")</f>
        <v>Y</v>
      </c>
      <c r="O33" s="153" t="str">
        <f>IFERROR(VLOOKUP($A33,TableHandbook[],O$2,FALSE),"")</f>
        <v>Y</v>
      </c>
      <c r="P33" s="22"/>
      <c r="Q33" s="149">
        <v>16</v>
      </c>
      <c r="R33" s="154"/>
      <c r="S33" s="154"/>
      <c r="AA33" s="15"/>
    </row>
    <row r="34" spans="1:27" s="16" customFormat="1" ht="21" customHeight="1" x14ac:dyDescent="0.15">
      <c r="A34" s="143" t="str">
        <f>IFERROR(IF(HLOOKUP($P$6,RangeUnitsetsSec,Q34,FALSE)=0,"",HLOOKUP($P$6,RangeUnitsetsSec,Q34,FALSE)),"")</f>
        <v>EDUC6064</v>
      </c>
      <c r="B34" s="151">
        <f>IFERROR(IF(VLOOKUP($A34,TableHandbook[],2,FALSE)=0,"",VLOOKUP($A34,TableHandbook[],2,FALSE)),"")</f>
        <v>1</v>
      </c>
      <c r="C34" s="151" t="str">
        <f>IFERROR(IF(VLOOKUP($A34,TableHandbook[],3,FALSE)=0,"",VLOOKUP($A34,TableHandbook[],3,FALSE)),"")</f>
        <v/>
      </c>
      <c r="D34" s="177" t="str">
        <f>IFERROR(IF(VLOOKUP($A34,TableHandbook[],4,FALSE)=0,"",VLOOKUP($A34,TableHandbook[],4,FALSE)),"")</f>
        <v>Professional Experience 4: Transition into the Profession</v>
      </c>
      <c r="E34" s="144" t="str">
        <f>IF(A34="","",E33)</f>
        <v>SSP4</v>
      </c>
      <c r="F34" s="146" t="str">
        <f>IFERROR(IF(VLOOKUP($A34,TableHandbook[],6,FALSE)=0,"",VLOOKUP($A34,TableHandbook[],6,FALSE)),"")</f>
        <v>EDUC6062</v>
      </c>
      <c r="G34" s="144">
        <f>IFERROR(IF(VLOOKUP($A34,TableHandbook[],5,FALSE)=0,"",VLOOKUP($A34,TableHandbook[],5,FALSE)),"")</f>
        <v>25</v>
      </c>
      <c r="H34" s="152" t="str">
        <f>IFERROR(VLOOKUP($A34,TableHandbook[],H$2,FALSE),"")</f>
        <v>Y</v>
      </c>
      <c r="I34" s="153" t="str">
        <f>IFERROR(VLOOKUP($A34,TableHandbook[],I$2,FALSE),"")</f>
        <v>Y</v>
      </c>
      <c r="J34" s="152" t="str">
        <f>IFERROR(VLOOKUP($A34,TableHandbook[],J$2,FALSE),"")</f>
        <v>Y</v>
      </c>
      <c r="K34" s="153" t="str">
        <f>IFERROR(VLOOKUP($A34,TableHandbook[],K$2,FALSE),"")</f>
        <v>Y</v>
      </c>
      <c r="L34" s="152" t="str">
        <f>IFERROR(VLOOKUP($A34,TableHandbook[],L$2,FALSE),"")</f>
        <v>Y</v>
      </c>
      <c r="M34" s="153" t="str">
        <f>IFERROR(VLOOKUP($A34,TableHandbook[],M$2,FALSE),"")</f>
        <v>Y</v>
      </c>
      <c r="N34" s="152" t="str">
        <f>IFERROR(VLOOKUP($A34,TableHandbook[],N$2,FALSE),"")</f>
        <v>Y</v>
      </c>
      <c r="O34" s="153" t="str">
        <f>IFERROR(VLOOKUP($A34,TableHandbook[],O$2,FALSE),"")</f>
        <v>Y</v>
      </c>
      <c r="P34" s="22"/>
      <c r="Q34" s="149">
        <v>17</v>
      </c>
      <c r="R34" s="154"/>
      <c r="S34" s="154"/>
      <c r="AA34" s="15"/>
    </row>
    <row r="35" spans="1:27" ht="16.5" customHeight="1" x14ac:dyDescent="0.25">
      <c r="A35" s="159"/>
      <c r="B35" s="159"/>
      <c r="C35" s="159"/>
      <c r="D35" s="160"/>
      <c r="E35" s="160"/>
      <c r="F35" s="161"/>
      <c r="G35" s="161"/>
      <c r="H35" s="161"/>
      <c r="I35" s="161"/>
      <c r="J35" s="161"/>
      <c r="K35" s="161"/>
      <c r="L35" s="161"/>
      <c r="M35" s="161"/>
      <c r="N35" s="161"/>
      <c r="O35" s="161"/>
      <c r="P35" s="161"/>
      <c r="Q35" s="88"/>
      <c r="AA35" s="10"/>
    </row>
    <row r="36" spans="1:27" s="20" customFormat="1" ht="20.25" x14ac:dyDescent="0.25">
      <c r="A36" s="248" t="s">
        <v>255</v>
      </c>
      <c r="B36" s="179"/>
      <c r="C36" s="179"/>
      <c r="D36" s="180"/>
      <c r="E36" s="181"/>
      <c r="F36" s="181"/>
      <c r="G36" s="181"/>
      <c r="H36" s="182" t="str">
        <f>H10</f>
        <v>2025 Availabilities</v>
      </c>
      <c r="I36" s="183"/>
      <c r="J36" s="183"/>
      <c r="K36" s="183"/>
      <c r="L36" s="183"/>
      <c r="M36" s="183"/>
      <c r="N36" s="184"/>
      <c r="O36" s="185"/>
      <c r="P36" s="186"/>
      <c r="Q36" s="88"/>
      <c r="AA36" s="19"/>
    </row>
    <row r="37" spans="1:27" ht="31.5" x14ac:dyDescent="0.25">
      <c r="A37" s="133"/>
      <c r="B37" s="133"/>
      <c r="C37" s="133"/>
      <c r="D37" s="134" t="s">
        <v>3</v>
      </c>
      <c r="E37" s="140"/>
      <c r="F37" s="133" t="s">
        <v>22</v>
      </c>
      <c r="G37" s="133" t="s">
        <v>23</v>
      </c>
      <c r="H37" s="141" t="str">
        <f>H$11</f>
        <v>SSP1 BEN</v>
      </c>
      <c r="I37" s="142" t="str">
        <f t="shared" ref="I37:P37" si="1">I$11</f>
        <v>SSP1 FO</v>
      </c>
      <c r="J37" s="141" t="str">
        <f t="shared" si="1"/>
        <v>SSP2 BEN</v>
      </c>
      <c r="K37" s="142" t="str">
        <f t="shared" si="1"/>
        <v>SSP2 FO</v>
      </c>
      <c r="L37" s="141" t="str">
        <f t="shared" si="1"/>
        <v>SSP3 BEN</v>
      </c>
      <c r="M37" s="142" t="str">
        <f t="shared" si="1"/>
        <v>SSP3 FO</v>
      </c>
      <c r="N37" s="141" t="str">
        <f t="shared" si="1"/>
        <v>SSP4 BEN</v>
      </c>
      <c r="O37" s="142" t="str">
        <f t="shared" si="1"/>
        <v>SSP4 FO</v>
      </c>
      <c r="P37" s="133" t="str">
        <f t="shared" si="1"/>
        <v>Notes / Progress</v>
      </c>
      <c r="Q37" s="149"/>
      <c r="AA37" s="10"/>
    </row>
    <row r="38" spans="1:27" x14ac:dyDescent="0.25">
      <c r="A38" s="202" t="str">
        <f>IFERROR(IF(HLOOKUP($P$7,RangeTeachingAreas,Q38,FALSE)=0,"",HLOOKUP($P$7,RangeTeachingAreas,Q38,FALSE)),"")</f>
        <v>FTA</v>
      </c>
      <c r="B38" s="203" t="str">
        <f>IFERROR(IF(VLOOKUP($A38,TableHandbook[],2,FALSE)=0,"",VLOOKUP($A38,TableHandbook[],2,FALSE)),"")</f>
        <v/>
      </c>
      <c r="C38" s="204" t="str">
        <f>IFERROR(IF(VLOOKUP($A38,TableHandbook[],3,FALSE)=0,"",VLOOKUP($A38,TableHandbook[],3,FALSE)),"")</f>
        <v/>
      </c>
      <c r="D38" s="204" t="str">
        <f>IFERROR(IF(VLOOKUP($A38,TableHandbook[],4,FALSE)=0,"",VLOOKUP($A38,TableHandbook[],4,FALSE)),"")</f>
        <v>First Teaching Area (study Lower before Senior)</v>
      </c>
      <c r="E38" s="205"/>
      <c r="F38" s="206" t="str">
        <f>IFERROR(IF(VLOOKUP($A38,TableHandbook[],6,FALSE)=0,"",VLOOKUP($A38,TableHandbook[],6,FALSE)),"")</f>
        <v/>
      </c>
      <c r="G38" s="206" t="str">
        <f>IFERROR(IF(VLOOKUP($A38,TableHandbook[],5,FALSE)=0,"",VLOOKUP($A38,TableHandbook[],5,FALSE)),"")</f>
        <v/>
      </c>
      <c r="H38" s="207" t="str">
        <f>IFERROR(VLOOKUP($A38,TableHandbook[],H$2,FALSE),"")</f>
        <v/>
      </c>
      <c r="I38" s="208" t="str">
        <f>IFERROR(VLOOKUP($A38,TableHandbook[],I$2,FALSE),"")</f>
        <v/>
      </c>
      <c r="J38" s="209" t="str">
        <f>IFERROR(VLOOKUP($A38,TableHandbook[],J$2,FALSE),"")</f>
        <v/>
      </c>
      <c r="K38" s="208" t="str">
        <f>IFERROR(VLOOKUP($A38,TableHandbook[],K$2,FALSE),"")</f>
        <v/>
      </c>
      <c r="L38" s="209" t="str">
        <f>IFERROR(VLOOKUP($A38,TableHandbook[],L$2,FALSE),"")</f>
        <v/>
      </c>
      <c r="M38" s="208" t="str">
        <f>IFERROR(VLOOKUP($A38,TableHandbook[],M$2,FALSE),"")</f>
        <v/>
      </c>
      <c r="N38" s="209" t="str">
        <f>IFERROR(VLOOKUP($A38,TableHandbook[],N$2,FALSE),"")</f>
        <v/>
      </c>
      <c r="O38" s="208" t="str">
        <f>IFERROR(VLOOKUP($A38,TableHandbook[],O$2,FALSE),"")</f>
        <v/>
      </c>
      <c r="P38" s="221"/>
      <c r="Q38" s="210">
        <v>2</v>
      </c>
      <c r="AA38" s="10"/>
    </row>
    <row r="39" spans="1:27" x14ac:dyDescent="0.25">
      <c r="A39" s="187" t="str">
        <f>IFERROR(IF(HLOOKUP($P$7,RangeTeachingAreas,Q39,FALSE)=0,"",HLOOKUP($P$7,RangeTeachingAreas,Q39,FALSE)),"")</f>
        <v>EDSC5023</v>
      </c>
      <c r="B39" s="188">
        <f>IFERROR(IF(VLOOKUP($A39,TableHandbook[],2,FALSE)=0,"",VLOOKUP($A39,TableHandbook[],2,FALSE)),"")</f>
        <v>2</v>
      </c>
      <c r="C39" s="189" t="str">
        <f>IFERROR(IF(VLOOKUP($A39,TableHandbook[],3,FALSE)=0,"",VLOOKUP($A39,TableHandbook[],3,FALSE)),"")</f>
        <v/>
      </c>
      <c r="D39" s="189" t="str">
        <f>IFERROR(IF(VLOOKUP($A39,TableHandbook[],4,FALSE)=0,"",VLOOKUP($A39,TableHandbook[],4,FALSE)),"")</f>
        <v>Curriculum and Instruction Lower Secondary: The Arts</v>
      </c>
      <c r="E39" s="190"/>
      <c r="F39" s="191" t="str">
        <f>IFERROR(IF(VLOOKUP($A39,TableHandbook[],6,FALSE)=0,"",VLOOKUP($A39,TableHandbook[],6,FALSE)),"")</f>
        <v>Nil</v>
      </c>
      <c r="G39" s="191">
        <f>IFERROR(IF(VLOOKUP($A39,TableHandbook[],5,FALSE)=0,"",VLOOKUP($A39,TableHandbook[],5,FALSE)),"")</f>
        <v>25</v>
      </c>
      <c r="H39" s="147" t="str">
        <f>IFERROR(VLOOKUP($A39,TableHandbook[],H$2,FALSE),"")</f>
        <v/>
      </c>
      <c r="I39" s="148" t="str">
        <f>IFERROR(VLOOKUP($A39,TableHandbook[],I$2,FALSE),"")</f>
        <v/>
      </c>
      <c r="J39" s="144" t="str">
        <f>IFERROR(VLOOKUP($A39,TableHandbook[],J$2,FALSE),"")</f>
        <v>Y</v>
      </c>
      <c r="K39" s="148" t="str">
        <f>IFERROR(VLOOKUP($A39,TableHandbook[],K$2,FALSE),"")</f>
        <v>Y</v>
      </c>
      <c r="L39" s="144" t="str">
        <f>IFERROR(VLOOKUP($A39,TableHandbook[],L$2,FALSE),"")</f>
        <v/>
      </c>
      <c r="M39" s="148" t="str">
        <f>IFERROR(VLOOKUP($A39,TableHandbook[],M$2,FALSE),"")</f>
        <v/>
      </c>
      <c r="N39" s="144" t="str">
        <f>IFERROR(VLOOKUP($A39,TableHandbook[],N$2,FALSE),"")</f>
        <v>Y</v>
      </c>
      <c r="O39" s="148" t="str">
        <f>IFERROR(VLOOKUP($A39,TableHandbook[],O$2,FALSE),"")</f>
        <v>Y</v>
      </c>
      <c r="P39" s="24"/>
      <c r="Q39" s="149">
        <v>3</v>
      </c>
      <c r="AA39" s="10"/>
    </row>
    <row r="40" spans="1:27" x14ac:dyDescent="0.25">
      <c r="A40" s="187" t="str">
        <f>IFERROR(IF(HLOOKUP($P$7,RangeTeachingAreas,Q40,FALSE)=0,"",HLOOKUP($P$7,RangeTeachingAreas,Q40,FALSE)),"")</f>
        <v>EDSC5030</v>
      </c>
      <c r="B40" s="188">
        <f>IFERROR(IF(VLOOKUP($A40,TableHandbook[],2,FALSE)=0,"",VLOOKUP($A40,TableHandbook[],2,FALSE)),"")</f>
        <v>2</v>
      </c>
      <c r="C40" s="189" t="str">
        <f>IFERROR(IF(VLOOKUP($A40,TableHandbook[],3,FALSE)=0,"",VLOOKUP($A40,TableHandbook[],3,FALSE)),"")</f>
        <v/>
      </c>
      <c r="D40" s="189" t="str">
        <f>IFERROR(IF(VLOOKUP($A40,TableHandbook[],4,FALSE)=0,"",VLOOKUP($A40,TableHandbook[],4,FALSE)),"")</f>
        <v>Curriculum and Instruction Senior Secondary: The Arts</v>
      </c>
      <c r="E40" s="190"/>
      <c r="F40" s="191" t="str">
        <f>IFERROR(IF(VLOOKUP($A40,TableHandbook[],6,FALSE)=0,"",VLOOKUP($A40,TableHandbook[],6,FALSE)),"")</f>
        <v>Nil</v>
      </c>
      <c r="G40" s="191">
        <f>IFERROR(IF(VLOOKUP($A40,TableHandbook[],5,FALSE)=0,"",VLOOKUP($A40,TableHandbook[],5,FALSE)),"")</f>
        <v>25</v>
      </c>
      <c r="H40" s="147" t="str">
        <f>IFERROR(VLOOKUP($A40,TableHandbook[],H$2,FALSE),"")</f>
        <v/>
      </c>
      <c r="I40" s="148" t="str">
        <f>IFERROR(VLOOKUP($A40,TableHandbook[],I$2,FALSE),"")</f>
        <v/>
      </c>
      <c r="J40" s="144" t="str">
        <f>IFERROR(VLOOKUP($A40,TableHandbook[],J$2,FALSE),"")</f>
        <v>Y</v>
      </c>
      <c r="K40" s="148" t="str">
        <f>IFERROR(VLOOKUP($A40,TableHandbook[],K$2,FALSE),"")</f>
        <v>Y</v>
      </c>
      <c r="L40" s="144" t="str">
        <f>IFERROR(VLOOKUP($A40,TableHandbook[],L$2,FALSE),"")</f>
        <v/>
      </c>
      <c r="M40" s="148" t="str">
        <f>IFERROR(VLOOKUP($A40,TableHandbook[],M$2,FALSE),"")</f>
        <v/>
      </c>
      <c r="N40" s="144" t="str">
        <f>IFERROR(VLOOKUP($A40,TableHandbook[],N$2,FALSE),"")</f>
        <v>Y</v>
      </c>
      <c r="O40" s="148" t="str">
        <f>IFERROR(VLOOKUP($A40,TableHandbook[],O$2,FALSE),"")</f>
        <v>Y</v>
      </c>
      <c r="P40" s="24"/>
      <c r="Q40" s="149">
        <v>4</v>
      </c>
      <c r="AA40" s="10"/>
    </row>
    <row r="41" spans="1:27" x14ac:dyDescent="0.25">
      <c r="A41" s="187"/>
      <c r="B41" s="188"/>
      <c r="C41" s="189"/>
      <c r="D41" s="189"/>
      <c r="E41" s="190"/>
      <c r="F41" s="191"/>
      <c r="G41" s="191"/>
      <c r="H41" s="147"/>
      <c r="I41" s="148"/>
      <c r="J41" s="144"/>
      <c r="K41" s="148"/>
      <c r="L41" s="144"/>
      <c r="M41" s="148"/>
      <c r="N41" s="144"/>
      <c r="O41" s="148"/>
      <c r="P41" s="24"/>
      <c r="Q41" s="149"/>
      <c r="AA41" s="10"/>
    </row>
    <row r="42" spans="1:27" x14ac:dyDescent="0.25">
      <c r="A42" s="211" t="str">
        <f>IFERROR(IF(HLOOKUP($P$8,RangeTeachingAreas,Q42,FALSE)=0,"",HLOOKUP($P$8,RangeTeachingAreas,Q42,FALSE)),"")</f>
        <v>STA</v>
      </c>
      <c r="B42" s="212" t="str">
        <f>IFERROR(IF(VLOOKUP($A42,TableHandbook[],2,FALSE)=0,"",VLOOKUP($A42,TableHandbook[],2,FALSE)),"")</f>
        <v/>
      </c>
      <c r="C42" s="213" t="str">
        <f>IFERROR(IF(VLOOKUP($A42,TableHandbook[],3,FALSE)=0,"",VLOOKUP($A42,TableHandbook[],3,FALSE)),"")</f>
        <v/>
      </c>
      <c r="D42" s="213" t="str">
        <f>IFERROR(IF(VLOOKUP($A42,TableHandbook[],4,FALSE)=0,"",VLOOKUP($A42,TableHandbook[],4,FALSE)),"")</f>
        <v>Second Teaching Area (study Lower before Senior OR EDUC5033 before EDSC5059)</v>
      </c>
      <c r="E42" s="214"/>
      <c r="F42" s="215" t="str">
        <f>IFERROR(IF(VLOOKUP($A42,TableHandbook[],6,FALSE)=0,"",VLOOKUP($A42,TableHandbook[],6,FALSE)),"")</f>
        <v/>
      </c>
      <c r="G42" s="215" t="str">
        <f>IFERROR(IF(VLOOKUP($A42,TableHandbook[],5,FALSE)=0,"",VLOOKUP($A42,TableHandbook[],5,FALSE)),"")</f>
        <v/>
      </c>
      <c r="H42" s="216" t="str">
        <f>IFERROR(VLOOKUP($A42,TableHandbook[],H$2,FALSE),"")</f>
        <v/>
      </c>
      <c r="I42" s="217" t="str">
        <f>IFERROR(VLOOKUP($A42,TableHandbook[],I$2,FALSE),"")</f>
        <v/>
      </c>
      <c r="J42" s="218" t="str">
        <f>IFERROR(VLOOKUP($A42,TableHandbook[],J$2,FALSE),"")</f>
        <v/>
      </c>
      <c r="K42" s="217" t="str">
        <f>IFERROR(VLOOKUP($A42,TableHandbook[],K$2,FALSE),"")</f>
        <v/>
      </c>
      <c r="L42" s="218" t="str">
        <f>IFERROR(VLOOKUP($A42,TableHandbook[],L$2,FALSE),"")</f>
        <v/>
      </c>
      <c r="M42" s="217" t="str">
        <f>IFERROR(VLOOKUP($A42,TableHandbook[],M$2,FALSE),"")</f>
        <v/>
      </c>
      <c r="N42" s="218" t="str">
        <f>IFERROR(VLOOKUP($A42,TableHandbook[],N$2,FALSE),"")</f>
        <v/>
      </c>
      <c r="O42" s="217" t="str">
        <f>IFERROR(VLOOKUP($A42,TableHandbook[],O$2,FALSE),"")</f>
        <v/>
      </c>
      <c r="P42" s="222"/>
      <c r="Q42" s="219">
        <v>5</v>
      </c>
      <c r="AA42" s="10"/>
    </row>
    <row r="43" spans="1:27" x14ac:dyDescent="0.25">
      <c r="A43" s="187" t="str">
        <f>IFERROR(IF(HLOOKUP($P$8,RangeTeachingAreas,Q43,FALSE)=0,"",HLOOKUP($P$8,RangeTeachingAreas,Q43,FALSE)),"")</f>
        <v>EDSC5024</v>
      </c>
      <c r="B43" s="188">
        <f>IFERROR(IF(VLOOKUP($A43,TableHandbook[],2,FALSE)=0,"",VLOOKUP($A43,TableHandbook[],2,FALSE)),"")</f>
        <v>1</v>
      </c>
      <c r="C43" s="189" t="str">
        <f>IFERROR(IF(VLOOKUP($A43,TableHandbook[],3,FALSE)=0,"",VLOOKUP($A43,TableHandbook[],3,FALSE)),"")</f>
        <v/>
      </c>
      <c r="D43" s="189" t="str">
        <f>IFERROR(IF(VLOOKUP($A43,TableHandbook[],4,FALSE)=0,"",VLOOKUP($A43,TableHandbook[],4,FALSE)),"")</f>
        <v>Curriculum and Instruction Lower Secondary: English</v>
      </c>
      <c r="E43" s="190"/>
      <c r="F43" s="191" t="str">
        <f>IFERROR(IF(VLOOKUP($A43,TableHandbook[],6,FALSE)=0,"",VLOOKUP($A43,TableHandbook[],6,FALSE)),"")</f>
        <v>Nil</v>
      </c>
      <c r="G43" s="191">
        <f>IFERROR(IF(VLOOKUP($A43,TableHandbook[],5,FALSE)=0,"",VLOOKUP($A43,TableHandbook[],5,FALSE)),"")</f>
        <v>25</v>
      </c>
      <c r="H43" s="147" t="str">
        <f>IFERROR(VLOOKUP($A43,TableHandbook[],H$2,FALSE),"")</f>
        <v/>
      </c>
      <c r="I43" s="148" t="str">
        <f>IFERROR(VLOOKUP($A43,TableHandbook[],I$2,FALSE),"")</f>
        <v/>
      </c>
      <c r="J43" s="144" t="str">
        <f>IFERROR(VLOOKUP($A43,TableHandbook[],J$2,FALSE),"")</f>
        <v>Y</v>
      </c>
      <c r="K43" s="148" t="str">
        <f>IFERROR(VLOOKUP($A43,TableHandbook[],K$2,FALSE),"")</f>
        <v>Y</v>
      </c>
      <c r="L43" s="144" t="str">
        <f>IFERROR(VLOOKUP($A43,TableHandbook[],L$2,FALSE),"")</f>
        <v/>
      </c>
      <c r="M43" s="148" t="str">
        <f>IFERROR(VLOOKUP($A43,TableHandbook[],M$2,FALSE),"")</f>
        <v/>
      </c>
      <c r="N43" s="144" t="str">
        <f>IFERROR(VLOOKUP($A43,TableHandbook[],N$2,FALSE),"")</f>
        <v>Y</v>
      </c>
      <c r="O43" s="148" t="str">
        <f>IFERROR(VLOOKUP($A43,TableHandbook[],O$2,FALSE),"")</f>
        <v>Y</v>
      </c>
      <c r="P43" s="24"/>
      <c r="Q43" s="149">
        <v>6</v>
      </c>
      <c r="AA43" s="10"/>
    </row>
    <row r="44" spans="1:27" x14ac:dyDescent="0.25">
      <c r="A44" s="187" t="str">
        <f>IFERROR(IF(HLOOKUP($P$8,RangeTeachingAreas,Q44,FALSE)=0,"",HLOOKUP($P$8,RangeTeachingAreas,Q44,FALSE)),"")</f>
        <v>EDSC5053</v>
      </c>
      <c r="B44" s="188">
        <f>IFERROR(IF(VLOOKUP($A44,TableHandbook[],2,FALSE)=0,"",VLOOKUP($A44,TableHandbook[],2,FALSE)),"")</f>
        <v>1</v>
      </c>
      <c r="C44" s="189" t="str">
        <f>IFERROR(IF(VLOOKUP($A44,TableHandbook[],3,FALSE)=0,"",VLOOKUP($A44,TableHandbook[],3,FALSE)),"")</f>
        <v/>
      </c>
      <c r="D44" s="189" t="str">
        <f>IFERROR(IF(VLOOKUP($A44,TableHandbook[],4,FALSE)=0,"",VLOOKUP($A44,TableHandbook[],4,FALSE)),"")</f>
        <v>Curriculum and Instruction Senior Secondary: English</v>
      </c>
      <c r="E44" s="190"/>
      <c r="F44" s="191" t="str">
        <f>IFERROR(IF(VLOOKUP($A44,TableHandbook[],6,FALSE)=0,"",VLOOKUP($A44,TableHandbook[],6,FALSE)),"")</f>
        <v>Nil</v>
      </c>
      <c r="G44" s="191">
        <f>IFERROR(IF(VLOOKUP($A44,TableHandbook[],5,FALSE)=0,"",VLOOKUP($A44,TableHandbook[],5,FALSE)),"")</f>
        <v>25</v>
      </c>
      <c r="H44" s="147" t="str">
        <f>IFERROR(VLOOKUP($A44,TableHandbook[],H$2,FALSE),"")</f>
        <v/>
      </c>
      <c r="I44" s="148" t="str">
        <f>IFERROR(VLOOKUP($A44,TableHandbook[],I$2,FALSE),"")</f>
        <v/>
      </c>
      <c r="J44" s="144" t="str">
        <f>IFERROR(VLOOKUP($A44,TableHandbook[],J$2,FALSE),"")</f>
        <v>Y</v>
      </c>
      <c r="K44" s="148" t="str">
        <f>IFERROR(VLOOKUP($A44,TableHandbook[],K$2,FALSE),"")</f>
        <v>Y</v>
      </c>
      <c r="L44" s="144" t="str">
        <f>IFERROR(VLOOKUP($A44,TableHandbook[],L$2,FALSE),"")</f>
        <v/>
      </c>
      <c r="M44" s="148" t="str">
        <f>IFERROR(VLOOKUP($A44,TableHandbook[],M$2,FALSE),"")</f>
        <v/>
      </c>
      <c r="N44" s="144" t="str">
        <f>IFERROR(VLOOKUP($A44,TableHandbook[],N$2,FALSE),"")</f>
        <v>Y</v>
      </c>
      <c r="O44" s="148" t="str">
        <f>IFERROR(VLOOKUP($A44,TableHandbook[],O$2,FALSE),"")</f>
        <v>Y</v>
      </c>
      <c r="P44" s="24"/>
      <c r="Q44" s="149">
        <v>7</v>
      </c>
      <c r="AA44" s="10"/>
    </row>
    <row r="45" spans="1:27" ht="15" customHeight="1" x14ac:dyDescent="0.25">
      <c r="A45" s="192"/>
      <c r="B45" s="192"/>
      <c r="C45" s="193"/>
      <c r="D45" s="193"/>
      <c r="E45" s="194"/>
      <c r="F45" s="195"/>
      <c r="G45" s="195"/>
      <c r="H45" s="196"/>
      <c r="I45" s="196"/>
      <c r="J45" s="196"/>
      <c r="K45" s="196"/>
      <c r="L45" s="196"/>
      <c r="M45" s="196"/>
      <c r="N45" s="196"/>
      <c r="O45" s="196"/>
      <c r="P45" s="197"/>
      <c r="Q45" s="149"/>
      <c r="AA45" s="10"/>
    </row>
    <row r="46" spans="1:27" s="10" customFormat="1" ht="18" x14ac:dyDescent="0.25">
      <c r="A46" s="198" t="s">
        <v>34</v>
      </c>
      <c r="B46" s="198"/>
      <c r="C46" s="198"/>
      <c r="D46" s="198"/>
      <c r="E46" s="198"/>
      <c r="F46" s="198"/>
      <c r="G46" s="198"/>
      <c r="H46" s="198"/>
      <c r="I46" s="198"/>
      <c r="J46" s="198"/>
      <c r="K46" s="198"/>
      <c r="L46" s="198"/>
      <c r="M46" s="198"/>
      <c r="N46" s="198"/>
      <c r="O46" s="198"/>
      <c r="P46" s="198"/>
      <c r="Q46" s="88"/>
      <c r="R46" s="8"/>
      <c r="S46" s="8"/>
      <c r="T46" s="8"/>
      <c r="U46" s="8"/>
      <c r="V46" s="8"/>
      <c r="W46" s="8"/>
      <c r="X46" s="8"/>
      <c r="Y46" s="8"/>
      <c r="Z46" s="8"/>
    </row>
    <row r="47" spans="1:27" s="18" customFormat="1" ht="17.25" x14ac:dyDescent="0.2">
      <c r="A47" s="66" t="s">
        <v>35</v>
      </c>
      <c r="B47" s="66"/>
      <c r="C47" s="66"/>
      <c r="D47" s="67"/>
      <c r="E47" s="67"/>
      <c r="F47" s="67"/>
      <c r="G47" s="67"/>
      <c r="H47" s="67"/>
      <c r="I47" s="67"/>
      <c r="J47" s="67"/>
      <c r="K47" s="67"/>
      <c r="L47" s="67"/>
      <c r="M47" s="67"/>
      <c r="N47" s="67"/>
      <c r="O47" s="67"/>
      <c r="P47" s="67"/>
      <c r="Q47" s="162"/>
      <c r="R47" s="162"/>
      <c r="S47" s="162"/>
      <c r="AA47" s="17"/>
    </row>
    <row r="48" spans="1:27" x14ac:dyDescent="0.25">
      <c r="A48" s="163" t="s">
        <v>36</v>
      </c>
      <c r="B48" s="163"/>
      <c r="C48" s="163"/>
      <c r="D48" s="163"/>
      <c r="E48" s="164"/>
      <c r="F48" s="161"/>
      <c r="G48" s="165"/>
      <c r="H48" s="165"/>
      <c r="I48" s="165"/>
      <c r="J48" s="165"/>
      <c r="K48" s="165"/>
      <c r="L48" s="165"/>
      <c r="M48" s="165"/>
      <c r="N48" s="165"/>
      <c r="O48" s="165"/>
      <c r="P48" s="165" t="s">
        <v>37</v>
      </c>
    </row>
  </sheetData>
  <sheetProtection formatCells="0"/>
  <mergeCells count="1">
    <mergeCell ref="A3:D3"/>
  </mergeCells>
  <conditionalFormatting sqref="A37:C37 H37:P37">
    <cfRule type="expression" dxfId="98" priority="3">
      <formula>LEFT($A37,3)="STA"</formula>
    </cfRule>
    <cfRule type="expression" dxfId="97" priority="4">
      <formula>LEFT($A37,3)="FTA"</formula>
    </cfRule>
  </conditionalFormatting>
  <conditionalFormatting sqref="A12:P34 A38:P44">
    <cfRule type="expression" dxfId="96" priority="1">
      <formula>$A12=""</formula>
    </cfRule>
  </conditionalFormatting>
  <conditionalFormatting sqref="A12:Q22 A23:C23 H23:Q23 A24:Q34">
    <cfRule type="expression" dxfId="95" priority="6">
      <formula>LEFT($A12,3)="FTA"</formula>
    </cfRule>
  </conditionalFormatting>
  <conditionalFormatting sqref="A12:Q22 H23:Q23 A24:Q34 A23:C23">
    <cfRule type="expression" dxfId="94" priority="5">
      <formula>LEFT($A12,3)="STA"</formula>
    </cfRule>
  </conditionalFormatting>
  <conditionalFormatting sqref="D5:D9">
    <cfRule type="containsText" dxfId="93" priority="7" operator="containsText" text="Choose">
      <formula>NOT(ISERROR(SEARCH("Choose",D5)))</formula>
    </cfRule>
  </conditionalFormatting>
  <conditionalFormatting sqref="H12:O34">
    <cfRule type="expression" dxfId="92" priority="2">
      <formula>$E12=LEFT(H$11,4)</formula>
    </cfRule>
  </conditionalFormatting>
  <dataValidations count="2">
    <dataValidation type="list" allowBlank="1" showInputMessage="1" showErrorMessage="1" sqref="P29 P17 P14 P20 P26 P32" xr:uid="{00000000-0002-0000-0900-000000000000}"/>
    <dataValidation type="list" showInputMessage="1" showErrorMessage="1" sqref="D8" xr:uid="{00000000-0002-0000-0900-000001000000}">
      <formula1>INDIRECT($P$9)</formula1>
    </dataValidation>
  </dataValidations>
  <hyperlinks>
    <hyperlink ref="A47:P47" r:id="rId1" display="If you have any queries about your course, please contact Curtin Connect." xr:uid="{00000000-0004-0000-0900-000000000000}"/>
  </hyperlinks>
  <printOptions horizontalCentered="1"/>
  <pageMargins left="0.31496062992125984" right="0.31496062992125984" top="0.39370078740157483" bottom="0.39370078740157483" header="0.19685039370078741" footer="0.19685039370078741"/>
  <pageSetup paperSize="9" scale="63"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2000000}">
          <x14:formula1>
            <xm:f>Unitsets!$A$35:$A$37</xm:f>
          </x14:formula1>
          <xm:sqref>D9</xm:sqref>
        </x14:dataValidation>
        <x14:dataValidation type="list" showInputMessage="1" showErrorMessage="1" xr:uid="{00000000-0002-0000-0900-000003000000}">
          <x14:formula1>
            <xm:f>'Unitsets M-Teach Sec'!$A$6:$A$12</xm:f>
          </x14:formula1>
          <xm:sqref>D7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sheetPr>
  <dimension ref="A1:AD56"/>
  <sheetViews>
    <sheetView zoomScale="85" zoomScaleNormal="85" workbookViewId="0">
      <selection activeCell="A11" sqref="A11"/>
    </sheetView>
  </sheetViews>
  <sheetFormatPr defaultRowHeight="15.75" x14ac:dyDescent="0.25"/>
  <cols>
    <col min="1" max="1" width="53.25" bestFit="1" customWidth="1"/>
    <col min="2" max="2" width="12" bestFit="1" customWidth="1"/>
    <col min="3" max="3" width="12.75" bestFit="1" customWidth="1"/>
    <col min="4" max="4" width="19.375" bestFit="1" customWidth="1"/>
    <col min="5" max="5" width="14.875" bestFit="1" customWidth="1"/>
    <col min="6" max="6" width="19.125" bestFit="1" customWidth="1"/>
    <col min="7" max="7" width="19.375" bestFit="1" customWidth="1"/>
    <col min="8" max="8" width="14.25" customWidth="1"/>
    <col min="9" max="9" width="13.75" bestFit="1" customWidth="1"/>
    <col min="10" max="10" width="47.625" bestFit="1" customWidth="1"/>
    <col min="11" max="11" width="11.375" bestFit="1" customWidth="1"/>
    <col min="13" max="13" width="23.5" bestFit="1" customWidth="1"/>
    <col min="14" max="14" width="2.5" bestFit="1" customWidth="1"/>
    <col min="15" max="15" width="7.75" bestFit="1" customWidth="1"/>
    <col min="16" max="16" width="16.125" bestFit="1" customWidth="1"/>
    <col min="17" max="17" width="11.875" bestFit="1" customWidth="1"/>
    <col min="18" max="18" width="16.5" bestFit="1" customWidth="1"/>
    <col min="19" max="19" width="11.75" bestFit="1" customWidth="1"/>
    <col min="20" max="20" width="17" bestFit="1" customWidth="1"/>
    <col min="21" max="21" width="11.125" bestFit="1" customWidth="1"/>
    <col min="22" max="22" width="17" bestFit="1" customWidth="1"/>
    <col min="23" max="23" width="5.875" bestFit="1" customWidth="1"/>
    <col min="24" max="24" width="16" bestFit="1" customWidth="1"/>
    <col min="26" max="26" width="16.25" bestFit="1" customWidth="1"/>
    <col min="28" max="28" width="16.25" bestFit="1" customWidth="1"/>
    <col min="30" max="30" width="16.25" bestFit="1" customWidth="1"/>
  </cols>
  <sheetData>
    <row r="1" spans="1:22" x14ac:dyDescent="0.25">
      <c r="A1" s="25" t="s">
        <v>262</v>
      </c>
    </row>
    <row r="2" spans="1:22" x14ac:dyDescent="0.25">
      <c r="A2" s="25" t="s">
        <v>84</v>
      </c>
    </row>
    <row r="3" spans="1:22" x14ac:dyDescent="0.25">
      <c r="M3" s="93" t="s">
        <v>263</v>
      </c>
      <c r="N3" s="35">
        <v>1</v>
      </c>
      <c r="O3" s="37"/>
      <c r="P3" s="36" t="s">
        <v>264</v>
      </c>
      <c r="Q3" s="37"/>
      <c r="R3" s="36" t="s">
        <v>265</v>
      </c>
      <c r="S3" s="37"/>
      <c r="T3" s="36" t="s">
        <v>266</v>
      </c>
      <c r="U3" s="37"/>
      <c r="V3" s="36" t="s">
        <v>267</v>
      </c>
    </row>
    <row r="4" spans="1:22" x14ac:dyDescent="0.25">
      <c r="I4" s="73" t="s">
        <v>268</v>
      </c>
      <c r="J4" s="26"/>
      <c r="K4" s="26"/>
      <c r="M4" s="26"/>
      <c r="N4" s="39">
        <v>2</v>
      </c>
      <c r="O4" s="56" t="s">
        <v>73</v>
      </c>
      <c r="P4" s="60" t="s">
        <v>269</v>
      </c>
      <c r="Q4" s="56" t="s">
        <v>75</v>
      </c>
      <c r="R4" s="60" t="s">
        <v>76</v>
      </c>
      <c r="S4" s="56" t="s">
        <v>77</v>
      </c>
      <c r="T4" s="60" t="s">
        <v>74</v>
      </c>
      <c r="U4" s="56" t="s">
        <v>78</v>
      </c>
      <c r="V4" s="60" t="s">
        <v>76</v>
      </c>
    </row>
    <row r="5" spans="1:22" x14ac:dyDescent="0.25">
      <c r="A5" s="73" t="s">
        <v>270</v>
      </c>
      <c r="B5" s="26"/>
      <c r="C5" s="26"/>
      <c r="D5" s="26"/>
      <c r="E5" s="26"/>
      <c r="F5" s="26"/>
      <c r="G5" s="26"/>
      <c r="H5" s="26"/>
      <c r="I5" s="74" t="s">
        <v>271</v>
      </c>
      <c r="J5" s="90" t="s">
        <v>272</v>
      </c>
      <c r="K5" s="91"/>
      <c r="M5" s="26"/>
      <c r="N5" s="39">
        <v>3</v>
      </c>
      <c r="O5" s="57" t="s">
        <v>73</v>
      </c>
      <c r="P5" s="61" t="s">
        <v>74</v>
      </c>
      <c r="Q5" s="57" t="s">
        <v>75</v>
      </c>
      <c r="R5" s="61"/>
      <c r="S5" s="57" t="s">
        <v>77</v>
      </c>
      <c r="T5" s="61" t="s">
        <v>185</v>
      </c>
      <c r="U5" s="57" t="s">
        <v>78</v>
      </c>
      <c r="V5" s="61"/>
    </row>
    <row r="6" spans="1:22" x14ac:dyDescent="0.25">
      <c r="A6" s="45" t="s">
        <v>273</v>
      </c>
      <c r="B6" s="46" t="s">
        <v>0</v>
      </c>
      <c r="C6" s="26" t="s">
        <v>51</v>
      </c>
      <c r="D6" s="26" t="s">
        <v>52</v>
      </c>
      <c r="E6" s="26" t="s">
        <v>53</v>
      </c>
      <c r="F6" s="26" t="s">
        <v>54</v>
      </c>
      <c r="G6" s="26" t="s">
        <v>55</v>
      </c>
      <c r="H6" s="26"/>
      <c r="I6" s="74" t="s">
        <v>274</v>
      </c>
      <c r="J6" s="75" t="s">
        <v>272</v>
      </c>
      <c r="K6" s="91"/>
      <c r="M6" s="26"/>
      <c r="N6" s="39">
        <v>4</v>
      </c>
      <c r="O6" s="57" t="s">
        <v>75</v>
      </c>
      <c r="P6" s="61" t="s">
        <v>275</v>
      </c>
      <c r="Q6" s="57" t="s">
        <v>77</v>
      </c>
      <c r="R6" s="61"/>
      <c r="S6" s="57" t="s">
        <v>78</v>
      </c>
      <c r="T6" s="61" t="s">
        <v>275</v>
      </c>
      <c r="U6" s="57" t="s">
        <v>73</v>
      </c>
      <c r="V6" s="61"/>
    </row>
    <row r="7" spans="1:22" x14ac:dyDescent="0.25">
      <c r="A7" s="41" t="s">
        <v>257</v>
      </c>
      <c r="B7" s="252" t="s">
        <v>274</v>
      </c>
      <c r="C7" s="252" t="s">
        <v>58</v>
      </c>
      <c r="D7" s="253">
        <v>44562</v>
      </c>
      <c r="E7" s="252">
        <v>1</v>
      </c>
      <c r="F7" s="253">
        <v>44562</v>
      </c>
      <c r="G7" s="40" t="s">
        <v>276</v>
      </c>
      <c r="H7" s="105"/>
      <c r="I7" s="69"/>
      <c r="J7" s="76" t="str">
        <f>INDEX(TableTeachingArea2[Choose your Second Approved Teaching Area],MATCH(K7,TableTeachingArea2[UDC],0))</f>
        <v>No Second Teaching Area</v>
      </c>
      <c r="K7" s="70" t="s">
        <v>277</v>
      </c>
      <c r="M7" s="26"/>
      <c r="N7" s="39">
        <v>5</v>
      </c>
      <c r="O7" s="57" t="s">
        <v>75</v>
      </c>
      <c r="P7" s="61" t="s">
        <v>278</v>
      </c>
      <c r="Q7" s="57" t="s">
        <v>77</v>
      </c>
      <c r="R7" s="61"/>
      <c r="S7" s="57" t="s">
        <v>78</v>
      </c>
      <c r="T7" s="86" t="s">
        <v>279</v>
      </c>
      <c r="U7" s="57" t="s">
        <v>73</v>
      </c>
      <c r="V7" s="61"/>
    </row>
    <row r="8" spans="1:22" x14ac:dyDescent="0.25">
      <c r="A8" s="41" t="s">
        <v>260</v>
      </c>
      <c r="B8" s="252" t="s">
        <v>280</v>
      </c>
      <c r="C8" s="252" t="s">
        <v>58</v>
      </c>
      <c r="D8" s="253">
        <v>44562</v>
      </c>
      <c r="E8" s="252">
        <v>1</v>
      </c>
      <c r="F8" s="253">
        <v>44562</v>
      </c>
      <c r="G8" s="40" t="s">
        <v>276</v>
      </c>
      <c r="H8" s="105"/>
      <c r="I8" s="69"/>
      <c r="J8" s="76" t="str">
        <f>INDEX(TableTeachingArea2[Choose your Second Approved Teaching Area],MATCH(K8,TableTeachingArea2[UDC],0))</f>
        <v>English Teaching Area</v>
      </c>
      <c r="K8" s="70" t="s">
        <v>280</v>
      </c>
      <c r="M8" s="26"/>
      <c r="N8" s="39">
        <v>6</v>
      </c>
      <c r="O8" s="57" t="s">
        <v>77</v>
      </c>
      <c r="P8" s="61" t="s">
        <v>185</v>
      </c>
      <c r="Q8" s="57" t="s">
        <v>78</v>
      </c>
      <c r="R8" s="61"/>
      <c r="S8" s="57" t="s">
        <v>73</v>
      </c>
      <c r="T8" s="61" t="s">
        <v>269</v>
      </c>
      <c r="U8" s="57" t="s">
        <v>75</v>
      </c>
      <c r="V8" s="61"/>
    </row>
    <row r="9" spans="1:22" x14ac:dyDescent="0.25">
      <c r="A9" s="41" t="s">
        <v>281</v>
      </c>
      <c r="B9" s="252" t="s">
        <v>282</v>
      </c>
      <c r="C9" s="252" t="s">
        <v>58</v>
      </c>
      <c r="D9" s="253">
        <v>44562</v>
      </c>
      <c r="E9" s="252">
        <v>1</v>
      </c>
      <c r="F9" s="253">
        <v>44562</v>
      </c>
      <c r="G9" s="40" t="s">
        <v>276</v>
      </c>
      <c r="H9" s="105"/>
      <c r="I9" s="69"/>
      <c r="J9" s="76" t="str">
        <f>INDEX(TableTeachingArea2[Choose your Second Approved Teaching Area],MATCH(K9,TableTeachingArea2[UDC],0))</f>
        <v>Health and Physical Education Teaching Area</v>
      </c>
      <c r="K9" s="70" t="s">
        <v>282</v>
      </c>
      <c r="M9" s="26"/>
      <c r="N9" s="39">
        <v>7</v>
      </c>
      <c r="O9" s="57" t="s">
        <v>77</v>
      </c>
      <c r="P9" s="61" t="s">
        <v>283</v>
      </c>
      <c r="Q9" s="57" t="s">
        <v>78</v>
      </c>
      <c r="R9" s="61"/>
      <c r="S9" s="57" t="s">
        <v>73</v>
      </c>
      <c r="T9" s="61" t="s">
        <v>278</v>
      </c>
      <c r="U9" s="57" t="s">
        <v>75</v>
      </c>
      <c r="V9" s="61"/>
    </row>
    <row r="10" spans="1:22" x14ac:dyDescent="0.25">
      <c r="A10" s="41" t="s">
        <v>284</v>
      </c>
      <c r="B10" s="252" t="s">
        <v>285</v>
      </c>
      <c r="C10" s="252" t="s">
        <v>58</v>
      </c>
      <c r="D10" s="253">
        <v>44562</v>
      </c>
      <c r="E10" s="252">
        <v>1</v>
      </c>
      <c r="F10" s="253">
        <v>44562</v>
      </c>
      <c r="G10" s="40" t="s">
        <v>276</v>
      </c>
      <c r="H10" s="105"/>
      <c r="I10" s="69"/>
      <c r="J10" s="76" t="str">
        <f>INDEX(TableTeachingArea2[Choose your Second Approved Teaching Area],MATCH(K10,TableTeachingArea2[UDC],0))</f>
        <v>Humanities and Social Sciences Teaching Area</v>
      </c>
      <c r="K10" s="70" t="s">
        <v>285</v>
      </c>
      <c r="M10" s="26"/>
      <c r="N10" s="39">
        <v>8</v>
      </c>
      <c r="O10" s="57" t="s">
        <v>78</v>
      </c>
      <c r="P10" s="86" t="s">
        <v>279</v>
      </c>
      <c r="Q10" s="57" t="s">
        <v>73</v>
      </c>
      <c r="R10" s="61"/>
      <c r="S10" s="57" t="s">
        <v>75</v>
      </c>
      <c r="T10" s="61" t="s">
        <v>283</v>
      </c>
      <c r="U10" s="57" t="s">
        <v>77</v>
      </c>
      <c r="V10" s="61"/>
    </row>
    <row r="11" spans="1:22" x14ac:dyDescent="0.25">
      <c r="A11" s="41" t="s">
        <v>286</v>
      </c>
      <c r="B11" s="252" t="s">
        <v>287</v>
      </c>
      <c r="C11" s="252" t="s">
        <v>58</v>
      </c>
      <c r="D11" s="253">
        <v>44562</v>
      </c>
      <c r="E11" s="252">
        <v>1</v>
      </c>
      <c r="F11" s="253">
        <v>44562</v>
      </c>
      <c r="G11" s="40" t="s">
        <v>276</v>
      </c>
      <c r="H11" s="105"/>
      <c r="I11" s="69"/>
      <c r="J11" s="76" t="str">
        <f>INDEX(TableTeachingArea2[Choose your Second Approved Teaching Area],MATCH(K11,TableTeachingArea2[UDC],0))</f>
        <v>Mathematics Teaching Area</v>
      </c>
      <c r="K11" s="70" t="s">
        <v>287</v>
      </c>
      <c r="M11" s="26"/>
      <c r="N11" s="39">
        <v>9</v>
      </c>
      <c r="O11" s="57" t="s">
        <v>78</v>
      </c>
      <c r="P11" s="87" t="s">
        <v>288</v>
      </c>
      <c r="Q11" s="57" t="s">
        <v>73</v>
      </c>
      <c r="R11" s="61"/>
      <c r="S11" s="57" t="s">
        <v>75</v>
      </c>
      <c r="T11" s="87" t="s">
        <v>288</v>
      </c>
      <c r="U11" s="57" t="s">
        <v>77</v>
      </c>
      <c r="V11" s="61"/>
    </row>
    <row r="12" spans="1:22" x14ac:dyDescent="0.25">
      <c r="A12" s="41" t="s">
        <v>289</v>
      </c>
      <c r="B12" s="252" t="s">
        <v>290</v>
      </c>
      <c r="C12" s="252" t="s">
        <v>58</v>
      </c>
      <c r="D12" s="253">
        <v>44562</v>
      </c>
      <c r="E12" s="252">
        <v>1</v>
      </c>
      <c r="F12" s="253">
        <v>44562</v>
      </c>
      <c r="G12" s="40" t="s">
        <v>276</v>
      </c>
      <c r="H12" s="105"/>
      <c r="I12" s="71"/>
      <c r="J12" s="77" t="str">
        <f>INDEX(TableTeachingArea2[Choose your Second Approved Teaching Area],MATCH(K12,TableTeachingArea2[UDC],0))</f>
        <v>Science Teaching Area</v>
      </c>
      <c r="K12" s="72" t="s">
        <v>290</v>
      </c>
      <c r="M12" s="26"/>
      <c r="N12" s="39">
        <v>10</v>
      </c>
      <c r="O12" s="56" t="s">
        <v>113</v>
      </c>
      <c r="P12" s="60" t="s">
        <v>291</v>
      </c>
      <c r="Q12" s="56" t="s">
        <v>114</v>
      </c>
      <c r="R12" s="60"/>
      <c r="S12" s="56" t="s">
        <v>115</v>
      </c>
      <c r="T12" s="60" t="s">
        <v>98</v>
      </c>
      <c r="U12" s="56" t="s">
        <v>116</v>
      </c>
      <c r="V12" s="60"/>
    </row>
    <row r="13" spans="1:22" x14ac:dyDescent="0.25">
      <c r="I13" s="74" t="s">
        <v>280</v>
      </c>
      <c r="J13" s="75" t="s">
        <v>272</v>
      </c>
      <c r="K13" s="91"/>
      <c r="M13" s="26"/>
      <c r="N13" s="39">
        <v>11</v>
      </c>
      <c r="O13" s="57" t="s">
        <v>113</v>
      </c>
      <c r="P13" s="61" t="s">
        <v>121</v>
      </c>
      <c r="Q13" s="57" t="s">
        <v>114</v>
      </c>
      <c r="R13" s="61"/>
      <c r="S13" s="57" t="s">
        <v>115</v>
      </c>
      <c r="T13" s="61" t="s">
        <v>97</v>
      </c>
      <c r="U13" s="57" t="s">
        <v>116</v>
      </c>
      <c r="V13" s="61"/>
    </row>
    <row r="14" spans="1:22" x14ac:dyDescent="0.25">
      <c r="A14" s="73" t="s">
        <v>292</v>
      </c>
      <c r="B14" s="26"/>
      <c r="C14" s="26"/>
      <c r="D14" s="26"/>
      <c r="E14" s="26"/>
      <c r="F14" s="26"/>
      <c r="G14" s="26"/>
      <c r="H14" s="26"/>
      <c r="I14" s="69"/>
      <c r="J14" s="76" t="str">
        <f>INDEX(TableTeachingArea2[Choose your Second Approved Teaching Area],MATCH(K14,TableTeachingArea2[UDC],0))</f>
        <v>No Second Teaching Area</v>
      </c>
      <c r="K14" s="70" t="s">
        <v>277</v>
      </c>
      <c r="M14" s="26"/>
      <c r="N14" s="39">
        <v>12</v>
      </c>
      <c r="O14" s="57" t="s">
        <v>114</v>
      </c>
      <c r="P14" s="86" t="s">
        <v>293</v>
      </c>
      <c r="Q14" s="57" t="s">
        <v>115</v>
      </c>
      <c r="R14" s="61"/>
      <c r="S14" s="57" t="s">
        <v>116</v>
      </c>
      <c r="T14" s="61" t="s">
        <v>128</v>
      </c>
      <c r="U14" s="57" t="s">
        <v>113</v>
      </c>
      <c r="V14" s="61"/>
    </row>
    <row r="15" spans="1:22" x14ac:dyDescent="0.25">
      <c r="A15" s="45" t="s">
        <v>294</v>
      </c>
      <c r="B15" s="46" t="s">
        <v>0</v>
      </c>
      <c r="C15" s="26" t="s">
        <v>51</v>
      </c>
      <c r="D15" s="26" t="s">
        <v>52</v>
      </c>
      <c r="E15" s="26" t="s">
        <v>53</v>
      </c>
      <c r="F15" s="26" t="s">
        <v>54</v>
      </c>
      <c r="G15" s="26" t="s">
        <v>55</v>
      </c>
      <c r="H15" s="26"/>
      <c r="I15" s="69"/>
      <c r="J15" s="76" t="str">
        <f>INDEX(TableTeachingArea2[Choose your Second Approved Teaching Area],MATCH(K15,TableTeachingArea2[UDC],0))</f>
        <v>The Arts Teaching Area</v>
      </c>
      <c r="K15" s="70" t="s">
        <v>274</v>
      </c>
      <c r="M15" s="26"/>
      <c r="N15" s="39">
        <v>13</v>
      </c>
      <c r="O15" s="57" t="s">
        <v>114</v>
      </c>
      <c r="P15" s="87" t="s">
        <v>295</v>
      </c>
      <c r="Q15" s="57" t="s">
        <v>115</v>
      </c>
      <c r="R15" s="61"/>
      <c r="S15" s="57" t="s">
        <v>116</v>
      </c>
      <c r="T15" s="86" t="s">
        <v>293</v>
      </c>
      <c r="U15" s="57" t="s">
        <v>113</v>
      </c>
      <c r="V15" s="61"/>
    </row>
    <row r="16" spans="1:22" x14ac:dyDescent="0.25">
      <c r="A16" s="41" t="s">
        <v>296</v>
      </c>
      <c r="B16" s="252" t="s">
        <v>277</v>
      </c>
      <c r="C16" s="252" t="s">
        <v>58</v>
      </c>
      <c r="D16" s="253">
        <v>44562</v>
      </c>
      <c r="E16" s="252">
        <v>1</v>
      </c>
      <c r="F16" s="253">
        <v>44562</v>
      </c>
      <c r="G16" s="40" t="s">
        <v>276</v>
      </c>
      <c r="H16" s="105"/>
      <c r="I16" s="69"/>
      <c r="J16" s="76" t="str">
        <f>INDEX(TableTeachingArea2[Choose your Second Approved Teaching Area],MATCH(K16,TableTeachingArea2[UDC],0))</f>
        <v>Health and Physical Education Teaching Area</v>
      </c>
      <c r="K16" s="70" t="s">
        <v>282</v>
      </c>
      <c r="M16" s="26"/>
      <c r="N16" s="39">
        <v>14</v>
      </c>
      <c r="O16" s="57" t="s">
        <v>115</v>
      </c>
      <c r="P16" s="61" t="s">
        <v>98</v>
      </c>
      <c r="Q16" s="57" t="s">
        <v>116</v>
      </c>
      <c r="R16" s="61"/>
      <c r="S16" s="57" t="s">
        <v>113</v>
      </c>
      <c r="T16" s="61" t="s">
        <v>291</v>
      </c>
      <c r="U16" s="57" t="s">
        <v>114</v>
      </c>
      <c r="V16" s="61"/>
    </row>
    <row r="17" spans="1:30" x14ac:dyDescent="0.25">
      <c r="A17" s="41" t="s">
        <v>257</v>
      </c>
      <c r="B17" s="252" t="s">
        <v>274</v>
      </c>
      <c r="C17" s="252" t="s">
        <v>58</v>
      </c>
      <c r="D17" s="253">
        <v>44562</v>
      </c>
      <c r="E17" s="252">
        <v>1</v>
      </c>
      <c r="F17" s="253">
        <v>44562</v>
      </c>
      <c r="G17" s="40" t="s">
        <v>276</v>
      </c>
      <c r="H17" s="105"/>
      <c r="I17" s="69"/>
      <c r="J17" s="76" t="str">
        <f>INDEX(TableTeachingArea2[Choose your Second Approved Teaching Area],MATCH(K17,TableTeachingArea2[UDC],0))</f>
        <v>Humanities and Social Sciences Teaching Area</v>
      </c>
      <c r="K17" s="70" t="s">
        <v>285</v>
      </c>
      <c r="M17" s="26"/>
      <c r="N17" s="39">
        <v>15</v>
      </c>
      <c r="O17" s="57" t="s">
        <v>115</v>
      </c>
      <c r="P17" s="61" t="s">
        <v>97</v>
      </c>
      <c r="Q17" s="57" t="s">
        <v>116</v>
      </c>
      <c r="R17" s="61"/>
      <c r="S17" s="57" t="s">
        <v>113</v>
      </c>
      <c r="T17" s="61" t="s">
        <v>121</v>
      </c>
      <c r="U17" s="57" t="s">
        <v>114</v>
      </c>
      <c r="V17" s="61"/>
    </row>
    <row r="18" spans="1:30" x14ac:dyDescent="0.25">
      <c r="A18" s="41" t="s">
        <v>260</v>
      </c>
      <c r="B18" s="252" t="s">
        <v>280</v>
      </c>
      <c r="C18" s="252" t="s">
        <v>58</v>
      </c>
      <c r="D18" s="253">
        <v>44562</v>
      </c>
      <c r="E18" s="252">
        <v>1</v>
      </c>
      <c r="F18" s="253">
        <v>44562</v>
      </c>
      <c r="G18" s="40" t="s">
        <v>276</v>
      </c>
      <c r="H18" s="105"/>
      <c r="I18" s="69"/>
      <c r="J18" s="76" t="str">
        <f>INDEX(TableTeachingArea2[Choose your Second Approved Teaching Area],MATCH(K18,TableTeachingArea2[UDC],0))</f>
        <v>Mathematics Teaching Area</v>
      </c>
      <c r="K18" s="70" t="s">
        <v>287</v>
      </c>
      <c r="M18" s="26"/>
      <c r="N18" s="39">
        <v>16</v>
      </c>
      <c r="O18" s="57" t="s">
        <v>116</v>
      </c>
      <c r="P18" s="61" t="s">
        <v>128</v>
      </c>
      <c r="Q18" s="57" t="s">
        <v>113</v>
      </c>
      <c r="R18" s="61"/>
      <c r="S18" s="57" t="s">
        <v>114</v>
      </c>
      <c r="T18" s="87" t="s">
        <v>295</v>
      </c>
      <c r="U18" s="57" t="s">
        <v>115</v>
      </c>
      <c r="V18" s="61"/>
    </row>
    <row r="19" spans="1:30" x14ac:dyDescent="0.25">
      <c r="A19" s="41" t="s">
        <v>281</v>
      </c>
      <c r="B19" s="252" t="s">
        <v>282</v>
      </c>
      <c r="C19" s="252" t="s">
        <v>58</v>
      </c>
      <c r="D19" s="253">
        <v>44562</v>
      </c>
      <c r="E19" s="252">
        <v>1</v>
      </c>
      <c r="F19" s="253">
        <v>44562</v>
      </c>
      <c r="G19" s="40" t="s">
        <v>276</v>
      </c>
      <c r="H19" s="105"/>
      <c r="I19" s="71"/>
      <c r="J19" s="77" t="str">
        <f>INDEX(TableTeachingArea2[Choose your Second Approved Teaching Area],MATCH(K19,TableTeachingArea2[UDC],0))</f>
        <v>Science Teaching Area</v>
      </c>
      <c r="K19" s="72" t="s">
        <v>290</v>
      </c>
      <c r="M19" s="26"/>
      <c r="N19" s="39">
        <v>17</v>
      </c>
      <c r="O19" s="59" t="s">
        <v>116</v>
      </c>
      <c r="P19" s="58" t="s">
        <v>133</v>
      </c>
      <c r="Q19" s="59" t="s">
        <v>113</v>
      </c>
      <c r="R19" s="58"/>
      <c r="S19" s="59" t="s">
        <v>114</v>
      </c>
      <c r="T19" s="58" t="s">
        <v>133</v>
      </c>
      <c r="U19" s="59" t="s">
        <v>115</v>
      </c>
      <c r="V19" s="58"/>
    </row>
    <row r="20" spans="1:30" x14ac:dyDescent="0.25">
      <c r="A20" s="41" t="s">
        <v>284</v>
      </c>
      <c r="B20" s="252" t="s">
        <v>285</v>
      </c>
      <c r="C20" s="252" t="s">
        <v>58</v>
      </c>
      <c r="D20" s="253">
        <v>44562</v>
      </c>
      <c r="E20" s="252">
        <v>1</v>
      </c>
      <c r="F20" s="253">
        <v>44562</v>
      </c>
      <c r="G20" s="40" t="s">
        <v>276</v>
      </c>
      <c r="H20" s="105"/>
      <c r="I20" s="74" t="s">
        <v>282</v>
      </c>
      <c r="J20" s="75" t="s">
        <v>272</v>
      </c>
      <c r="K20" s="91"/>
      <c r="M20" s="26"/>
    </row>
    <row r="21" spans="1:30" x14ac:dyDescent="0.25">
      <c r="A21" s="41" t="s">
        <v>286</v>
      </c>
      <c r="B21" s="252" t="s">
        <v>287</v>
      </c>
      <c r="C21" s="252" t="s">
        <v>58</v>
      </c>
      <c r="D21" s="253">
        <v>44562</v>
      </c>
      <c r="E21" s="252">
        <v>1</v>
      </c>
      <c r="F21" s="253">
        <v>44562</v>
      </c>
      <c r="G21" s="40" t="s">
        <v>276</v>
      </c>
      <c r="H21" s="105"/>
      <c r="I21" s="69"/>
      <c r="J21" s="76" t="str">
        <f>INDEX(TableTeachingArea2[Choose your Second Approved Teaching Area],MATCH(K21,TableTeachingArea2[UDC],0))</f>
        <v>No Second Teaching Area</v>
      </c>
      <c r="K21" s="70" t="s">
        <v>277</v>
      </c>
      <c r="M21" s="26"/>
    </row>
    <row r="22" spans="1:30" x14ac:dyDescent="0.25">
      <c r="A22" s="41" t="s">
        <v>289</v>
      </c>
      <c r="B22" s="252" t="s">
        <v>290</v>
      </c>
      <c r="C22" s="252" t="s">
        <v>58</v>
      </c>
      <c r="D22" s="253">
        <v>44562</v>
      </c>
      <c r="E22" s="252">
        <v>1</v>
      </c>
      <c r="F22" s="253">
        <v>44562</v>
      </c>
      <c r="G22" s="40" t="s">
        <v>276</v>
      </c>
      <c r="H22" s="105"/>
      <c r="I22" s="69"/>
      <c r="J22" s="76" t="str">
        <f>INDEX(TableTeachingArea2[Choose your Second Approved Teaching Area],MATCH(K22,TableTeachingArea2[UDC],0))</f>
        <v>The Arts Teaching Area</v>
      </c>
      <c r="K22" s="70" t="s">
        <v>274</v>
      </c>
      <c r="M22" s="93" t="s">
        <v>297</v>
      </c>
      <c r="N22" s="35">
        <v>1</v>
      </c>
      <c r="O22" s="80"/>
      <c r="P22" s="80" t="s">
        <v>274</v>
      </c>
      <c r="Q22" s="80" t="s">
        <v>280</v>
      </c>
      <c r="R22" s="80" t="s">
        <v>282</v>
      </c>
      <c r="S22" s="80" t="s">
        <v>285</v>
      </c>
      <c r="T22" s="80" t="s">
        <v>287</v>
      </c>
      <c r="U22" s="80" t="s">
        <v>290</v>
      </c>
      <c r="V22" s="80" t="s">
        <v>277</v>
      </c>
    </row>
    <row r="23" spans="1:30" x14ac:dyDescent="0.25">
      <c r="I23" s="69"/>
      <c r="J23" s="76" t="str">
        <f>INDEX(TableTeachingArea2[Choose your Second Approved Teaching Area],MATCH(K23,TableTeachingArea2[UDC],0))</f>
        <v>English Teaching Area</v>
      </c>
      <c r="K23" s="70" t="s">
        <v>280</v>
      </c>
      <c r="M23" s="42"/>
      <c r="N23" s="39">
        <v>2</v>
      </c>
      <c r="O23" s="81"/>
      <c r="P23" s="81" t="s">
        <v>298</v>
      </c>
      <c r="Q23" s="81" t="s">
        <v>298</v>
      </c>
      <c r="R23" s="81" t="s">
        <v>298</v>
      </c>
      <c r="S23" s="81" t="s">
        <v>298</v>
      </c>
      <c r="T23" s="81" t="s">
        <v>298</v>
      </c>
      <c r="U23" s="81" t="s">
        <v>298</v>
      </c>
      <c r="V23" s="81" t="s">
        <v>298</v>
      </c>
    </row>
    <row r="24" spans="1:30" x14ac:dyDescent="0.25">
      <c r="A24" s="73" t="s">
        <v>299</v>
      </c>
      <c r="B24" s="26"/>
      <c r="C24" s="26"/>
      <c r="D24" s="26"/>
      <c r="E24" s="26"/>
      <c r="F24" s="26"/>
      <c r="G24" s="26"/>
      <c r="H24" s="26"/>
      <c r="I24" s="69"/>
      <c r="J24" s="76" t="str">
        <f>INDEX(TableTeachingArea2[Choose your Second Approved Teaching Area],MATCH(K24,TableTeachingArea2[UDC],0))</f>
        <v>Humanities and Social Sciences Teaching Area</v>
      </c>
      <c r="K24" s="70" t="s">
        <v>285</v>
      </c>
      <c r="M24" s="42"/>
      <c r="N24" s="39">
        <v>3</v>
      </c>
      <c r="O24" s="82" t="s">
        <v>300</v>
      </c>
      <c r="P24" s="82" t="s">
        <v>301</v>
      </c>
      <c r="Q24" s="82" t="s">
        <v>302</v>
      </c>
      <c r="R24" s="82" t="s">
        <v>303</v>
      </c>
      <c r="S24" s="82" t="s">
        <v>304</v>
      </c>
      <c r="T24" s="82" t="s">
        <v>305</v>
      </c>
      <c r="U24" s="82" t="s">
        <v>306</v>
      </c>
      <c r="V24" s="82" t="s">
        <v>188</v>
      </c>
    </row>
    <row r="25" spans="1:30" x14ac:dyDescent="0.25">
      <c r="A25" s="45" t="s">
        <v>307</v>
      </c>
      <c r="B25" s="46" t="s">
        <v>0</v>
      </c>
      <c r="C25" s="26" t="s">
        <v>51</v>
      </c>
      <c r="D25" s="26" t="s">
        <v>52</v>
      </c>
      <c r="E25" s="26" t="s">
        <v>53</v>
      </c>
      <c r="F25" s="26" t="s">
        <v>54</v>
      </c>
      <c r="G25" s="26" t="s">
        <v>55</v>
      </c>
      <c r="H25" s="26"/>
      <c r="I25" s="69"/>
      <c r="J25" s="76" t="str">
        <f>INDEX(TableTeachingArea2[Choose your Second Approved Teaching Area],MATCH(K25,TableTeachingArea2[UDC],0))</f>
        <v>Mathematics Teaching Area</v>
      </c>
      <c r="K25" s="70" t="s">
        <v>287</v>
      </c>
      <c r="M25" s="42"/>
      <c r="N25" s="39">
        <v>4</v>
      </c>
      <c r="O25" s="83" t="s">
        <v>308</v>
      </c>
      <c r="P25" s="83" t="s">
        <v>309</v>
      </c>
      <c r="Q25" s="83" t="s">
        <v>310</v>
      </c>
      <c r="R25" s="83" t="s">
        <v>311</v>
      </c>
      <c r="S25" s="83" t="s">
        <v>312</v>
      </c>
      <c r="T25" s="83" t="s">
        <v>313</v>
      </c>
      <c r="U25" s="83" t="s">
        <v>314</v>
      </c>
      <c r="V25" s="83" t="s">
        <v>188</v>
      </c>
    </row>
    <row r="26" spans="1:30" x14ac:dyDescent="0.25">
      <c r="A26" s="49" t="s">
        <v>250</v>
      </c>
      <c r="B26" s="258" t="s">
        <v>315</v>
      </c>
      <c r="C26" s="252" t="s">
        <v>58</v>
      </c>
      <c r="D26" s="253">
        <v>45292</v>
      </c>
      <c r="E26" s="252">
        <v>1</v>
      </c>
      <c r="F26" s="253">
        <v>45292</v>
      </c>
      <c r="G26" s="117" t="s">
        <v>86</v>
      </c>
      <c r="H26" s="113"/>
      <c r="I26" s="71"/>
      <c r="J26" s="77" t="str">
        <f>INDEX(TableTeachingArea2[Choose your Second Approved Teaching Area],MATCH(K26,TableTeachingArea2[UDC],0))</f>
        <v>Science Teaching Area</v>
      </c>
      <c r="K26" s="72" t="s">
        <v>290</v>
      </c>
      <c r="M26" s="42"/>
      <c r="N26" s="39">
        <v>5</v>
      </c>
      <c r="O26" s="82"/>
      <c r="P26" s="82" t="s">
        <v>316</v>
      </c>
      <c r="Q26" s="82" t="s">
        <v>316</v>
      </c>
      <c r="R26" s="82" t="s">
        <v>316</v>
      </c>
      <c r="S26" s="82" t="s">
        <v>316</v>
      </c>
      <c r="T26" s="82" t="s">
        <v>316</v>
      </c>
      <c r="U26" s="82" t="s">
        <v>316</v>
      </c>
      <c r="V26" s="82" t="s">
        <v>316</v>
      </c>
    </row>
    <row r="27" spans="1:30" x14ac:dyDescent="0.25">
      <c r="A27" s="49" t="s">
        <v>251</v>
      </c>
      <c r="B27" s="258" t="s">
        <v>317</v>
      </c>
      <c r="C27" s="252" t="s">
        <v>58</v>
      </c>
      <c r="D27" s="253">
        <v>45292</v>
      </c>
      <c r="E27" s="252">
        <v>1</v>
      </c>
      <c r="F27" s="253">
        <v>45292</v>
      </c>
      <c r="G27" s="117" t="s">
        <v>86</v>
      </c>
      <c r="H27" s="113"/>
      <c r="I27" s="74" t="s">
        <v>285</v>
      </c>
      <c r="J27" s="75" t="s">
        <v>272</v>
      </c>
      <c r="K27" s="91"/>
      <c r="N27" s="39">
        <v>6</v>
      </c>
      <c r="O27" s="82" t="s">
        <v>318</v>
      </c>
      <c r="P27" s="84" t="str">
        <f t="shared" ref="P27:U28" si="0">P24</f>
        <v>EDSC5023</v>
      </c>
      <c r="Q27" s="84" t="str">
        <f t="shared" si="0"/>
        <v>EDSC5024</v>
      </c>
      <c r="R27" s="84" t="str">
        <f t="shared" si="0"/>
        <v>EDSC5055</v>
      </c>
      <c r="S27" s="84" t="str">
        <f t="shared" si="0"/>
        <v>EDSC5025</v>
      </c>
      <c r="T27" s="84" t="str">
        <f t="shared" si="0"/>
        <v>EDSC5026</v>
      </c>
      <c r="U27" s="84" t="str">
        <f t="shared" si="0"/>
        <v>EDSC5027</v>
      </c>
      <c r="V27" s="82" t="s">
        <v>182</v>
      </c>
    </row>
    <row r="28" spans="1:30" x14ac:dyDescent="0.25">
      <c r="I28" s="69"/>
      <c r="J28" s="76" t="str">
        <f>INDEX(TableTeachingArea2[Choose your Second Approved Teaching Area],MATCH(K28,TableTeachingArea2[UDC],0))</f>
        <v>No Second Teaching Area</v>
      </c>
      <c r="K28" s="70" t="s">
        <v>277</v>
      </c>
      <c r="M28" s="26"/>
      <c r="N28" s="39">
        <v>7</v>
      </c>
      <c r="O28" s="83" t="s">
        <v>319</v>
      </c>
      <c r="P28" s="85" t="str">
        <f t="shared" si="0"/>
        <v>EDSC5030</v>
      </c>
      <c r="Q28" s="85" t="str">
        <f t="shared" si="0"/>
        <v>EDSC5053</v>
      </c>
      <c r="R28" s="85" t="str">
        <f t="shared" si="0"/>
        <v>EDSC5057</v>
      </c>
      <c r="S28" s="85" t="str">
        <f t="shared" si="0"/>
        <v>EDSC5032</v>
      </c>
      <c r="T28" s="85" t="str">
        <f t="shared" si="0"/>
        <v>EDSC5033</v>
      </c>
      <c r="U28" s="85" t="str">
        <f t="shared" si="0"/>
        <v>EDSC5034</v>
      </c>
      <c r="V28" s="83" t="s">
        <v>320</v>
      </c>
    </row>
    <row r="29" spans="1:30" x14ac:dyDescent="0.25">
      <c r="I29" s="69"/>
      <c r="J29" s="76" t="str">
        <f>INDEX(TableTeachingArea2[Choose your Second Approved Teaching Area],MATCH(K29,TableTeachingArea2[UDC],0))</f>
        <v>The Arts Teaching Area</v>
      </c>
      <c r="K29" s="70" t="s">
        <v>274</v>
      </c>
    </row>
    <row r="30" spans="1:30" x14ac:dyDescent="0.25">
      <c r="I30" s="69"/>
      <c r="J30" s="76" t="str">
        <f>INDEX(TableTeachingArea2[Choose your Second Approved Teaching Area],MATCH(K30,TableTeachingArea2[UDC],0))</f>
        <v>English Teaching Area</v>
      </c>
      <c r="K30" s="70" t="s">
        <v>280</v>
      </c>
    </row>
    <row r="31" spans="1:30" x14ac:dyDescent="0.25">
      <c r="I31" s="69"/>
      <c r="J31" s="76" t="str">
        <f>INDEX(TableTeachingArea2[Choose your Second Approved Teaching Area],MATCH(K31,TableTeachingArea2[UDC],0))</f>
        <v>Health and Physical Education Teaching Area</v>
      </c>
      <c r="K31" s="70" t="s">
        <v>282</v>
      </c>
      <c r="M31" s="93" t="s">
        <v>321</v>
      </c>
      <c r="N31" s="35">
        <v>1</v>
      </c>
      <c r="O31" s="99"/>
      <c r="P31" s="100" t="s">
        <v>322</v>
      </c>
      <c r="Q31" s="99"/>
      <c r="R31" s="100" t="s">
        <v>323</v>
      </c>
      <c r="S31" s="99"/>
      <c r="T31" s="100" t="s">
        <v>324</v>
      </c>
      <c r="U31" s="99"/>
      <c r="V31" s="100" t="s">
        <v>325</v>
      </c>
      <c r="W31" s="107"/>
      <c r="X31" s="100" t="s">
        <v>326</v>
      </c>
      <c r="Y31" s="99"/>
      <c r="Z31" s="100" t="s">
        <v>327</v>
      </c>
      <c r="AA31" s="99"/>
      <c r="AB31" s="100" t="s">
        <v>328</v>
      </c>
      <c r="AC31" s="99"/>
      <c r="AD31" s="100" t="s">
        <v>329</v>
      </c>
    </row>
    <row r="32" spans="1:30" x14ac:dyDescent="0.25">
      <c r="I32" s="69"/>
      <c r="J32" s="76" t="str">
        <f>INDEX(TableTeachingArea2[Choose your Second Approved Teaching Area],MATCH(K32,TableTeachingArea2[UDC],0))</f>
        <v>Mathematics Teaching Area</v>
      </c>
      <c r="K32" s="70" t="s">
        <v>287</v>
      </c>
      <c r="M32" s="26"/>
      <c r="N32" s="39">
        <v>2</v>
      </c>
      <c r="O32" s="56" t="s">
        <v>73</v>
      </c>
      <c r="P32" s="60" t="s">
        <v>74</v>
      </c>
      <c r="Q32" s="56" t="s">
        <v>73</v>
      </c>
      <c r="R32" s="60" t="s">
        <v>76</v>
      </c>
      <c r="S32" s="56"/>
      <c r="T32" s="60" t="s">
        <v>76</v>
      </c>
      <c r="U32" s="56"/>
      <c r="V32" s="60" t="s">
        <v>76</v>
      </c>
      <c r="W32" s="56" t="s">
        <v>73</v>
      </c>
      <c r="X32" s="108" t="s">
        <v>269</v>
      </c>
      <c r="Y32" s="56"/>
      <c r="Z32" s="60" t="s">
        <v>76</v>
      </c>
      <c r="AA32" s="56"/>
      <c r="AB32" s="60" t="s">
        <v>76</v>
      </c>
      <c r="AC32" s="56"/>
      <c r="AD32" s="60" t="s">
        <v>76</v>
      </c>
    </row>
    <row r="33" spans="9:30" x14ac:dyDescent="0.25">
      <c r="I33" s="71"/>
      <c r="J33" s="77" t="str">
        <f>INDEX(TableTeachingArea2[Choose your Second Approved Teaching Area],MATCH(K33,TableTeachingArea2[UDC],0))</f>
        <v>Science Teaching Area</v>
      </c>
      <c r="K33" s="72" t="s">
        <v>290</v>
      </c>
      <c r="M33" s="26"/>
      <c r="N33" s="39">
        <v>3</v>
      </c>
      <c r="O33" s="57" t="s">
        <v>73</v>
      </c>
      <c r="P33" s="61" t="s">
        <v>93</v>
      </c>
      <c r="Q33" s="57" t="s">
        <v>73</v>
      </c>
      <c r="R33" s="61"/>
      <c r="S33" s="57"/>
      <c r="T33" s="61"/>
      <c r="U33" s="57"/>
      <c r="V33" s="61"/>
      <c r="W33" s="57" t="s">
        <v>73</v>
      </c>
      <c r="X33" s="35" t="s">
        <v>278</v>
      </c>
      <c r="Y33" s="57"/>
      <c r="Z33" s="61"/>
      <c r="AA33" s="57"/>
      <c r="AB33" s="61"/>
      <c r="AC33" s="57"/>
      <c r="AD33" s="61"/>
    </row>
    <row r="34" spans="9:30" x14ac:dyDescent="0.25">
      <c r="I34" s="74" t="s">
        <v>287</v>
      </c>
      <c r="J34" s="75" t="s">
        <v>272</v>
      </c>
      <c r="K34" s="91"/>
      <c r="M34" s="26"/>
      <c r="N34" s="39">
        <v>4</v>
      </c>
      <c r="O34" s="57" t="s">
        <v>75</v>
      </c>
      <c r="P34" s="61" t="s">
        <v>108</v>
      </c>
      <c r="Q34" s="57" t="s">
        <v>73</v>
      </c>
      <c r="R34" s="61"/>
      <c r="S34" s="57"/>
      <c r="T34" s="61"/>
      <c r="U34" s="57"/>
      <c r="V34" s="61"/>
      <c r="W34" s="57" t="s">
        <v>75</v>
      </c>
      <c r="X34" s="35" t="s">
        <v>283</v>
      </c>
      <c r="Y34" s="57"/>
      <c r="Z34" s="61"/>
      <c r="AA34" s="57"/>
      <c r="AB34" s="61"/>
      <c r="AC34" s="57"/>
      <c r="AD34" s="61"/>
    </row>
    <row r="35" spans="9:30" x14ac:dyDescent="0.25">
      <c r="I35" s="69"/>
      <c r="J35" s="76" t="str">
        <f>INDEX(TableTeachingArea2[Choose your Second Approved Teaching Area],MATCH(K35,TableTeachingArea2[UDC],0))</f>
        <v>No Second Teaching Area</v>
      </c>
      <c r="K35" s="70" t="s">
        <v>277</v>
      </c>
      <c r="M35" s="26"/>
      <c r="N35" s="39">
        <v>5</v>
      </c>
      <c r="O35" s="57" t="s">
        <v>75</v>
      </c>
      <c r="P35" s="61" t="s">
        <v>104</v>
      </c>
      <c r="Q35" s="57" t="s">
        <v>75</v>
      </c>
      <c r="R35" s="61"/>
      <c r="S35" s="57"/>
      <c r="T35" s="61"/>
      <c r="U35" s="57"/>
      <c r="V35" s="61"/>
      <c r="W35" s="57" t="s">
        <v>75</v>
      </c>
      <c r="X35" s="111" t="s">
        <v>330</v>
      </c>
      <c r="Y35" s="57"/>
      <c r="Z35" s="61"/>
      <c r="AA35" s="57"/>
      <c r="AB35" s="61"/>
      <c r="AC35" s="57"/>
      <c r="AD35" s="61"/>
    </row>
    <row r="36" spans="9:30" x14ac:dyDescent="0.25">
      <c r="I36" s="69"/>
      <c r="J36" s="76" t="str">
        <f>INDEX(TableTeachingArea2[Choose your Second Approved Teaching Area],MATCH(K36,TableTeachingArea2[UDC],0))</f>
        <v>The Arts Teaching Area</v>
      </c>
      <c r="K36" s="70" t="s">
        <v>274</v>
      </c>
      <c r="M36" s="26"/>
      <c r="N36" s="39">
        <v>6</v>
      </c>
      <c r="O36" s="57" t="s">
        <v>77</v>
      </c>
      <c r="P36" s="61" t="s">
        <v>121</v>
      </c>
      <c r="Q36" s="57" t="s">
        <v>75</v>
      </c>
      <c r="R36" s="61"/>
      <c r="S36" s="57"/>
      <c r="T36" s="61"/>
      <c r="U36" s="57"/>
      <c r="V36" s="61"/>
      <c r="W36" s="57" t="s">
        <v>77</v>
      </c>
      <c r="X36" s="35" t="s">
        <v>98</v>
      </c>
      <c r="Y36" s="57"/>
      <c r="Z36" s="61"/>
      <c r="AA36" s="57"/>
      <c r="AB36" s="61"/>
      <c r="AC36" s="57"/>
      <c r="AD36" s="61"/>
    </row>
    <row r="37" spans="9:30" x14ac:dyDescent="0.25">
      <c r="I37" s="69"/>
      <c r="J37" s="76" t="str">
        <f>INDEX(TableTeachingArea2[Choose your Second Approved Teaching Area],MATCH(K37,TableTeachingArea2[UDC],0))</f>
        <v>English Teaching Area</v>
      </c>
      <c r="K37" s="70" t="s">
        <v>280</v>
      </c>
      <c r="M37" s="26"/>
      <c r="N37" s="39">
        <v>7</v>
      </c>
      <c r="O37" s="57" t="s">
        <v>77</v>
      </c>
      <c r="P37" s="61" t="s">
        <v>79</v>
      </c>
      <c r="Q37" s="57" t="s">
        <v>75</v>
      </c>
      <c r="R37" s="63"/>
      <c r="S37" s="57"/>
      <c r="T37" s="61"/>
      <c r="U37" s="57"/>
      <c r="V37" s="63"/>
      <c r="W37" s="57" t="s">
        <v>77</v>
      </c>
      <c r="X37" s="110" t="s">
        <v>121</v>
      </c>
      <c r="Y37" s="57"/>
      <c r="Z37" s="61"/>
      <c r="AA37" s="57"/>
      <c r="AB37" s="63"/>
      <c r="AC37" s="57"/>
      <c r="AD37" s="61"/>
    </row>
    <row r="38" spans="9:30" x14ac:dyDescent="0.25">
      <c r="I38" s="69"/>
      <c r="J38" s="76" t="str">
        <f>INDEX(TableTeachingArea2[Choose your Second Approved Teaching Area],MATCH(K38,TableTeachingArea2[UDC],0))</f>
        <v>Health and Physical Education Teaching Area</v>
      </c>
      <c r="K38" s="70" t="s">
        <v>282</v>
      </c>
      <c r="M38" s="26"/>
      <c r="N38" s="39">
        <v>8</v>
      </c>
      <c r="O38" s="57" t="s">
        <v>78</v>
      </c>
      <c r="P38" s="61" t="s">
        <v>89</v>
      </c>
      <c r="Q38" s="57" t="s">
        <v>77</v>
      </c>
      <c r="R38" s="61"/>
      <c r="S38" s="57"/>
      <c r="T38" s="61"/>
      <c r="U38" s="57"/>
      <c r="V38" s="61"/>
      <c r="W38" s="57" t="s">
        <v>78</v>
      </c>
      <c r="X38" s="35" t="s">
        <v>97</v>
      </c>
      <c r="Y38" s="57"/>
      <c r="Z38" s="61"/>
      <c r="AA38" s="57"/>
      <c r="AB38" s="61"/>
      <c r="AC38" s="57"/>
      <c r="AD38" s="61"/>
    </row>
    <row r="39" spans="9:30" x14ac:dyDescent="0.25">
      <c r="I39" s="69"/>
      <c r="J39" s="76" t="str">
        <f>INDEX(TableTeachingArea2[Choose your Second Approved Teaching Area],MATCH(K39,TableTeachingArea2[UDC],0))</f>
        <v>Humanities and Social Sciences Teaching Area</v>
      </c>
      <c r="K39" s="70" t="s">
        <v>285</v>
      </c>
      <c r="M39" s="26"/>
      <c r="N39" s="39">
        <v>9</v>
      </c>
      <c r="O39" s="59" t="s">
        <v>78</v>
      </c>
      <c r="P39" s="64" t="s">
        <v>97</v>
      </c>
      <c r="Q39" s="59" t="s">
        <v>77</v>
      </c>
      <c r="R39" s="58"/>
      <c r="S39" s="59"/>
      <c r="T39" s="64"/>
      <c r="U39" s="59"/>
      <c r="V39" s="58"/>
      <c r="W39" s="59" t="s">
        <v>78</v>
      </c>
      <c r="X39" s="112" t="s">
        <v>331</v>
      </c>
      <c r="Y39" s="59"/>
      <c r="Z39" s="64"/>
      <c r="AA39" s="59"/>
      <c r="AB39" s="58"/>
      <c r="AC39" s="59"/>
      <c r="AD39" s="64"/>
    </row>
    <row r="40" spans="9:30" x14ac:dyDescent="0.25">
      <c r="I40" s="71"/>
      <c r="J40" s="77" t="str">
        <f>INDEX(TableTeachingArea2[Choose your Second Approved Teaching Area],MATCH(K40,TableTeachingArea2[UDC],0))</f>
        <v>Science Teaching Area</v>
      </c>
      <c r="K40" s="72" t="s">
        <v>290</v>
      </c>
      <c r="M40" s="26"/>
      <c r="N40" s="39">
        <v>10</v>
      </c>
      <c r="O40" s="56" t="s">
        <v>220</v>
      </c>
      <c r="P40" s="101" t="s">
        <v>136</v>
      </c>
      <c r="Q40" s="56"/>
      <c r="R40" s="60"/>
      <c r="S40" s="56"/>
      <c r="T40" s="60"/>
      <c r="U40" s="56"/>
      <c r="V40" s="60"/>
      <c r="W40" s="108"/>
      <c r="X40" s="108" t="s">
        <v>332</v>
      </c>
      <c r="Y40" s="56"/>
      <c r="Z40" s="60"/>
      <c r="AA40" s="56"/>
      <c r="AB40" s="60"/>
      <c r="AC40" s="56"/>
      <c r="AD40" s="60"/>
    </row>
    <row r="41" spans="9:30" x14ac:dyDescent="0.25">
      <c r="I41" s="74" t="s">
        <v>290</v>
      </c>
      <c r="J41" s="75" t="s">
        <v>272</v>
      </c>
      <c r="K41" s="91"/>
      <c r="M41" s="26"/>
      <c r="N41" s="39">
        <v>11</v>
      </c>
      <c r="O41" s="59" t="s">
        <v>222</v>
      </c>
      <c r="P41" s="64"/>
      <c r="Q41" s="59"/>
      <c r="R41" s="64"/>
      <c r="S41" s="59"/>
      <c r="T41" s="64"/>
      <c r="U41" s="59"/>
      <c r="V41" s="64"/>
      <c r="W41" s="109"/>
      <c r="X41" s="109"/>
      <c r="Y41" s="59"/>
      <c r="Z41" s="64"/>
      <c r="AA41" s="59"/>
      <c r="AB41" s="64"/>
      <c r="AC41" s="59"/>
      <c r="AD41" s="64"/>
    </row>
    <row r="42" spans="9:30" x14ac:dyDescent="0.25">
      <c r="I42" s="69"/>
      <c r="J42" s="76" t="s">
        <v>296</v>
      </c>
      <c r="K42" s="70" t="s">
        <v>277</v>
      </c>
      <c r="M42" s="26"/>
    </row>
    <row r="43" spans="9:30" x14ac:dyDescent="0.25">
      <c r="I43" s="69"/>
      <c r="J43" s="76" t="str">
        <f>INDEX(TableTeachingArea2[Choose your Second Approved Teaching Area],MATCH(K43,TableTeachingArea2[UDC],0))</f>
        <v>The Arts Teaching Area</v>
      </c>
      <c r="K43" s="70" t="s">
        <v>274</v>
      </c>
      <c r="M43" s="93" t="s">
        <v>333</v>
      </c>
      <c r="N43" s="35">
        <v>1</v>
      </c>
      <c r="O43" s="99"/>
      <c r="P43" s="100" t="s">
        <v>322</v>
      </c>
      <c r="Q43" s="99"/>
      <c r="R43" s="100" t="s">
        <v>323</v>
      </c>
      <c r="S43" s="99"/>
      <c r="T43" s="100" t="s">
        <v>324</v>
      </c>
      <c r="U43" s="99"/>
      <c r="V43" s="100" t="s">
        <v>325</v>
      </c>
      <c r="W43" s="107"/>
      <c r="X43" s="100" t="s">
        <v>326</v>
      </c>
      <c r="Y43" s="99"/>
      <c r="Z43" s="100" t="s">
        <v>327</v>
      </c>
      <c r="AA43" s="99"/>
      <c r="AB43" s="100" t="s">
        <v>328</v>
      </c>
      <c r="AC43" s="99"/>
      <c r="AD43" s="100" t="s">
        <v>329</v>
      </c>
    </row>
    <row r="44" spans="9:30" x14ac:dyDescent="0.25">
      <c r="I44" s="69"/>
      <c r="J44" s="76" t="str">
        <f>INDEX(TableTeachingArea2[Choose your Second Approved Teaching Area],MATCH(K44,TableTeachingArea2[UDC],0))</f>
        <v>English Teaching Area</v>
      </c>
      <c r="K44" s="70" t="s">
        <v>280</v>
      </c>
      <c r="M44" s="26"/>
      <c r="N44" s="39">
        <v>2</v>
      </c>
      <c r="O44" s="56" t="s">
        <v>73</v>
      </c>
      <c r="P44" s="60" t="s">
        <v>74</v>
      </c>
      <c r="Q44" s="56" t="s">
        <v>73</v>
      </c>
      <c r="R44" s="60" t="s">
        <v>76</v>
      </c>
      <c r="S44" s="56"/>
      <c r="T44" s="60" t="s">
        <v>76</v>
      </c>
      <c r="U44" s="56"/>
      <c r="V44" s="60" t="s">
        <v>76</v>
      </c>
      <c r="W44" s="56" t="s">
        <v>73</v>
      </c>
      <c r="X44" s="108" t="s">
        <v>269</v>
      </c>
      <c r="Y44" s="56"/>
      <c r="Z44" s="60" t="s">
        <v>76</v>
      </c>
      <c r="AA44" s="56"/>
      <c r="AB44" s="60" t="s">
        <v>76</v>
      </c>
      <c r="AC44" s="56"/>
      <c r="AD44" s="60" t="s">
        <v>76</v>
      </c>
    </row>
    <row r="45" spans="9:30" x14ac:dyDescent="0.25">
      <c r="I45" s="69"/>
      <c r="J45" s="76" t="str">
        <f>INDEX(TableTeachingArea2[Choose your Second Approved Teaching Area],MATCH(K45,TableTeachingArea2[UDC],0))</f>
        <v>Health and Physical Education Teaching Area</v>
      </c>
      <c r="K45" s="70" t="s">
        <v>282</v>
      </c>
      <c r="M45" s="26"/>
      <c r="N45" s="39">
        <v>3</v>
      </c>
      <c r="O45" s="57" t="s">
        <v>73</v>
      </c>
      <c r="P45" s="61" t="s">
        <v>93</v>
      </c>
      <c r="Q45" s="57" t="s">
        <v>73</v>
      </c>
      <c r="R45" s="61"/>
      <c r="S45" s="57"/>
      <c r="T45" s="61"/>
      <c r="U45" s="57"/>
      <c r="V45" s="61"/>
      <c r="W45" s="57" t="s">
        <v>73</v>
      </c>
      <c r="X45" s="35" t="s">
        <v>278</v>
      </c>
      <c r="Y45" s="57"/>
      <c r="Z45" s="61"/>
      <c r="AA45" s="57"/>
      <c r="AB45" s="61"/>
      <c r="AC45" s="57"/>
      <c r="AD45" s="61"/>
    </row>
    <row r="46" spans="9:30" x14ac:dyDescent="0.25">
      <c r="I46" s="69"/>
      <c r="J46" s="76" t="str">
        <f>INDEX(TableTeachingArea2[Choose your Second Approved Teaching Area],MATCH(K46,TableTeachingArea2[UDC],0))</f>
        <v>Humanities and Social Sciences Teaching Area</v>
      </c>
      <c r="K46" s="70" t="s">
        <v>285</v>
      </c>
      <c r="M46" s="26"/>
      <c r="N46" s="39">
        <v>4</v>
      </c>
      <c r="O46" s="57" t="s">
        <v>73</v>
      </c>
      <c r="P46" s="61" t="s">
        <v>79</v>
      </c>
      <c r="Q46" s="57" t="s">
        <v>73</v>
      </c>
      <c r="R46" s="61"/>
      <c r="S46" s="57"/>
      <c r="T46" s="61"/>
      <c r="U46" s="57"/>
      <c r="V46" s="61"/>
      <c r="W46" s="57" t="s">
        <v>73</v>
      </c>
      <c r="X46" s="35" t="s">
        <v>98</v>
      </c>
      <c r="Y46" s="57"/>
      <c r="Z46" s="61"/>
      <c r="AA46" s="57"/>
      <c r="AB46" s="61"/>
      <c r="AC46" s="57"/>
      <c r="AD46" s="61"/>
    </row>
    <row r="47" spans="9:30" x14ac:dyDescent="0.25">
      <c r="I47" s="71"/>
      <c r="J47" s="77" t="str">
        <f>INDEX(TableTeachingArea2[Choose your Second Approved Teaching Area],MATCH(K47,TableTeachingArea2[UDC],0))</f>
        <v>Mathematics Teaching Area</v>
      </c>
      <c r="K47" s="72" t="s">
        <v>287</v>
      </c>
      <c r="M47" s="26"/>
      <c r="N47" s="39">
        <v>5</v>
      </c>
      <c r="O47" s="57" t="s">
        <v>75</v>
      </c>
      <c r="P47" s="61" t="s">
        <v>108</v>
      </c>
      <c r="Q47" s="57" t="s">
        <v>75</v>
      </c>
      <c r="R47" s="61"/>
      <c r="S47" s="57"/>
      <c r="T47" s="61"/>
      <c r="U47" s="57"/>
      <c r="V47" s="61"/>
      <c r="W47" s="57" t="s">
        <v>75</v>
      </c>
      <c r="X47" s="35" t="s">
        <v>283</v>
      </c>
      <c r="Y47" s="57"/>
      <c r="Z47" s="61"/>
      <c r="AA47" s="57"/>
      <c r="AB47" s="61"/>
      <c r="AC47" s="57"/>
      <c r="AD47" s="61"/>
    </row>
    <row r="48" spans="9:30" x14ac:dyDescent="0.25">
      <c r="I48" s="74" t="s">
        <v>334</v>
      </c>
      <c r="J48" s="90" t="s">
        <v>335</v>
      </c>
      <c r="K48" s="91"/>
      <c r="M48" s="26"/>
      <c r="N48" s="39">
        <v>6</v>
      </c>
      <c r="O48" s="57" t="s">
        <v>75</v>
      </c>
      <c r="P48" s="61" t="s">
        <v>104</v>
      </c>
      <c r="Q48" s="57" t="s">
        <v>75</v>
      </c>
      <c r="R48" s="61"/>
      <c r="S48" s="57"/>
      <c r="T48" s="61"/>
      <c r="U48" s="57"/>
      <c r="V48" s="61"/>
      <c r="W48" s="57" t="s">
        <v>75</v>
      </c>
      <c r="X48" s="35" t="s">
        <v>97</v>
      </c>
      <c r="Y48" s="57"/>
      <c r="Z48" s="61"/>
      <c r="AA48" s="57"/>
      <c r="AB48" s="61"/>
      <c r="AC48" s="57"/>
      <c r="AD48" s="61"/>
    </row>
    <row r="49" spans="9:30" x14ac:dyDescent="0.25">
      <c r="I49" s="74" t="s">
        <v>315</v>
      </c>
      <c r="J49" s="75" t="s">
        <v>336</v>
      </c>
      <c r="K49" s="91"/>
      <c r="M49" s="26"/>
      <c r="N49" s="39">
        <v>7</v>
      </c>
      <c r="O49" s="57" t="s">
        <v>75</v>
      </c>
      <c r="P49" s="61" t="s">
        <v>89</v>
      </c>
      <c r="Q49" s="57" t="s">
        <v>75</v>
      </c>
      <c r="R49" s="63"/>
      <c r="S49" s="57"/>
      <c r="T49" s="61"/>
      <c r="U49" s="57"/>
      <c r="V49" s="63"/>
      <c r="W49" s="57" t="s">
        <v>75</v>
      </c>
      <c r="X49" s="111" t="s">
        <v>330</v>
      </c>
      <c r="Y49" s="57"/>
      <c r="Z49" s="61"/>
      <c r="AA49" s="57"/>
      <c r="AB49" s="63"/>
      <c r="AC49" s="57"/>
      <c r="AD49" s="61"/>
    </row>
    <row r="50" spans="9:30" x14ac:dyDescent="0.25">
      <c r="I50" s="74" t="s">
        <v>317</v>
      </c>
      <c r="J50" s="75" t="s">
        <v>253</v>
      </c>
      <c r="K50" s="91"/>
      <c r="M50" s="26"/>
      <c r="N50" s="39">
        <v>8</v>
      </c>
      <c r="O50" s="57" t="s">
        <v>77</v>
      </c>
      <c r="P50" s="61" t="s">
        <v>97</v>
      </c>
      <c r="Q50" s="57" t="s">
        <v>77</v>
      </c>
      <c r="R50" s="61"/>
      <c r="S50" s="57"/>
      <c r="T50" s="61"/>
      <c r="U50" s="57"/>
      <c r="V50" s="61"/>
      <c r="W50" s="57" t="s">
        <v>77</v>
      </c>
      <c r="X50" s="35" t="s">
        <v>121</v>
      </c>
      <c r="Y50" s="57"/>
      <c r="Z50" s="61"/>
      <c r="AA50" s="57"/>
      <c r="AB50" s="61"/>
      <c r="AC50" s="57"/>
      <c r="AD50" s="61"/>
    </row>
    <row r="51" spans="9:30" x14ac:dyDescent="0.25">
      <c r="I51" s="69"/>
      <c r="J51" s="76" t="s">
        <v>257</v>
      </c>
      <c r="K51" s="70" t="s">
        <v>274</v>
      </c>
      <c r="M51" s="26"/>
      <c r="N51" s="39">
        <v>9</v>
      </c>
      <c r="O51" s="59" t="s">
        <v>77</v>
      </c>
      <c r="P51" s="64" t="s">
        <v>121</v>
      </c>
      <c r="Q51" s="59" t="s">
        <v>77</v>
      </c>
      <c r="R51" s="58"/>
      <c r="S51" s="59"/>
      <c r="T51" s="64"/>
      <c r="U51" s="59"/>
      <c r="V51" s="58"/>
      <c r="W51" s="59" t="s">
        <v>77</v>
      </c>
      <c r="X51" s="112" t="s">
        <v>331</v>
      </c>
      <c r="Y51" s="59"/>
      <c r="Z51" s="64"/>
      <c r="AA51" s="59"/>
      <c r="AB51" s="58"/>
      <c r="AC51" s="59"/>
      <c r="AD51" s="64"/>
    </row>
    <row r="52" spans="9:30" x14ac:dyDescent="0.25">
      <c r="I52" s="69"/>
      <c r="J52" s="76" t="s">
        <v>260</v>
      </c>
      <c r="K52" s="70" t="s">
        <v>280</v>
      </c>
      <c r="M52" s="26"/>
      <c r="N52" s="39">
        <v>10</v>
      </c>
      <c r="O52" s="56" t="s">
        <v>220</v>
      </c>
      <c r="P52" s="101" t="s">
        <v>136</v>
      </c>
      <c r="Q52" s="56"/>
      <c r="R52" s="60"/>
      <c r="S52" s="56"/>
      <c r="T52" s="60"/>
      <c r="U52" s="56"/>
      <c r="V52" s="60"/>
      <c r="W52" s="108"/>
      <c r="X52" s="108" t="s">
        <v>332</v>
      </c>
      <c r="Y52" s="56"/>
      <c r="Z52" s="60"/>
      <c r="AA52" s="56"/>
      <c r="AB52" s="60"/>
      <c r="AC52" s="56"/>
      <c r="AD52" s="60"/>
    </row>
    <row r="53" spans="9:30" x14ac:dyDescent="0.25">
      <c r="I53" s="69"/>
      <c r="J53" s="76" t="s">
        <v>281</v>
      </c>
      <c r="K53" s="70" t="s">
        <v>282</v>
      </c>
      <c r="M53" s="26"/>
      <c r="N53" s="39">
        <v>11</v>
      </c>
      <c r="O53" s="59" t="s">
        <v>222</v>
      </c>
      <c r="P53" s="64"/>
      <c r="Q53" s="59"/>
      <c r="R53" s="64"/>
      <c r="S53" s="59"/>
      <c r="T53" s="64"/>
      <c r="U53" s="59"/>
      <c r="V53" s="64"/>
      <c r="W53" s="109"/>
      <c r="X53" s="109"/>
      <c r="Y53" s="59"/>
      <c r="Z53" s="64"/>
      <c r="AA53" s="59"/>
      <c r="AB53" s="64"/>
      <c r="AC53" s="59"/>
      <c r="AD53" s="64"/>
    </row>
    <row r="54" spans="9:30" x14ac:dyDescent="0.25">
      <c r="I54" s="69"/>
      <c r="J54" s="76" t="s">
        <v>284</v>
      </c>
      <c r="K54" s="70" t="s">
        <v>285</v>
      </c>
    </row>
    <row r="55" spans="9:30" x14ac:dyDescent="0.25">
      <c r="I55" s="69"/>
      <c r="J55" s="76" t="s">
        <v>286</v>
      </c>
      <c r="K55" s="70" t="s">
        <v>287</v>
      </c>
    </row>
    <row r="56" spans="9:30" x14ac:dyDescent="0.25">
      <c r="I56" s="71"/>
      <c r="J56" s="77" t="s">
        <v>289</v>
      </c>
      <c r="K56" s="72" t="s">
        <v>290</v>
      </c>
    </row>
  </sheetData>
  <pageMargins left="0.7" right="0.7" top="0.75" bottom="0.75" header="0.3" footer="0.3"/>
  <pageSetup paperSize="9" orientation="portrait" r:id="rId1"/>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L106"/>
  <sheetViews>
    <sheetView zoomScale="70" zoomScaleNormal="70" workbookViewId="0">
      <pane xSplit="5" ySplit="2" topLeftCell="F39" activePane="bottomRight" state="frozen"/>
      <selection activeCell="A11" sqref="A11"/>
      <selection pane="topRight" activeCell="A11" sqref="A11"/>
      <selection pane="bottomLeft" activeCell="A11" sqref="A11"/>
      <selection pane="bottomRight" activeCell="A11" sqref="A11"/>
    </sheetView>
  </sheetViews>
  <sheetFormatPr defaultRowHeight="15.75" x14ac:dyDescent="0.25"/>
  <cols>
    <col min="1" max="1" width="12.75" customWidth="1"/>
    <col min="2" max="2" width="7.5" style="1" bestFit="1" customWidth="1"/>
    <col min="3" max="3" width="11.5" bestFit="1" customWidth="1"/>
    <col min="4" max="4" width="70.625" bestFit="1" customWidth="1"/>
    <col min="5" max="5" width="11" style="1" bestFit="1" customWidth="1"/>
    <col min="6" max="6" width="30.625" bestFit="1" customWidth="1"/>
    <col min="7" max="10" width="5.625" customWidth="1"/>
    <col min="11" max="14" width="5.625" style="1" customWidth="1"/>
    <col min="15" max="15" width="47.75" style="1" bestFit="1" customWidth="1"/>
    <col min="16" max="18" width="7.125" style="1" bestFit="1" customWidth="1"/>
    <col min="19" max="38" width="7.125" bestFit="1" customWidth="1"/>
    <col min="39" max="39" width="5.375" bestFit="1" customWidth="1"/>
  </cols>
  <sheetData>
    <row r="1" spans="1:38" x14ac:dyDescent="0.25">
      <c r="A1" s="21">
        <f>COLUMN()</f>
        <v>1</v>
      </c>
      <c r="B1" s="21">
        <f>COLUMN()</f>
        <v>2</v>
      </c>
      <c r="C1" s="21">
        <f>COLUMN()</f>
        <v>3</v>
      </c>
      <c r="D1" s="21">
        <f>COLUMN()</f>
        <v>4</v>
      </c>
      <c r="E1" s="21">
        <f>COLUMN()</f>
        <v>5</v>
      </c>
      <c r="F1" s="21">
        <f>COLUMN()</f>
        <v>6</v>
      </c>
      <c r="G1" s="21">
        <f>COLUMN()</f>
        <v>7</v>
      </c>
      <c r="H1" s="21">
        <f>COLUMN()</f>
        <v>8</v>
      </c>
      <c r="I1" s="21">
        <f>COLUMN()</f>
        <v>9</v>
      </c>
      <c r="J1" s="21">
        <f>COLUMN()</f>
        <v>10</v>
      </c>
      <c r="K1" s="21">
        <f>COLUMN()</f>
        <v>11</v>
      </c>
      <c r="L1" s="21">
        <f>COLUMN()</f>
        <v>12</v>
      </c>
      <c r="M1" s="21">
        <f>COLUMN()</f>
        <v>13</v>
      </c>
      <c r="N1" s="21">
        <f>COLUMN()</f>
        <v>14</v>
      </c>
      <c r="O1" s="21">
        <f>COLUMN()</f>
        <v>15</v>
      </c>
      <c r="P1" s="21">
        <f>COLUMN()</f>
        <v>16</v>
      </c>
      <c r="Q1" s="21">
        <f>COLUMN()</f>
        <v>17</v>
      </c>
      <c r="R1" s="21">
        <f>COLUMN()</f>
        <v>18</v>
      </c>
      <c r="S1" s="21">
        <f>COLUMN()</f>
        <v>19</v>
      </c>
      <c r="T1" s="21">
        <f>COLUMN()</f>
        <v>20</v>
      </c>
      <c r="U1" s="21">
        <f>COLUMN()</f>
        <v>21</v>
      </c>
      <c r="V1" s="21">
        <f>COLUMN()</f>
        <v>22</v>
      </c>
      <c r="W1" s="21">
        <f>COLUMN()</f>
        <v>23</v>
      </c>
      <c r="X1" s="21">
        <f>COLUMN()</f>
        <v>24</v>
      </c>
      <c r="Y1" s="21">
        <f>COLUMN()</f>
        <v>25</v>
      </c>
      <c r="Z1" s="21">
        <f>COLUMN()</f>
        <v>26</v>
      </c>
      <c r="AA1" s="21">
        <f>COLUMN()</f>
        <v>27</v>
      </c>
      <c r="AB1" s="21">
        <f>COLUMN()</f>
        <v>28</v>
      </c>
      <c r="AC1" s="21">
        <f>COLUMN()</f>
        <v>29</v>
      </c>
      <c r="AD1" s="21">
        <f>COLUMN()</f>
        <v>30</v>
      </c>
      <c r="AE1" s="21">
        <f>COLUMN()</f>
        <v>31</v>
      </c>
      <c r="AF1" s="21">
        <f>COLUMN()</f>
        <v>32</v>
      </c>
      <c r="AG1" s="21">
        <f>COLUMN()</f>
        <v>33</v>
      </c>
      <c r="AH1" s="21">
        <f>COLUMN()</f>
        <v>34</v>
      </c>
      <c r="AI1" s="21">
        <f>COLUMN()</f>
        <v>35</v>
      </c>
      <c r="AJ1" s="21">
        <f>COLUMN()</f>
        <v>36</v>
      </c>
      <c r="AK1" s="21">
        <f>COLUMN()</f>
        <v>37</v>
      </c>
      <c r="AL1" s="21">
        <f>COLUMN()</f>
        <v>38</v>
      </c>
    </row>
    <row r="2" spans="1:38" ht="69.75" x14ac:dyDescent="0.25">
      <c r="A2" s="228" t="s">
        <v>0</v>
      </c>
      <c r="B2" s="228" t="s">
        <v>1</v>
      </c>
      <c r="C2" s="228" t="s">
        <v>2</v>
      </c>
      <c r="D2" s="228" t="s">
        <v>337</v>
      </c>
      <c r="E2" s="228" t="s">
        <v>5</v>
      </c>
      <c r="F2" s="228" t="s">
        <v>338</v>
      </c>
      <c r="G2" s="229" t="s">
        <v>24</v>
      </c>
      <c r="H2" s="229" t="s">
        <v>25</v>
      </c>
      <c r="I2" s="229" t="s">
        <v>26</v>
      </c>
      <c r="J2" s="229" t="s">
        <v>27</v>
      </c>
      <c r="K2" s="229" t="s">
        <v>28</v>
      </c>
      <c r="L2" s="229" t="s">
        <v>29</v>
      </c>
      <c r="M2" s="229" t="s">
        <v>30</v>
      </c>
      <c r="N2" s="229" t="s">
        <v>31</v>
      </c>
      <c r="O2" s="228" t="s">
        <v>339</v>
      </c>
      <c r="P2" s="233" t="s">
        <v>105</v>
      </c>
      <c r="Q2" s="229" t="s">
        <v>126</v>
      </c>
      <c r="R2" s="229" t="s">
        <v>129</v>
      </c>
      <c r="S2" s="229" t="s">
        <v>131</v>
      </c>
      <c r="T2" s="229" t="s">
        <v>274</v>
      </c>
      <c r="U2" s="229" t="s">
        <v>280</v>
      </c>
      <c r="V2" s="229" t="s">
        <v>282</v>
      </c>
      <c r="W2" s="229" t="s">
        <v>285</v>
      </c>
      <c r="X2" s="229" t="s">
        <v>287</v>
      </c>
      <c r="Y2" s="229" t="s">
        <v>290</v>
      </c>
      <c r="Z2" s="229" t="s">
        <v>277</v>
      </c>
      <c r="AA2" s="233" t="s">
        <v>81</v>
      </c>
      <c r="AB2" s="229" t="s">
        <v>110</v>
      </c>
      <c r="AC2" s="229" t="s">
        <v>95</v>
      </c>
      <c r="AD2" s="233" t="s">
        <v>71</v>
      </c>
      <c r="AE2" s="229" t="s">
        <v>57</v>
      </c>
      <c r="AF2" s="229" t="s">
        <v>85</v>
      </c>
      <c r="AG2" s="229" t="s">
        <v>315</v>
      </c>
      <c r="AH2" s="229" t="s">
        <v>317</v>
      </c>
      <c r="AI2" s="233" t="s">
        <v>99</v>
      </c>
      <c r="AJ2" s="229" t="s">
        <v>142</v>
      </c>
      <c r="AK2" s="229" t="s">
        <v>144</v>
      </c>
      <c r="AL2" s="229" t="s">
        <v>146</v>
      </c>
    </row>
    <row r="3" spans="1:38" x14ac:dyDescent="0.25">
      <c r="A3" s="2" t="s">
        <v>188</v>
      </c>
      <c r="B3" s="3"/>
      <c r="C3" s="3"/>
      <c r="D3" s="2" t="s">
        <v>340</v>
      </c>
      <c r="E3" s="3"/>
      <c r="F3" s="54"/>
      <c r="G3" s="55" t="str">
        <f>IFERROR(IF(VLOOKUP(TableHandbook[[#This Row],[UDC]],TableAvailabilities[],2,FALSE)&gt;0,"Y",""),"")</f>
        <v/>
      </c>
      <c r="H3" s="55" t="str">
        <f>IFERROR(IF(VLOOKUP(TableHandbook[[#This Row],[UDC]],TableAvailabilities[],3,FALSE)&gt;0,"Y",""),"")</f>
        <v/>
      </c>
      <c r="I3" s="55" t="str">
        <f>IFERROR(IF(VLOOKUP(TableHandbook[[#This Row],[UDC]],TableAvailabilities[],4,FALSE)&gt;0,"Y",""),"")</f>
        <v/>
      </c>
      <c r="J3" s="55" t="str">
        <f>IFERROR(IF(VLOOKUP(TableHandbook[[#This Row],[UDC]],TableAvailabilities[],5,FALSE)&gt;0,"Y",""),"")</f>
        <v/>
      </c>
      <c r="K3" s="55" t="str">
        <f>IFERROR(IF(VLOOKUP(TableHandbook[[#This Row],[UDC]],TableAvailabilities[],6,FALSE)&gt;0,"Y",""),"")</f>
        <v/>
      </c>
      <c r="L3" s="55" t="str">
        <f>IFERROR(IF(VLOOKUP(TableHandbook[[#This Row],[UDC]],TableAvailabilities[],7,FALSE)&gt;0,"Y",""),"")</f>
        <v/>
      </c>
      <c r="M3" s="55" t="str">
        <f>IFERROR(IF(VLOOKUP(TableHandbook[[#This Row],[UDC]],TableAvailabilities[],8,FALSE)&gt;0,"Y",""),"")</f>
        <v/>
      </c>
      <c r="N3" s="55" t="str">
        <f>IFERROR(IF(VLOOKUP(TableHandbook[[#This Row],[UDC]],TableAvailabilities[],9,FALSE)&gt;0,"Y",""),"")</f>
        <v/>
      </c>
      <c r="O3" s="230"/>
      <c r="P3" s="232" t="str">
        <f>IFERROR(VLOOKUP(TableHandbook[[#This Row],[UDC]],TableMCTEACH[],7,FALSE),"")</f>
        <v/>
      </c>
      <c r="Q3" s="231" t="str">
        <f>IFERROR(VLOOKUP(TableHandbook[[#This Row],[UDC]],TableMJRPTCHEC[],7,FALSE),"")</f>
        <v/>
      </c>
      <c r="R3" s="231" t="str">
        <f>IFERROR(VLOOKUP(TableHandbook[[#This Row],[UDC]],TableMJRPTCHPR[],7,FALSE),"")</f>
        <v/>
      </c>
      <c r="S3" s="231" t="str">
        <f>IFERROR(VLOOKUP(TableHandbook[[#This Row],[UDC]],TableMJRPTCHSC[],7,FALSE),"")</f>
        <v/>
      </c>
      <c r="T3" s="231" t="str">
        <f>IFERROR(VLOOKUP(TableHandbook[[#This Row],[UDC]],TableSTRPSCART[],7,FALSE),"")</f>
        <v/>
      </c>
      <c r="U3" s="231" t="str">
        <f>IFERROR(VLOOKUP(TableHandbook[[#This Row],[UDC]],TableSTRPSCENG[],7,FALSE),"")</f>
        <v/>
      </c>
      <c r="V3" s="231" t="str">
        <f>IFERROR(VLOOKUP(TableHandbook[[#This Row],[UDC]],TableSTRPSCHLP[],7,FALSE),"")</f>
        <v/>
      </c>
      <c r="W3" s="231" t="str">
        <f>IFERROR(VLOOKUP(TableHandbook[[#This Row],[UDC]],TableSTRPSCHUS[],7,FALSE),"")</f>
        <v/>
      </c>
      <c r="X3" s="231" t="str">
        <f>IFERROR(VLOOKUP(TableHandbook[[#This Row],[UDC]],TableSTRPSCMAT[],7,FALSE),"")</f>
        <v/>
      </c>
      <c r="Y3" s="231" t="str">
        <f>IFERROR(VLOOKUP(TableHandbook[[#This Row],[UDC]],TableSTRPSCSCI[],7,FALSE),"")</f>
        <v/>
      </c>
      <c r="Z3" s="231" t="str">
        <f>IFERROR(VLOOKUP(TableHandbook[[#This Row],[UDC]],TableSTRPSCFON[],7,FALSE),"")</f>
        <v/>
      </c>
      <c r="AA3" s="232" t="str">
        <f>IFERROR(VLOOKUP(TableHandbook[[#This Row],[UDC]],TableGCTESOL[],7,FALSE),"")</f>
        <v/>
      </c>
      <c r="AB3" s="231" t="str">
        <f>IFERROR(VLOOKUP(TableHandbook[[#This Row],[UDC]],TableMCTESOL[],7,FALSE),"")</f>
        <v/>
      </c>
      <c r="AC3" s="231" t="str">
        <f>IFERROR(VLOOKUP(TableHandbook[[#This Row],[UDC]],TableMCAPLING[],7,FALSE),"")</f>
        <v/>
      </c>
      <c r="AD3" s="232" t="str">
        <f>IFERROR(VLOOKUP(TableHandbook[[#This Row],[UDC]],TableGCEDHE[],7,FALSE),"")</f>
        <v/>
      </c>
      <c r="AE3" s="231" t="str">
        <f>IFERROR(VLOOKUP(TableHandbook[[#This Row],[UDC]],TableGCEDUC[],7,FALSE),"")</f>
        <v/>
      </c>
      <c r="AF3" s="231" t="str">
        <f>IFERROR(VLOOKUP(TableHandbook[[#This Row],[UDC]],TableGDEDUC[],7,FALSE),"")</f>
        <v/>
      </c>
      <c r="AG3" s="231" t="str">
        <f>IFERROR(VLOOKUP(TableHandbook[[#This Row],[UDC]],TableMJRPEDUPR[],7,FALSE),"")</f>
        <v/>
      </c>
      <c r="AH3" s="231" t="str">
        <f>IFERROR(VLOOKUP(TableHandbook[[#This Row],[UDC]],TableMJRPEDUSC[],7,FALSE),"")</f>
        <v/>
      </c>
      <c r="AI3" s="232" t="str">
        <f>IFERROR(VLOOKUP(TableHandbook[[#This Row],[UDC]],TableMCEDUC[],7,FALSE),"")</f>
        <v/>
      </c>
      <c r="AJ3" s="231" t="str">
        <f>IFERROR(VLOOKUP(TableHandbook[[#This Row],[UDC]],TableSPPECULIN[],7,FALSE),"")</f>
        <v/>
      </c>
      <c r="AK3" s="231" t="str">
        <f>IFERROR(VLOOKUP(TableHandbook[[#This Row],[UDC]],TableSPPELNTCH[],7,FALSE),"")</f>
        <v/>
      </c>
      <c r="AL3" s="231" t="str">
        <f>IFERROR(VLOOKUP(TableHandbook[[#This Row],[UDC]],TableSPPESTEME[],7,FALSE),"")</f>
        <v/>
      </c>
    </row>
    <row r="4" spans="1:38" x14ac:dyDescent="0.25">
      <c r="A4" s="2" t="s">
        <v>136</v>
      </c>
      <c r="B4" s="3"/>
      <c r="C4" s="3"/>
      <c r="D4" s="2" t="s">
        <v>341</v>
      </c>
      <c r="E4" s="3"/>
      <c r="F4" s="54"/>
      <c r="G4" s="55" t="str">
        <f>IFERROR(IF(VLOOKUP(TableHandbook[[#This Row],[UDC]],TableAvailabilities[],2,FALSE)&gt;0,"Y",""),"")</f>
        <v/>
      </c>
      <c r="H4" s="55" t="str">
        <f>IFERROR(IF(VLOOKUP(TableHandbook[[#This Row],[UDC]],TableAvailabilities[],3,FALSE)&gt;0,"Y",""),"")</f>
        <v/>
      </c>
      <c r="I4" s="55" t="str">
        <f>IFERROR(IF(VLOOKUP(TableHandbook[[#This Row],[UDC]],TableAvailabilities[],4,FALSE)&gt;0,"Y",""),"")</f>
        <v/>
      </c>
      <c r="J4" s="55" t="str">
        <f>IFERROR(IF(VLOOKUP(TableHandbook[[#This Row],[UDC]],TableAvailabilities[],5,FALSE)&gt;0,"Y",""),"")</f>
        <v/>
      </c>
      <c r="K4" s="55" t="str">
        <f>IFERROR(IF(VLOOKUP(TableHandbook[[#This Row],[UDC]],TableAvailabilities[],6,FALSE)&gt;0,"Y",""),"")</f>
        <v/>
      </c>
      <c r="L4" s="55" t="str">
        <f>IFERROR(IF(VLOOKUP(TableHandbook[[#This Row],[UDC]],TableAvailabilities[],7,FALSE)&gt;0,"Y",""),"")</f>
        <v/>
      </c>
      <c r="M4" s="55" t="str">
        <f>IFERROR(IF(VLOOKUP(TableHandbook[[#This Row],[UDC]],TableAvailabilities[],8,FALSE)&gt;0,"Y",""),"")</f>
        <v/>
      </c>
      <c r="N4" s="55" t="str">
        <f>IFERROR(IF(VLOOKUP(TableHandbook[[#This Row],[UDC]],TableAvailabilities[],9,FALSE)&gt;0,"Y",""),"")</f>
        <v/>
      </c>
      <c r="O4" s="230"/>
      <c r="P4" s="232" t="str">
        <f>IFERROR(VLOOKUP(TableHandbook[[#This Row],[UDC]],TableMCTEACH[],7,FALSE),"")</f>
        <v/>
      </c>
      <c r="Q4" s="231" t="str">
        <f>IFERROR(VLOOKUP(TableHandbook[[#This Row],[UDC]],TableMJRPTCHEC[],7,FALSE),"")</f>
        <v/>
      </c>
      <c r="R4" s="231" t="str">
        <f>IFERROR(VLOOKUP(TableHandbook[[#This Row],[UDC]],TableMJRPTCHPR[],7,FALSE),"")</f>
        <v/>
      </c>
      <c r="S4" s="231" t="str">
        <f>IFERROR(VLOOKUP(TableHandbook[[#This Row],[UDC]],TableMJRPTCHSC[],7,FALSE),"")</f>
        <v/>
      </c>
      <c r="T4" s="231" t="str">
        <f>IFERROR(VLOOKUP(TableHandbook[[#This Row],[UDC]],TableSTRPSCART[],7,FALSE),"")</f>
        <v/>
      </c>
      <c r="U4" s="231" t="str">
        <f>IFERROR(VLOOKUP(TableHandbook[[#This Row],[UDC]],TableSTRPSCENG[],7,FALSE),"")</f>
        <v/>
      </c>
      <c r="V4" s="231" t="str">
        <f>IFERROR(VLOOKUP(TableHandbook[[#This Row],[UDC]],TableSTRPSCHLP[],7,FALSE),"")</f>
        <v/>
      </c>
      <c r="W4" s="231" t="str">
        <f>IFERROR(VLOOKUP(TableHandbook[[#This Row],[UDC]],TableSTRPSCHUS[],7,FALSE),"")</f>
        <v/>
      </c>
      <c r="X4" s="231" t="str">
        <f>IFERROR(VLOOKUP(TableHandbook[[#This Row],[UDC]],TableSTRPSCMAT[],7,FALSE),"")</f>
        <v/>
      </c>
      <c r="Y4" s="231" t="str">
        <f>IFERROR(VLOOKUP(TableHandbook[[#This Row],[UDC]],TableSTRPSCSCI[],7,FALSE),"")</f>
        <v/>
      </c>
      <c r="Z4" s="231" t="str">
        <f>IFERROR(VLOOKUP(TableHandbook[[#This Row],[UDC]],TableSTRPSCFON[],7,FALSE),"")</f>
        <v/>
      </c>
      <c r="AA4" s="232" t="str">
        <f>IFERROR(VLOOKUP(TableHandbook[[#This Row],[UDC]],TableGCTESOL[],7,FALSE),"")</f>
        <v/>
      </c>
      <c r="AB4" s="231" t="str">
        <f>IFERROR(VLOOKUP(TableHandbook[[#This Row],[UDC]],TableMCTESOL[],7,FALSE),"")</f>
        <v/>
      </c>
      <c r="AC4" s="231" t="str">
        <f>IFERROR(VLOOKUP(TableHandbook[[#This Row],[UDC]],TableMCAPLING[],7,FALSE),"")</f>
        <v/>
      </c>
      <c r="AD4" s="232" t="str">
        <f>IFERROR(VLOOKUP(TableHandbook[[#This Row],[UDC]],TableGCEDHE[],7,FALSE),"")</f>
        <v/>
      </c>
      <c r="AE4" s="231" t="str">
        <f>IFERROR(VLOOKUP(TableHandbook[[#This Row],[UDC]],TableGCEDUC[],7,FALSE),"")</f>
        <v/>
      </c>
      <c r="AF4" s="231" t="str">
        <f>IFERROR(VLOOKUP(TableHandbook[[#This Row],[UDC]],TableGDEDUC[],7,FALSE),"")</f>
        <v/>
      </c>
      <c r="AG4" s="231" t="str">
        <f>IFERROR(VLOOKUP(TableHandbook[[#This Row],[UDC]],TableMJRPEDUPR[],7,FALSE),"")</f>
        <v/>
      </c>
      <c r="AH4" s="231" t="str">
        <f>IFERROR(VLOOKUP(TableHandbook[[#This Row],[UDC]],TableMJRPEDUSC[],7,FALSE),"")</f>
        <v/>
      </c>
      <c r="AI4" s="232" t="str">
        <f>IFERROR(VLOOKUP(TableHandbook[[#This Row],[UDC]],TableMCEDUC[],7,FALSE),"")</f>
        <v/>
      </c>
      <c r="AJ4" s="231" t="str">
        <f>IFERROR(VLOOKUP(TableHandbook[[#This Row],[UDC]],TableSPPECULIN[],7,FALSE),"")</f>
        <v/>
      </c>
      <c r="AK4" s="231" t="str">
        <f>IFERROR(VLOOKUP(TableHandbook[[#This Row],[UDC]],TableSPPELNTCH[],7,FALSE),"")</f>
        <v/>
      </c>
      <c r="AL4" s="231" t="str">
        <f>IFERROR(VLOOKUP(TableHandbook[[#This Row],[UDC]],TableSPPESTEME[],7,FALSE),"")</f>
        <v/>
      </c>
    </row>
    <row r="5" spans="1:38" x14ac:dyDescent="0.25">
      <c r="A5" s="2" t="s">
        <v>342</v>
      </c>
      <c r="B5" s="3"/>
      <c r="C5" s="3"/>
      <c r="D5" s="2" t="s">
        <v>343</v>
      </c>
      <c r="E5" s="3"/>
      <c r="F5" s="54"/>
      <c r="G5" s="55" t="str">
        <f>IFERROR(IF(VLOOKUP(TableHandbook[[#This Row],[UDC]],TableAvailabilities[],2,FALSE)&gt;0,"Y",""),"")</f>
        <v/>
      </c>
      <c r="H5" s="55" t="str">
        <f>IFERROR(IF(VLOOKUP(TableHandbook[[#This Row],[UDC]],TableAvailabilities[],3,FALSE)&gt;0,"Y",""),"")</f>
        <v/>
      </c>
      <c r="I5" s="55" t="str">
        <f>IFERROR(IF(VLOOKUP(TableHandbook[[#This Row],[UDC]],TableAvailabilities[],4,FALSE)&gt;0,"Y",""),"")</f>
        <v/>
      </c>
      <c r="J5" s="55" t="str">
        <f>IFERROR(IF(VLOOKUP(TableHandbook[[#This Row],[UDC]],TableAvailabilities[],5,FALSE)&gt;0,"Y",""),"")</f>
        <v/>
      </c>
      <c r="K5" s="55" t="str">
        <f>IFERROR(IF(VLOOKUP(TableHandbook[[#This Row],[UDC]],TableAvailabilities[],6,FALSE)&gt;0,"Y",""),"")</f>
        <v/>
      </c>
      <c r="L5" s="55" t="str">
        <f>IFERROR(IF(VLOOKUP(TableHandbook[[#This Row],[UDC]],TableAvailabilities[],7,FALSE)&gt;0,"Y",""),"")</f>
        <v/>
      </c>
      <c r="M5" s="55" t="str">
        <f>IFERROR(IF(VLOOKUP(TableHandbook[[#This Row],[UDC]],TableAvailabilities[],8,FALSE)&gt;0,"Y",""),"")</f>
        <v/>
      </c>
      <c r="N5" s="55" t="str">
        <f>IFERROR(IF(VLOOKUP(TableHandbook[[#This Row],[UDC]],TableAvailabilities[],9,FALSE)&gt;0,"Y",""),"")</f>
        <v/>
      </c>
      <c r="O5" s="230"/>
      <c r="P5" s="232" t="str">
        <f>IFERROR(VLOOKUP(TableHandbook[[#This Row],[UDC]],TableMCTEACH[],7,FALSE),"")</f>
        <v/>
      </c>
      <c r="Q5" s="231" t="str">
        <f>IFERROR(VLOOKUP(TableHandbook[[#This Row],[UDC]],TableMJRPTCHEC[],7,FALSE),"")</f>
        <v/>
      </c>
      <c r="R5" s="231" t="str">
        <f>IFERROR(VLOOKUP(TableHandbook[[#This Row],[UDC]],TableMJRPTCHPR[],7,FALSE),"")</f>
        <v/>
      </c>
      <c r="S5" s="231" t="str">
        <f>IFERROR(VLOOKUP(TableHandbook[[#This Row],[UDC]],TableMJRPTCHSC[],7,FALSE),"")</f>
        <v/>
      </c>
      <c r="T5" s="231" t="str">
        <f>IFERROR(VLOOKUP(TableHandbook[[#This Row],[UDC]],TableSTRPSCART[],7,FALSE),"")</f>
        <v/>
      </c>
      <c r="U5" s="231" t="str">
        <f>IFERROR(VLOOKUP(TableHandbook[[#This Row],[UDC]],TableSTRPSCENG[],7,FALSE),"")</f>
        <v/>
      </c>
      <c r="V5" s="231" t="str">
        <f>IFERROR(VLOOKUP(TableHandbook[[#This Row],[UDC]],TableSTRPSCHLP[],7,FALSE),"")</f>
        <v/>
      </c>
      <c r="W5" s="231" t="str">
        <f>IFERROR(VLOOKUP(TableHandbook[[#This Row],[UDC]],TableSTRPSCHUS[],7,FALSE),"")</f>
        <v/>
      </c>
      <c r="X5" s="231" t="str">
        <f>IFERROR(VLOOKUP(TableHandbook[[#This Row],[UDC]],TableSTRPSCMAT[],7,FALSE),"")</f>
        <v/>
      </c>
      <c r="Y5" s="231" t="str">
        <f>IFERROR(VLOOKUP(TableHandbook[[#This Row],[UDC]],TableSTRPSCSCI[],7,FALSE),"")</f>
        <v/>
      </c>
      <c r="Z5" s="231" t="str">
        <f>IFERROR(VLOOKUP(TableHandbook[[#This Row],[UDC]],TableSTRPSCFON[],7,FALSE),"")</f>
        <v/>
      </c>
      <c r="AA5" s="232" t="str">
        <f>IFERROR(VLOOKUP(TableHandbook[[#This Row],[UDC]],TableGCTESOL[],7,FALSE),"")</f>
        <v/>
      </c>
      <c r="AB5" s="231" t="str">
        <f>IFERROR(VLOOKUP(TableHandbook[[#This Row],[UDC]],TableMCTESOL[],7,FALSE),"")</f>
        <v/>
      </c>
      <c r="AC5" s="231" t="str">
        <f>IFERROR(VLOOKUP(TableHandbook[[#This Row],[UDC]],TableMCAPLING[],7,FALSE),"")</f>
        <v/>
      </c>
      <c r="AD5" s="232" t="str">
        <f>IFERROR(VLOOKUP(TableHandbook[[#This Row],[UDC]],TableGCEDHE[],7,FALSE),"")</f>
        <v/>
      </c>
      <c r="AE5" s="231" t="str">
        <f>IFERROR(VLOOKUP(TableHandbook[[#This Row],[UDC]],TableGCEDUC[],7,FALSE),"")</f>
        <v/>
      </c>
      <c r="AF5" s="231" t="str">
        <f>IFERROR(VLOOKUP(TableHandbook[[#This Row],[UDC]],TableGDEDUC[],7,FALSE),"")</f>
        <v/>
      </c>
      <c r="AG5" s="231" t="str">
        <f>IFERROR(VLOOKUP(TableHandbook[[#This Row],[UDC]],TableMJRPEDUPR[],7,FALSE),"")</f>
        <v/>
      </c>
      <c r="AH5" s="231" t="str">
        <f>IFERROR(VLOOKUP(TableHandbook[[#This Row],[UDC]],TableMJRPEDUSC[],7,FALSE),"")</f>
        <v/>
      </c>
      <c r="AI5" s="232" t="str">
        <f>IFERROR(VLOOKUP(TableHandbook[[#This Row],[UDC]],TableMCEDUC[],7,FALSE),"")</f>
        <v/>
      </c>
      <c r="AJ5" s="231" t="str">
        <f>IFERROR(VLOOKUP(TableHandbook[[#This Row],[UDC]],TableSPPECULIN[],7,FALSE),"")</f>
        <v/>
      </c>
      <c r="AK5" s="231" t="str">
        <f>IFERROR(VLOOKUP(TableHandbook[[#This Row],[UDC]],TableSPPELNTCH[],7,FALSE),"")</f>
        <v/>
      </c>
      <c r="AL5" s="231" t="str">
        <f>IFERROR(VLOOKUP(TableHandbook[[#This Row],[UDC]],TableSPPESTEME[],7,FALSE),"")</f>
        <v/>
      </c>
    </row>
    <row r="6" spans="1:38" x14ac:dyDescent="0.25">
      <c r="A6" s="2" t="s">
        <v>91</v>
      </c>
      <c r="B6" s="3">
        <v>1</v>
      </c>
      <c r="C6" s="3"/>
      <c r="D6" s="2" t="s">
        <v>344</v>
      </c>
      <c r="E6" s="3">
        <v>25</v>
      </c>
      <c r="F6" s="268" t="s">
        <v>74</v>
      </c>
      <c r="G6" s="55" t="str">
        <f>IFERROR(IF(VLOOKUP(TableHandbook[[#This Row],[UDC]],TableAvailabilities[],2,FALSE)&gt;0,"Y",""),"")</f>
        <v/>
      </c>
      <c r="H6" s="55" t="str">
        <f>IFERROR(IF(VLOOKUP(TableHandbook[[#This Row],[UDC]],TableAvailabilities[],3,FALSE)&gt;0,"Y",""),"")</f>
        <v/>
      </c>
      <c r="I6" s="55" t="str">
        <f>IFERROR(IF(VLOOKUP(TableHandbook[[#This Row],[UDC]],TableAvailabilities[],4,FALSE)&gt;0,"Y",""),"")</f>
        <v>Y</v>
      </c>
      <c r="J6" s="55" t="str">
        <f>IFERROR(IF(VLOOKUP(TableHandbook[[#This Row],[UDC]],TableAvailabilities[],5,FALSE)&gt;0,"Y",""),"")</f>
        <v>Y</v>
      </c>
      <c r="K6" s="55" t="str">
        <f>IFERROR(IF(VLOOKUP(TableHandbook[[#This Row],[UDC]],TableAvailabilities[],6,FALSE)&gt;0,"Y",""),"")</f>
        <v/>
      </c>
      <c r="L6" s="55" t="str">
        <f>IFERROR(IF(VLOOKUP(TableHandbook[[#This Row],[UDC]],TableAvailabilities[],7,FALSE)&gt;0,"Y",""),"")</f>
        <v/>
      </c>
      <c r="M6" s="55" t="str">
        <f>IFERROR(IF(VLOOKUP(TableHandbook[[#This Row],[UDC]],TableAvailabilities[],8,FALSE)&gt;0,"Y",""),"")</f>
        <v/>
      </c>
      <c r="N6" s="55" t="str">
        <f>IFERROR(IF(VLOOKUP(TableHandbook[[#This Row],[UDC]],TableAvailabilities[],9,FALSE)&gt;0,"Y",""),"")</f>
        <v/>
      </c>
      <c r="O6" s="230"/>
      <c r="P6" s="232" t="str">
        <f>IFERROR(VLOOKUP(TableHandbook[[#This Row],[UDC]],TableMCTEACH[],7,FALSE),"")</f>
        <v/>
      </c>
      <c r="Q6" s="231" t="str">
        <f>IFERROR(VLOOKUP(TableHandbook[[#This Row],[UDC]],TableMJRPTCHEC[],7,FALSE),"")</f>
        <v>Core</v>
      </c>
      <c r="R6" s="231" t="str">
        <f>IFERROR(VLOOKUP(TableHandbook[[#This Row],[UDC]],TableMJRPTCHPR[],7,FALSE),"")</f>
        <v/>
      </c>
      <c r="S6" s="231" t="str">
        <f>IFERROR(VLOOKUP(TableHandbook[[#This Row],[UDC]],TableMJRPTCHSC[],7,FALSE),"")</f>
        <v/>
      </c>
      <c r="T6" s="231" t="str">
        <f>IFERROR(VLOOKUP(TableHandbook[[#This Row],[UDC]],TableSTRPSCART[],7,FALSE),"")</f>
        <v/>
      </c>
      <c r="U6" s="231" t="str">
        <f>IFERROR(VLOOKUP(TableHandbook[[#This Row],[UDC]],TableSTRPSCENG[],7,FALSE),"")</f>
        <v/>
      </c>
      <c r="V6" s="231" t="str">
        <f>IFERROR(VLOOKUP(TableHandbook[[#This Row],[UDC]],TableSTRPSCHLP[],7,FALSE),"")</f>
        <v/>
      </c>
      <c r="W6" s="231" t="str">
        <f>IFERROR(VLOOKUP(TableHandbook[[#This Row],[UDC]],TableSTRPSCHUS[],7,FALSE),"")</f>
        <v/>
      </c>
      <c r="X6" s="231" t="str">
        <f>IFERROR(VLOOKUP(TableHandbook[[#This Row],[UDC]],TableSTRPSCMAT[],7,FALSE),"")</f>
        <v/>
      </c>
      <c r="Y6" s="231" t="str">
        <f>IFERROR(VLOOKUP(TableHandbook[[#This Row],[UDC]],TableSTRPSCSCI[],7,FALSE),"")</f>
        <v/>
      </c>
      <c r="Z6" s="231" t="str">
        <f>IFERROR(VLOOKUP(TableHandbook[[#This Row],[UDC]],TableSTRPSCFON[],7,FALSE),"")</f>
        <v/>
      </c>
      <c r="AA6" s="232" t="str">
        <f>IFERROR(VLOOKUP(TableHandbook[[#This Row],[UDC]],TableGCTESOL[],7,FALSE),"")</f>
        <v/>
      </c>
      <c r="AB6" s="231" t="str">
        <f>IFERROR(VLOOKUP(TableHandbook[[#This Row],[UDC]],TableMCTESOL[],7,FALSE),"")</f>
        <v/>
      </c>
      <c r="AC6" s="231" t="str">
        <f>IFERROR(VLOOKUP(TableHandbook[[#This Row],[UDC]],TableMCAPLING[],7,FALSE),"")</f>
        <v/>
      </c>
      <c r="AD6" s="232" t="str">
        <f>IFERROR(VLOOKUP(TableHandbook[[#This Row],[UDC]],TableGCEDHE[],7,FALSE),"")</f>
        <v/>
      </c>
      <c r="AE6" s="231" t="str">
        <f>IFERROR(VLOOKUP(TableHandbook[[#This Row],[UDC]],TableGCEDUC[],7,FALSE),"")</f>
        <v/>
      </c>
      <c r="AF6" s="231" t="str">
        <f>IFERROR(VLOOKUP(TableHandbook[[#This Row],[UDC]],TableGDEDUC[],7,FALSE),"")</f>
        <v/>
      </c>
      <c r="AG6" s="231" t="str">
        <f>IFERROR(VLOOKUP(TableHandbook[[#This Row],[UDC]],TableMJRPEDUPR[],7,FALSE),"")</f>
        <v/>
      </c>
      <c r="AH6" s="231" t="str">
        <f>IFERROR(VLOOKUP(TableHandbook[[#This Row],[UDC]],TableMJRPEDUSC[],7,FALSE),"")</f>
        <v/>
      </c>
      <c r="AI6" s="232" t="str">
        <f>IFERROR(VLOOKUP(TableHandbook[[#This Row],[UDC]],TableMCEDUC[],7,FALSE),"")</f>
        <v/>
      </c>
      <c r="AJ6" s="231" t="str">
        <f>IFERROR(VLOOKUP(TableHandbook[[#This Row],[UDC]],TableSPPECULIN[],7,FALSE),"")</f>
        <v/>
      </c>
      <c r="AK6" s="231" t="str">
        <f>IFERROR(VLOOKUP(TableHandbook[[#This Row],[UDC]],TableSPPELNTCH[],7,FALSE),"")</f>
        <v/>
      </c>
      <c r="AL6" s="231" t="str">
        <f>IFERROR(VLOOKUP(TableHandbook[[#This Row],[UDC]],TableSPPESTEME[],7,FALSE),"")</f>
        <v/>
      </c>
    </row>
    <row r="7" spans="1:38" x14ac:dyDescent="0.25">
      <c r="A7" s="2" t="s">
        <v>102</v>
      </c>
      <c r="B7" s="3">
        <v>2</v>
      </c>
      <c r="C7" s="3"/>
      <c r="D7" s="2" t="s">
        <v>345</v>
      </c>
      <c r="E7" s="3">
        <v>25</v>
      </c>
      <c r="F7" s="268" t="s">
        <v>346</v>
      </c>
      <c r="G7" s="55" t="str">
        <f>IFERROR(IF(VLOOKUP(TableHandbook[[#This Row],[UDC]],TableAvailabilities[],2,FALSE)&gt;0,"Y",""),"")</f>
        <v/>
      </c>
      <c r="H7" s="55" t="str">
        <f>IFERROR(IF(VLOOKUP(TableHandbook[[#This Row],[UDC]],TableAvailabilities[],3,FALSE)&gt;0,"Y",""),"")</f>
        <v/>
      </c>
      <c r="I7" s="55" t="str">
        <f>IFERROR(IF(VLOOKUP(TableHandbook[[#This Row],[UDC]],TableAvailabilities[],4,FALSE)&gt;0,"Y",""),"")</f>
        <v/>
      </c>
      <c r="J7" s="55" t="str">
        <f>IFERROR(IF(VLOOKUP(TableHandbook[[#This Row],[UDC]],TableAvailabilities[],5,FALSE)&gt;0,"Y",""),"")</f>
        <v/>
      </c>
      <c r="K7" s="55" t="str">
        <f>IFERROR(IF(VLOOKUP(TableHandbook[[#This Row],[UDC]],TableAvailabilities[],6,FALSE)&gt;0,"Y",""),"")</f>
        <v>Y</v>
      </c>
      <c r="L7" s="55" t="str">
        <f>IFERROR(IF(VLOOKUP(TableHandbook[[#This Row],[UDC]],TableAvailabilities[],7,FALSE)&gt;0,"Y",""),"")</f>
        <v>Y</v>
      </c>
      <c r="M7" s="55" t="str">
        <f>IFERROR(IF(VLOOKUP(TableHandbook[[#This Row],[UDC]],TableAvailabilities[],8,FALSE)&gt;0,"Y",""),"")</f>
        <v/>
      </c>
      <c r="N7" s="55" t="str">
        <f>IFERROR(IF(VLOOKUP(TableHandbook[[#This Row],[UDC]],TableAvailabilities[],9,FALSE)&gt;0,"Y",""),"")</f>
        <v/>
      </c>
      <c r="O7" s="230"/>
      <c r="P7" s="232" t="str">
        <f>IFERROR(VLOOKUP(TableHandbook[[#This Row],[UDC]],TableMCTEACH[],7,FALSE),"")</f>
        <v/>
      </c>
      <c r="Q7" s="231" t="str">
        <f>IFERROR(VLOOKUP(TableHandbook[[#This Row],[UDC]],TableMJRPTCHEC[],7,FALSE),"")</f>
        <v>Core</v>
      </c>
      <c r="R7" s="231" t="str">
        <f>IFERROR(VLOOKUP(TableHandbook[[#This Row],[UDC]],TableMJRPTCHPR[],7,FALSE),"")</f>
        <v/>
      </c>
      <c r="S7" s="231" t="str">
        <f>IFERROR(VLOOKUP(TableHandbook[[#This Row],[UDC]],TableMJRPTCHSC[],7,FALSE),"")</f>
        <v/>
      </c>
      <c r="T7" s="231" t="str">
        <f>IFERROR(VLOOKUP(TableHandbook[[#This Row],[UDC]],TableSTRPSCART[],7,FALSE),"")</f>
        <v/>
      </c>
      <c r="U7" s="231" t="str">
        <f>IFERROR(VLOOKUP(TableHandbook[[#This Row],[UDC]],TableSTRPSCENG[],7,FALSE),"")</f>
        <v/>
      </c>
      <c r="V7" s="231" t="str">
        <f>IFERROR(VLOOKUP(TableHandbook[[#This Row],[UDC]],TableSTRPSCHLP[],7,FALSE),"")</f>
        <v/>
      </c>
      <c r="W7" s="231" t="str">
        <f>IFERROR(VLOOKUP(TableHandbook[[#This Row],[UDC]],TableSTRPSCHUS[],7,FALSE),"")</f>
        <v/>
      </c>
      <c r="X7" s="231" t="str">
        <f>IFERROR(VLOOKUP(TableHandbook[[#This Row],[UDC]],TableSTRPSCMAT[],7,FALSE),"")</f>
        <v/>
      </c>
      <c r="Y7" s="231" t="str">
        <f>IFERROR(VLOOKUP(TableHandbook[[#This Row],[UDC]],TableSTRPSCSCI[],7,FALSE),"")</f>
        <v/>
      </c>
      <c r="Z7" s="231" t="str">
        <f>IFERROR(VLOOKUP(TableHandbook[[#This Row],[UDC]],TableSTRPSCFON[],7,FALSE),"")</f>
        <v/>
      </c>
      <c r="AA7" s="232" t="str">
        <f>IFERROR(VLOOKUP(TableHandbook[[#This Row],[UDC]],TableGCTESOL[],7,FALSE),"")</f>
        <v/>
      </c>
      <c r="AB7" s="231" t="str">
        <f>IFERROR(VLOOKUP(TableHandbook[[#This Row],[UDC]],TableMCTESOL[],7,FALSE),"")</f>
        <v/>
      </c>
      <c r="AC7" s="231" t="str">
        <f>IFERROR(VLOOKUP(TableHandbook[[#This Row],[UDC]],TableMCAPLING[],7,FALSE),"")</f>
        <v/>
      </c>
      <c r="AD7" s="232" t="str">
        <f>IFERROR(VLOOKUP(TableHandbook[[#This Row],[UDC]],TableGCEDHE[],7,FALSE),"")</f>
        <v/>
      </c>
      <c r="AE7" s="231" t="str">
        <f>IFERROR(VLOOKUP(TableHandbook[[#This Row],[UDC]],TableGCEDUC[],7,FALSE),"")</f>
        <v/>
      </c>
      <c r="AF7" s="231" t="str">
        <f>IFERROR(VLOOKUP(TableHandbook[[#This Row],[UDC]],TableGDEDUC[],7,FALSE),"")</f>
        <v/>
      </c>
      <c r="AG7" s="231" t="str">
        <f>IFERROR(VLOOKUP(TableHandbook[[#This Row],[UDC]],TableMJRPEDUPR[],7,FALSE),"")</f>
        <v/>
      </c>
      <c r="AH7" s="231" t="str">
        <f>IFERROR(VLOOKUP(TableHandbook[[#This Row],[UDC]],TableMJRPEDUSC[],7,FALSE),"")</f>
        <v/>
      </c>
      <c r="AI7" s="232" t="str">
        <f>IFERROR(VLOOKUP(TableHandbook[[#This Row],[UDC]],TableMCEDUC[],7,FALSE),"")</f>
        <v/>
      </c>
      <c r="AJ7" s="231" t="str">
        <f>IFERROR(VLOOKUP(TableHandbook[[#This Row],[UDC]],TableSPPECULIN[],7,FALSE),"")</f>
        <v/>
      </c>
      <c r="AK7" s="231" t="str">
        <f>IFERROR(VLOOKUP(TableHandbook[[#This Row],[UDC]],TableSPPELNTCH[],7,FALSE),"")</f>
        <v/>
      </c>
      <c r="AL7" s="231" t="str">
        <f>IFERROR(VLOOKUP(TableHandbook[[#This Row],[UDC]],TableSPPESTEME[],7,FALSE),"")</f>
        <v/>
      </c>
    </row>
    <row r="8" spans="1:38" x14ac:dyDescent="0.25">
      <c r="A8" s="2" t="s">
        <v>83</v>
      </c>
      <c r="B8" s="3">
        <v>1</v>
      </c>
      <c r="C8" s="3"/>
      <c r="D8" s="2" t="s">
        <v>347</v>
      </c>
      <c r="E8" s="3">
        <v>25</v>
      </c>
      <c r="F8" s="54" t="s">
        <v>348</v>
      </c>
      <c r="G8" s="55" t="str">
        <f>IFERROR(IF(VLOOKUP(TableHandbook[[#This Row],[UDC]],TableAvailabilities[],2,FALSE)&gt;0,"Y",""),"")</f>
        <v/>
      </c>
      <c r="H8" s="55" t="str">
        <f>IFERROR(IF(VLOOKUP(TableHandbook[[#This Row],[UDC]],TableAvailabilities[],3,FALSE)&gt;0,"Y",""),"")</f>
        <v/>
      </c>
      <c r="I8" s="55" t="str">
        <f>IFERROR(IF(VLOOKUP(TableHandbook[[#This Row],[UDC]],TableAvailabilities[],4,FALSE)&gt;0,"Y",""),"")</f>
        <v/>
      </c>
      <c r="J8" s="55" t="str">
        <f>IFERROR(IF(VLOOKUP(TableHandbook[[#This Row],[UDC]],TableAvailabilities[],5,FALSE)&gt;0,"Y",""),"")</f>
        <v/>
      </c>
      <c r="K8" s="55" t="str">
        <f>IFERROR(IF(VLOOKUP(TableHandbook[[#This Row],[UDC]],TableAvailabilities[],6,FALSE)&gt;0,"Y",""),"")</f>
        <v>Y</v>
      </c>
      <c r="L8" s="55" t="str">
        <f>IFERROR(IF(VLOOKUP(TableHandbook[[#This Row],[UDC]],TableAvailabilities[],7,FALSE)&gt;0,"Y",""),"")</f>
        <v>Y</v>
      </c>
      <c r="M8" s="55" t="str">
        <f>IFERROR(IF(VLOOKUP(TableHandbook[[#This Row],[UDC]],TableAvailabilities[],8,FALSE)&gt;0,"Y",""),"")</f>
        <v/>
      </c>
      <c r="N8" s="55" t="str">
        <f>IFERROR(IF(VLOOKUP(TableHandbook[[#This Row],[UDC]],TableAvailabilities[],9,FALSE)&gt;0,"Y",""),"")</f>
        <v/>
      </c>
      <c r="O8" s="230"/>
      <c r="P8" s="232" t="str">
        <f>IFERROR(VLOOKUP(TableHandbook[[#This Row],[UDC]],TableMCTEACH[],7,FALSE),"")</f>
        <v/>
      </c>
      <c r="Q8" s="231" t="str">
        <f>IFERROR(VLOOKUP(TableHandbook[[#This Row],[UDC]],TableMJRPTCHEC[],7,FALSE),"")</f>
        <v>Core</v>
      </c>
      <c r="R8" s="231" t="str">
        <f>IFERROR(VLOOKUP(TableHandbook[[#This Row],[UDC]],TableMJRPTCHPR[],7,FALSE),"")</f>
        <v/>
      </c>
      <c r="S8" s="231" t="str">
        <f>IFERROR(VLOOKUP(TableHandbook[[#This Row],[UDC]],TableMJRPTCHSC[],7,FALSE),"")</f>
        <v/>
      </c>
      <c r="T8" s="231" t="str">
        <f>IFERROR(VLOOKUP(TableHandbook[[#This Row],[UDC]],TableSTRPSCART[],7,FALSE),"")</f>
        <v/>
      </c>
      <c r="U8" s="231" t="str">
        <f>IFERROR(VLOOKUP(TableHandbook[[#This Row],[UDC]],TableSTRPSCENG[],7,FALSE),"")</f>
        <v/>
      </c>
      <c r="V8" s="231" t="str">
        <f>IFERROR(VLOOKUP(TableHandbook[[#This Row],[UDC]],TableSTRPSCHLP[],7,FALSE),"")</f>
        <v/>
      </c>
      <c r="W8" s="231" t="str">
        <f>IFERROR(VLOOKUP(TableHandbook[[#This Row],[UDC]],TableSTRPSCHUS[],7,FALSE),"")</f>
        <v/>
      </c>
      <c r="X8" s="231" t="str">
        <f>IFERROR(VLOOKUP(TableHandbook[[#This Row],[UDC]],TableSTRPSCMAT[],7,FALSE),"")</f>
        <v/>
      </c>
      <c r="Y8" s="231" t="str">
        <f>IFERROR(VLOOKUP(TableHandbook[[#This Row],[UDC]],TableSTRPSCSCI[],7,FALSE),"")</f>
        <v/>
      </c>
      <c r="Z8" s="231" t="str">
        <f>IFERROR(VLOOKUP(TableHandbook[[#This Row],[UDC]],TableSTRPSCFON[],7,FALSE),"")</f>
        <v/>
      </c>
      <c r="AA8" s="232" t="str">
        <f>IFERROR(VLOOKUP(TableHandbook[[#This Row],[UDC]],TableGCTESOL[],7,FALSE),"")</f>
        <v/>
      </c>
      <c r="AB8" s="231" t="str">
        <f>IFERROR(VLOOKUP(TableHandbook[[#This Row],[UDC]],TableMCTESOL[],7,FALSE),"")</f>
        <v/>
      </c>
      <c r="AC8" s="231" t="str">
        <f>IFERROR(VLOOKUP(TableHandbook[[#This Row],[UDC]],TableMCAPLING[],7,FALSE),"")</f>
        <v/>
      </c>
      <c r="AD8" s="232" t="str">
        <f>IFERROR(VLOOKUP(TableHandbook[[#This Row],[UDC]],TableGCEDHE[],7,FALSE),"")</f>
        <v/>
      </c>
      <c r="AE8" s="231" t="str">
        <f>IFERROR(VLOOKUP(TableHandbook[[#This Row],[UDC]],TableGCEDUC[],7,FALSE),"")</f>
        <v>Option</v>
      </c>
      <c r="AF8" s="231" t="str">
        <f>IFERROR(VLOOKUP(TableHandbook[[#This Row],[UDC]],TableGDEDUC[],7,FALSE),"")</f>
        <v/>
      </c>
      <c r="AG8" s="231" t="str">
        <f>IFERROR(VLOOKUP(TableHandbook[[#This Row],[UDC]],TableMJRPEDUPR[],7,FALSE),"")</f>
        <v/>
      </c>
      <c r="AH8" s="231" t="str">
        <f>IFERROR(VLOOKUP(TableHandbook[[#This Row],[UDC]],TableMJRPEDUSC[],7,FALSE),"")</f>
        <v/>
      </c>
      <c r="AI8" s="232" t="str">
        <f>IFERROR(VLOOKUP(TableHandbook[[#This Row],[UDC]],TableMCEDUC[],7,FALSE),"")</f>
        <v/>
      </c>
      <c r="AJ8" s="231" t="str">
        <f>IFERROR(VLOOKUP(TableHandbook[[#This Row],[UDC]],TableSPPECULIN[],7,FALSE),"")</f>
        <v/>
      </c>
      <c r="AK8" s="231" t="str">
        <f>IFERROR(VLOOKUP(TableHandbook[[#This Row],[UDC]],TableSPPELNTCH[],7,FALSE),"")</f>
        <v/>
      </c>
      <c r="AL8" s="231" t="str">
        <f>IFERROR(VLOOKUP(TableHandbook[[#This Row],[UDC]],TableSPPESTEME[],7,FALSE),"")</f>
        <v/>
      </c>
    </row>
    <row r="9" spans="1:38" x14ac:dyDescent="0.25">
      <c r="A9" s="2" t="s">
        <v>111</v>
      </c>
      <c r="B9" s="3">
        <v>1</v>
      </c>
      <c r="C9" s="3"/>
      <c r="D9" s="2" t="s">
        <v>349</v>
      </c>
      <c r="E9" s="3">
        <v>25</v>
      </c>
      <c r="F9" s="54" t="s">
        <v>348</v>
      </c>
      <c r="G9" s="55" t="str">
        <f>IFERROR(IF(VLOOKUP(TableHandbook[[#This Row],[UDC]],TableAvailabilities[],2,FALSE)&gt;0,"Y",""),"")</f>
        <v/>
      </c>
      <c r="H9" s="55" t="str">
        <f>IFERROR(IF(VLOOKUP(TableHandbook[[#This Row],[UDC]],TableAvailabilities[],3,FALSE)&gt;0,"Y",""),"")</f>
        <v/>
      </c>
      <c r="I9" s="55" t="str">
        <f>IFERROR(IF(VLOOKUP(TableHandbook[[#This Row],[UDC]],TableAvailabilities[],4,FALSE)&gt;0,"Y",""),"")</f>
        <v>Y</v>
      </c>
      <c r="J9" s="55" t="str">
        <f>IFERROR(IF(VLOOKUP(TableHandbook[[#This Row],[UDC]],TableAvailabilities[],5,FALSE)&gt;0,"Y",""),"")</f>
        <v>Y</v>
      </c>
      <c r="K9" s="55" t="str">
        <f>IFERROR(IF(VLOOKUP(TableHandbook[[#This Row],[UDC]],TableAvailabilities[],6,FALSE)&gt;0,"Y",""),"")</f>
        <v/>
      </c>
      <c r="L9" s="55" t="str">
        <f>IFERROR(IF(VLOOKUP(TableHandbook[[#This Row],[UDC]],TableAvailabilities[],7,FALSE)&gt;0,"Y",""),"")</f>
        <v/>
      </c>
      <c r="M9" s="55" t="str">
        <f>IFERROR(IF(VLOOKUP(TableHandbook[[#This Row],[UDC]],TableAvailabilities[],8,FALSE)&gt;0,"Y",""),"")</f>
        <v/>
      </c>
      <c r="N9" s="55" t="str">
        <f>IFERROR(IF(VLOOKUP(TableHandbook[[#This Row],[UDC]],TableAvailabilities[],9,FALSE)&gt;0,"Y",""),"")</f>
        <v/>
      </c>
      <c r="O9" s="230"/>
      <c r="P9" s="232" t="str">
        <f>IFERROR(VLOOKUP(TableHandbook[[#This Row],[UDC]],TableMCTEACH[],7,FALSE),"")</f>
        <v/>
      </c>
      <c r="Q9" s="231" t="str">
        <f>IFERROR(VLOOKUP(TableHandbook[[#This Row],[UDC]],TableMJRPTCHEC[],7,FALSE),"")</f>
        <v>Core</v>
      </c>
      <c r="R9" s="231" t="str">
        <f>IFERROR(VLOOKUP(TableHandbook[[#This Row],[UDC]],TableMJRPTCHPR[],7,FALSE),"")</f>
        <v/>
      </c>
      <c r="S9" s="231" t="str">
        <f>IFERROR(VLOOKUP(TableHandbook[[#This Row],[UDC]],TableMJRPTCHSC[],7,FALSE),"")</f>
        <v/>
      </c>
      <c r="T9" s="231" t="str">
        <f>IFERROR(VLOOKUP(TableHandbook[[#This Row],[UDC]],TableSTRPSCART[],7,FALSE),"")</f>
        <v/>
      </c>
      <c r="U9" s="231" t="str">
        <f>IFERROR(VLOOKUP(TableHandbook[[#This Row],[UDC]],TableSTRPSCENG[],7,FALSE),"")</f>
        <v/>
      </c>
      <c r="V9" s="231" t="str">
        <f>IFERROR(VLOOKUP(TableHandbook[[#This Row],[UDC]],TableSTRPSCHLP[],7,FALSE),"")</f>
        <v/>
      </c>
      <c r="W9" s="231" t="str">
        <f>IFERROR(VLOOKUP(TableHandbook[[#This Row],[UDC]],TableSTRPSCHUS[],7,FALSE),"")</f>
        <v/>
      </c>
      <c r="X9" s="231" t="str">
        <f>IFERROR(VLOOKUP(TableHandbook[[#This Row],[UDC]],TableSTRPSCMAT[],7,FALSE),"")</f>
        <v/>
      </c>
      <c r="Y9" s="231" t="str">
        <f>IFERROR(VLOOKUP(TableHandbook[[#This Row],[UDC]],TableSTRPSCSCI[],7,FALSE),"")</f>
        <v/>
      </c>
      <c r="Z9" s="231" t="str">
        <f>IFERROR(VLOOKUP(TableHandbook[[#This Row],[UDC]],TableSTRPSCFON[],7,FALSE),"")</f>
        <v/>
      </c>
      <c r="AA9" s="232" t="str">
        <f>IFERROR(VLOOKUP(TableHandbook[[#This Row],[UDC]],TableGCTESOL[],7,FALSE),"")</f>
        <v/>
      </c>
      <c r="AB9" s="231" t="str">
        <f>IFERROR(VLOOKUP(TableHandbook[[#This Row],[UDC]],TableMCTESOL[],7,FALSE),"")</f>
        <v/>
      </c>
      <c r="AC9" s="231" t="str">
        <f>IFERROR(VLOOKUP(TableHandbook[[#This Row],[UDC]],TableMCAPLING[],7,FALSE),"")</f>
        <v/>
      </c>
      <c r="AD9" s="232" t="str">
        <f>IFERROR(VLOOKUP(TableHandbook[[#This Row],[UDC]],TableGCEDHE[],7,FALSE),"")</f>
        <v/>
      </c>
      <c r="AE9" s="231" t="str">
        <f>IFERROR(VLOOKUP(TableHandbook[[#This Row],[UDC]],TableGCEDUC[],7,FALSE),"")</f>
        <v>Option</v>
      </c>
      <c r="AF9" s="231" t="str">
        <f>IFERROR(VLOOKUP(TableHandbook[[#This Row],[UDC]],TableGDEDUC[],7,FALSE),"")</f>
        <v/>
      </c>
      <c r="AG9" s="231" t="str">
        <f>IFERROR(VLOOKUP(TableHandbook[[#This Row],[UDC]],TableMJRPEDUPR[],7,FALSE),"")</f>
        <v/>
      </c>
      <c r="AH9" s="231" t="str">
        <f>IFERROR(VLOOKUP(TableHandbook[[#This Row],[UDC]],TableMJRPEDUSC[],7,FALSE),"")</f>
        <v/>
      </c>
      <c r="AI9" s="232" t="str">
        <f>IFERROR(VLOOKUP(TableHandbook[[#This Row],[UDC]],TableMCEDUC[],7,FALSE),"")</f>
        <v/>
      </c>
      <c r="AJ9" s="231" t="str">
        <f>IFERROR(VLOOKUP(TableHandbook[[#This Row],[UDC]],TableSPPECULIN[],7,FALSE),"")</f>
        <v/>
      </c>
      <c r="AK9" s="231" t="str">
        <f>IFERROR(VLOOKUP(TableHandbook[[#This Row],[UDC]],TableSPPELNTCH[],7,FALSE),"")</f>
        <v/>
      </c>
      <c r="AL9" s="231" t="str">
        <f>IFERROR(VLOOKUP(TableHandbook[[#This Row],[UDC]],TableSPPESTEME[],7,FALSE),"")</f>
        <v/>
      </c>
    </row>
    <row r="10" spans="1:38" x14ac:dyDescent="0.25">
      <c r="A10" s="2" t="s">
        <v>119</v>
      </c>
      <c r="B10" s="3">
        <v>1</v>
      </c>
      <c r="C10" s="3"/>
      <c r="D10" s="2" t="s">
        <v>350</v>
      </c>
      <c r="E10" s="3">
        <v>25</v>
      </c>
      <c r="F10" s="54" t="s">
        <v>348</v>
      </c>
      <c r="G10" s="55" t="str">
        <f>IFERROR(IF(VLOOKUP(TableHandbook[[#This Row],[UDC]],TableAvailabilities[],2,FALSE)&gt;0,"Y",""),"")</f>
        <v>Y</v>
      </c>
      <c r="H10" s="55" t="str">
        <f>IFERROR(IF(VLOOKUP(TableHandbook[[#This Row],[UDC]],TableAvailabilities[],3,FALSE)&gt;0,"Y",""),"")</f>
        <v>Y</v>
      </c>
      <c r="I10" s="55" t="str">
        <f>IFERROR(IF(VLOOKUP(TableHandbook[[#This Row],[UDC]],TableAvailabilities[],4,FALSE)&gt;0,"Y",""),"")</f>
        <v/>
      </c>
      <c r="J10" s="55" t="str">
        <f>IFERROR(IF(VLOOKUP(TableHandbook[[#This Row],[UDC]],TableAvailabilities[],5,FALSE)&gt;0,"Y",""),"")</f>
        <v/>
      </c>
      <c r="K10" s="55" t="str">
        <f>IFERROR(IF(VLOOKUP(TableHandbook[[#This Row],[UDC]],TableAvailabilities[],6,FALSE)&gt;0,"Y",""),"")</f>
        <v/>
      </c>
      <c r="L10" s="55" t="str">
        <f>IFERROR(IF(VLOOKUP(TableHandbook[[#This Row],[UDC]],TableAvailabilities[],7,FALSE)&gt;0,"Y",""),"")</f>
        <v/>
      </c>
      <c r="M10" s="55" t="str">
        <f>IFERROR(IF(VLOOKUP(TableHandbook[[#This Row],[UDC]],TableAvailabilities[],8,FALSE)&gt;0,"Y",""),"")</f>
        <v/>
      </c>
      <c r="N10" s="55" t="str">
        <f>IFERROR(IF(VLOOKUP(TableHandbook[[#This Row],[UDC]],TableAvailabilities[],9,FALSE)&gt;0,"Y",""),"")</f>
        <v/>
      </c>
      <c r="O10" s="230"/>
      <c r="P10" s="232" t="str">
        <f>IFERROR(VLOOKUP(TableHandbook[[#This Row],[UDC]],TableMCTEACH[],7,FALSE),"")</f>
        <v/>
      </c>
      <c r="Q10" s="231" t="str">
        <f>IFERROR(VLOOKUP(TableHandbook[[#This Row],[UDC]],TableMJRPTCHEC[],7,FALSE),"")</f>
        <v>Core</v>
      </c>
      <c r="R10" s="231" t="str">
        <f>IFERROR(VLOOKUP(TableHandbook[[#This Row],[UDC]],TableMJRPTCHPR[],7,FALSE),"")</f>
        <v/>
      </c>
      <c r="S10" s="231" t="str">
        <f>IFERROR(VLOOKUP(TableHandbook[[#This Row],[UDC]],TableMJRPTCHSC[],7,FALSE),"")</f>
        <v/>
      </c>
      <c r="T10" s="231" t="str">
        <f>IFERROR(VLOOKUP(TableHandbook[[#This Row],[UDC]],TableSTRPSCART[],7,FALSE),"")</f>
        <v/>
      </c>
      <c r="U10" s="231" t="str">
        <f>IFERROR(VLOOKUP(TableHandbook[[#This Row],[UDC]],TableSTRPSCENG[],7,FALSE),"")</f>
        <v/>
      </c>
      <c r="V10" s="231" t="str">
        <f>IFERROR(VLOOKUP(TableHandbook[[#This Row],[UDC]],TableSTRPSCHLP[],7,FALSE),"")</f>
        <v/>
      </c>
      <c r="W10" s="231" t="str">
        <f>IFERROR(VLOOKUP(TableHandbook[[#This Row],[UDC]],TableSTRPSCHUS[],7,FALSE),"")</f>
        <v/>
      </c>
      <c r="X10" s="231" t="str">
        <f>IFERROR(VLOOKUP(TableHandbook[[#This Row],[UDC]],TableSTRPSCMAT[],7,FALSE),"")</f>
        <v/>
      </c>
      <c r="Y10" s="231" t="str">
        <f>IFERROR(VLOOKUP(TableHandbook[[#This Row],[UDC]],TableSTRPSCSCI[],7,FALSE),"")</f>
        <v/>
      </c>
      <c r="Z10" s="231" t="str">
        <f>IFERROR(VLOOKUP(TableHandbook[[#This Row],[UDC]],TableSTRPSCFON[],7,FALSE),"")</f>
        <v/>
      </c>
      <c r="AA10" s="232" t="str">
        <f>IFERROR(VLOOKUP(TableHandbook[[#This Row],[UDC]],TableGCTESOL[],7,FALSE),"")</f>
        <v/>
      </c>
      <c r="AB10" s="231" t="str">
        <f>IFERROR(VLOOKUP(TableHandbook[[#This Row],[UDC]],TableMCTESOL[],7,FALSE),"")</f>
        <v/>
      </c>
      <c r="AC10" s="231" t="str">
        <f>IFERROR(VLOOKUP(TableHandbook[[#This Row],[UDC]],TableMCAPLING[],7,FALSE),"")</f>
        <v/>
      </c>
      <c r="AD10" s="232" t="str">
        <f>IFERROR(VLOOKUP(TableHandbook[[#This Row],[UDC]],TableGCEDHE[],7,FALSE),"")</f>
        <v/>
      </c>
      <c r="AE10" s="231" t="str">
        <f>IFERROR(VLOOKUP(TableHandbook[[#This Row],[UDC]],TableGCEDUC[],7,FALSE),"")</f>
        <v>Option</v>
      </c>
      <c r="AF10" s="231" t="str">
        <f>IFERROR(VLOOKUP(TableHandbook[[#This Row],[UDC]],TableGDEDUC[],7,FALSE),"")</f>
        <v/>
      </c>
      <c r="AG10" s="231" t="str">
        <f>IFERROR(VLOOKUP(TableHandbook[[#This Row],[UDC]],TableMJRPEDUPR[],7,FALSE),"")</f>
        <v/>
      </c>
      <c r="AH10" s="231" t="str">
        <f>IFERROR(VLOOKUP(TableHandbook[[#This Row],[UDC]],TableMJRPEDUSC[],7,FALSE),"")</f>
        <v/>
      </c>
      <c r="AI10" s="232" t="str">
        <f>IFERROR(VLOOKUP(TableHandbook[[#This Row],[UDC]],TableMCEDUC[],7,FALSE),"")</f>
        <v/>
      </c>
      <c r="AJ10" s="231" t="str">
        <f>IFERROR(VLOOKUP(TableHandbook[[#This Row],[UDC]],TableSPPECULIN[],7,FALSE),"")</f>
        <v/>
      </c>
      <c r="AK10" s="231" t="str">
        <f>IFERROR(VLOOKUP(TableHandbook[[#This Row],[UDC]],TableSPPELNTCH[],7,FALSE),"")</f>
        <v/>
      </c>
      <c r="AL10" s="231" t="str">
        <f>IFERROR(VLOOKUP(TableHandbook[[#This Row],[UDC]],TableSPPESTEME[],7,FALSE),"")</f>
        <v/>
      </c>
    </row>
    <row r="11" spans="1:38" x14ac:dyDescent="0.25">
      <c r="A11" s="2" t="s">
        <v>127</v>
      </c>
      <c r="B11" s="3">
        <v>1</v>
      </c>
      <c r="C11" s="3"/>
      <c r="D11" s="2" t="s">
        <v>351</v>
      </c>
      <c r="E11" s="3">
        <v>25</v>
      </c>
      <c r="F11" s="54" t="s">
        <v>348</v>
      </c>
      <c r="G11" s="55" t="str">
        <f>IFERROR(IF(VLOOKUP(TableHandbook[[#This Row],[UDC]],TableAvailabilities[],2,FALSE)&gt;0,"Y",""),"")</f>
        <v/>
      </c>
      <c r="H11" s="55" t="str">
        <f>IFERROR(IF(VLOOKUP(TableHandbook[[#This Row],[UDC]],TableAvailabilities[],3,FALSE)&gt;0,"Y",""),"")</f>
        <v/>
      </c>
      <c r="I11" s="55" t="str">
        <f>IFERROR(IF(VLOOKUP(TableHandbook[[#This Row],[UDC]],TableAvailabilities[],4,FALSE)&gt;0,"Y",""),"")</f>
        <v>Y</v>
      </c>
      <c r="J11" s="55" t="str">
        <f>IFERROR(IF(VLOOKUP(TableHandbook[[#This Row],[UDC]],TableAvailabilities[],5,FALSE)&gt;0,"Y",""),"")</f>
        <v>Y</v>
      </c>
      <c r="K11" s="55" t="str">
        <f>IFERROR(IF(VLOOKUP(TableHandbook[[#This Row],[UDC]],TableAvailabilities[],6,FALSE)&gt;0,"Y",""),"")</f>
        <v/>
      </c>
      <c r="L11" s="55" t="str">
        <f>IFERROR(IF(VLOOKUP(TableHandbook[[#This Row],[UDC]],TableAvailabilities[],7,FALSE)&gt;0,"Y",""),"")</f>
        <v/>
      </c>
      <c r="M11" s="55" t="str">
        <f>IFERROR(IF(VLOOKUP(TableHandbook[[#This Row],[UDC]],TableAvailabilities[],8,FALSE)&gt;0,"Y",""),"")</f>
        <v/>
      </c>
      <c r="N11" s="55" t="str">
        <f>IFERROR(IF(VLOOKUP(TableHandbook[[#This Row],[UDC]],TableAvailabilities[],9,FALSE)&gt;0,"Y",""),"")</f>
        <v/>
      </c>
      <c r="O11" s="230"/>
      <c r="P11" s="232" t="str">
        <f>IFERROR(VLOOKUP(TableHandbook[[#This Row],[UDC]],TableMCTEACH[],7,FALSE),"")</f>
        <v/>
      </c>
      <c r="Q11" s="231" t="str">
        <f>IFERROR(VLOOKUP(TableHandbook[[#This Row],[UDC]],TableMJRPTCHEC[],7,FALSE),"")</f>
        <v>Core</v>
      </c>
      <c r="R11" s="231" t="str">
        <f>IFERROR(VLOOKUP(TableHandbook[[#This Row],[UDC]],TableMJRPTCHPR[],7,FALSE),"")</f>
        <v/>
      </c>
      <c r="S11" s="231" t="str">
        <f>IFERROR(VLOOKUP(TableHandbook[[#This Row],[UDC]],TableMJRPTCHSC[],7,FALSE),"")</f>
        <v/>
      </c>
      <c r="T11" s="231" t="str">
        <f>IFERROR(VLOOKUP(TableHandbook[[#This Row],[UDC]],TableSTRPSCART[],7,FALSE),"")</f>
        <v/>
      </c>
      <c r="U11" s="231" t="str">
        <f>IFERROR(VLOOKUP(TableHandbook[[#This Row],[UDC]],TableSTRPSCENG[],7,FALSE),"")</f>
        <v/>
      </c>
      <c r="V11" s="231" t="str">
        <f>IFERROR(VLOOKUP(TableHandbook[[#This Row],[UDC]],TableSTRPSCHLP[],7,FALSE),"")</f>
        <v/>
      </c>
      <c r="W11" s="231" t="str">
        <f>IFERROR(VLOOKUP(TableHandbook[[#This Row],[UDC]],TableSTRPSCHUS[],7,FALSE),"")</f>
        <v/>
      </c>
      <c r="X11" s="231" t="str">
        <f>IFERROR(VLOOKUP(TableHandbook[[#This Row],[UDC]],TableSTRPSCMAT[],7,FALSE),"")</f>
        <v/>
      </c>
      <c r="Y11" s="231" t="str">
        <f>IFERROR(VLOOKUP(TableHandbook[[#This Row],[UDC]],TableSTRPSCSCI[],7,FALSE),"")</f>
        <v/>
      </c>
      <c r="Z11" s="231" t="str">
        <f>IFERROR(VLOOKUP(TableHandbook[[#This Row],[UDC]],TableSTRPSCFON[],7,FALSE),"")</f>
        <v/>
      </c>
      <c r="AA11" s="232" t="str">
        <f>IFERROR(VLOOKUP(TableHandbook[[#This Row],[UDC]],TableGCTESOL[],7,FALSE),"")</f>
        <v/>
      </c>
      <c r="AB11" s="231" t="str">
        <f>IFERROR(VLOOKUP(TableHandbook[[#This Row],[UDC]],TableMCTESOL[],7,FALSE),"")</f>
        <v/>
      </c>
      <c r="AC11" s="231" t="str">
        <f>IFERROR(VLOOKUP(TableHandbook[[#This Row],[UDC]],TableMCAPLING[],7,FALSE),"")</f>
        <v/>
      </c>
      <c r="AD11" s="232" t="str">
        <f>IFERROR(VLOOKUP(TableHandbook[[#This Row],[UDC]],TableGCEDHE[],7,FALSE),"")</f>
        <v/>
      </c>
      <c r="AE11" s="231" t="str">
        <f>IFERROR(VLOOKUP(TableHandbook[[#This Row],[UDC]],TableGCEDUC[],7,FALSE),"")</f>
        <v/>
      </c>
      <c r="AF11" s="231" t="str">
        <f>IFERROR(VLOOKUP(TableHandbook[[#This Row],[UDC]],TableGDEDUC[],7,FALSE),"")</f>
        <v/>
      </c>
      <c r="AG11" s="231" t="str">
        <f>IFERROR(VLOOKUP(TableHandbook[[#This Row],[UDC]],TableMJRPEDUPR[],7,FALSE),"")</f>
        <v/>
      </c>
      <c r="AH11" s="231" t="str">
        <f>IFERROR(VLOOKUP(TableHandbook[[#This Row],[UDC]],TableMJRPEDUSC[],7,FALSE),"")</f>
        <v/>
      </c>
      <c r="AI11" s="232" t="str">
        <f>IFERROR(VLOOKUP(TableHandbook[[#This Row],[UDC]],TableMCEDUC[],7,FALSE),"")</f>
        <v/>
      </c>
      <c r="AJ11" s="231" t="str">
        <f>IFERROR(VLOOKUP(TableHandbook[[#This Row],[UDC]],TableSPPECULIN[],7,FALSE),"")</f>
        <v/>
      </c>
      <c r="AK11" s="231" t="str">
        <f>IFERROR(VLOOKUP(TableHandbook[[#This Row],[UDC]],TableSPPELNTCH[],7,FALSE),"")</f>
        <v/>
      </c>
      <c r="AL11" s="231" t="str">
        <f>IFERROR(VLOOKUP(TableHandbook[[#This Row],[UDC]],TableSPPESTEME[],7,FALSE),"")</f>
        <v/>
      </c>
    </row>
    <row r="12" spans="1:38" x14ac:dyDescent="0.25">
      <c r="A12" s="2" t="s">
        <v>92</v>
      </c>
      <c r="B12" s="3">
        <v>1</v>
      </c>
      <c r="C12" s="3"/>
      <c r="D12" s="2" t="s">
        <v>352</v>
      </c>
      <c r="E12" s="3">
        <v>25</v>
      </c>
      <c r="F12" s="54" t="s">
        <v>348</v>
      </c>
      <c r="G12" s="55" t="str">
        <f>IFERROR(IF(VLOOKUP(TableHandbook[[#This Row],[UDC]],TableAvailabilities[],2,FALSE)&gt;0,"Y",""),"")</f>
        <v/>
      </c>
      <c r="H12" s="55" t="str">
        <f>IFERROR(IF(VLOOKUP(TableHandbook[[#This Row],[UDC]],TableAvailabilities[],3,FALSE)&gt;0,"Y",""),"")</f>
        <v/>
      </c>
      <c r="I12" s="55" t="str">
        <f>IFERROR(IF(VLOOKUP(TableHandbook[[#This Row],[UDC]],TableAvailabilities[],4,FALSE)&gt;0,"Y",""),"")</f>
        <v/>
      </c>
      <c r="J12" s="55" t="str">
        <f>IFERROR(IF(VLOOKUP(TableHandbook[[#This Row],[UDC]],TableAvailabilities[],5,FALSE)&gt;0,"Y",""),"")</f>
        <v/>
      </c>
      <c r="K12" s="55" t="str">
        <f>IFERROR(IF(VLOOKUP(TableHandbook[[#This Row],[UDC]],TableAvailabilities[],6,FALSE)&gt;0,"Y",""),"")</f>
        <v/>
      </c>
      <c r="L12" s="55" t="str">
        <f>IFERROR(IF(VLOOKUP(TableHandbook[[#This Row],[UDC]],TableAvailabilities[],7,FALSE)&gt;0,"Y",""),"")</f>
        <v/>
      </c>
      <c r="M12" s="55" t="str">
        <f>IFERROR(IF(VLOOKUP(TableHandbook[[#This Row],[UDC]],TableAvailabilities[],8,FALSE)&gt;0,"Y",""),"")</f>
        <v>Y</v>
      </c>
      <c r="N12" s="55" t="str">
        <f>IFERROR(IF(VLOOKUP(TableHandbook[[#This Row],[UDC]],TableAvailabilities[],9,FALSE)&gt;0,"Y",""),"")</f>
        <v>Y</v>
      </c>
      <c r="O12" s="230"/>
      <c r="P12" s="232" t="str">
        <f>IFERROR(VLOOKUP(TableHandbook[[#This Row],[UDC]],TableMCTEACH[],7,FALSE),"")</f>
        <v/>
      </c>
      <c r="Q12" s="231" t="str">
        <f>IFERROR(VLOOKUP(TableHandbook[[#This Row],[UDC]],TableMJRPTCHEC[],7,FALSE),"")</f>
        <v>Core</v>
      </c>
      <c r="R12" s="231" t="str">
        <f>IFERROR(VLOOKUP(TableHandbook[[#This Row],[UDC]],TableMJRPTCHPR[],7,FALSE),"")</f>
        <v/>
      </c>
      <c r="S12" s="231" t="str">
        <f>IFERROR(VLOOKUP(TableHandbook[[#This Row],[UDC]],TableMJRPTCHSC[],7,FALSE),"")</f>
        <v/>
      </c>
      <c r="T12" s="231" t="str">
        <f>IFERROR(VLOOKUP(TableHandbook[[#This Row],[UDC]],TableSTRPSCART[],7,FALSE),"")</f>
        <v/>
      </c>
      <c r="U12" s="231" t="str">
        <f>IFERROR(VLOOKUP(TableHandbook[[#This Row],[UDC]],TableSTRPSCENG[],7,FALSE),"")</f>
        <v/>
      </c>
      <c r="V12" s="231" t="str">
        <f>IFERROR(VLOOKUP(TableHandbook[[#This Row],[UDC]],TableSTRPSCHLP[],7,FALSE),"")</f>
        <v/>
      </c>
      <c r="W12" s="231" t="str">
        <f>IFERROR(VLOOKUP(TableHandbook[[#This Row],[UDC]],TableSTRPSCHUS[],7,FALSE),"")</f>
        <v/>
      </c>
      <c r="X12" s="231" t="str">
        <f>IFERROR(VLOOKUP(TableHandbook[[#This Row],[UDC]],TableSTRPSCMAT[],7,FALSE),"")</f>
        <v/>
      </c>
      <c r="Y12" s="231" t="str">
        <f>IFERROR(VLOOKUP(TableHandbook[[#This Row],[UDC]],TableSTRPSCSCI[],7,FALSE),"")</f>
        <v/>
      </c>
      <c r="Z12" s="231" t="str">
        <f>IFERROR(VLOOKUP(TableHandbook[[#This Row],[UDC]],TableSTRPSCFON[],7,FALSE),"")</f>
        <v/>
      </c>
      <c r="AA12" s="232" t="str">
        <f>IFERROR(VLOOKUP(TableHandbook[[#This Row],[UDC]],TableGCTESOL[],7,FALSE),"")</f>
        <v/>
      </c>
      <c r="AB12" s="231" t="str">
        <f>IFERROR(VLOOKUP(TableHandbook[[#This Row],[UDC]],TableMCTESOL[],7,FALSE),"")</f>
        <v/>
      </c>
      <c r="AC12" s="231" t="str">
        <f>IFERROR(VLOOKUP(TableHandbook[[#This Row],[UDC]],TableMCAPLING[],7,FALSE),"")</f>
        <v/>
      </c>
      <c r="AD12" s="232" t="str">
        <f>IFERROR(VLOOKUP(TableHandbook[[#This Row],[UDC]],TableGCEDHE[],7,FALSE),"")</f>
        <v/>
      </c>
      <c r="AE12" s="231" t="str">
        <f>IFERROR(VLOOKUP(TableHandbook[[#This Row],[UDC]],TableGCEDUC[],7,FALSE),"")</f>
        <v/>
      </c>
      <c r="AF12" s="231" t="str">
        <f>IFERROR(VLOOKUP(TableHandbook[[#This Row],[UDC]],TableGDEDUC[],7,FALSE),"")</f>
        <v/>
      </c>
      <c r="AG12" s="231" t="str">
        <f>IFERROR(VLOOKUP(TableHandbook[[#This Row],[UDC]],TableMJRPEDUPR[],7,FALSE),"")</f>
        <v/>
      </c>
      <c r="AH12" s="231" t="str">
        <f>IFERROR(VLOOKUP(TableHandbook[[#This Row],[UDC]],TableMJRPEDUSC[],7,FALSE),"")</f>
        <v/>
      </c>
      <c r="AI12" s="232" t="str">
        <f>IFERROR(VLOOKUP(TableHandbook[[#This Row],[UDC]],TableMCEDUC[],7,FALSE),"")</f>
        <v/>
      </c>
      <c r="AJ12" s="231" t="str">
        <f>IFERROR(VLOOKUP(TableHandbook[[#This Row],[UDC]],TableSPPECULIN[],7,FALSE),"")</f>
        <v/>
      </c>
      <c r="AK12" s="231" t="str">
        <f>IFERROR(VLOOKUP(TableHandbook[[#This Row],[UDC]],TableSPPELNTCH[],7,FALSE),"")</f>
        <v/>
      </c>
      <c r="AL12" s="231" t="str">
        <f>IFERROR(VLOOKUP(TableHandbook[[#This Row],[UDC]],TableSPPESTEME[],7,FALSE),"")</f>
        <v/>
      </c>
    </row>
    <row r="13" spans="1:38" x14ac:dyDescent="0.25">
      <c r="A13" s="2" t="s">
        <v>103</v>
      </c>
      <c r="B13" s="3">
        <v>1</v>
      </c>
      <c r="C13" s="3"/>
      <c r="D13" s="2" t="s">
        <v>353</v>
      </c>
      <c r="E13" s="3">
        <v>25</v>
      </c>
      <c r="F13" s="54" t="s">
        <v>348</v>
      </c>
      <c r="G13" s="55" t="str">
        <f>IFERROR(IF(VLOOKUP(TableHandbook[[#This Row],[UDC]],TableAvailabilities[],2,FALSE)&gt;0,"Y",""),"")</f>
        <v>Y</v>
      </c>
      <c r="H13" s="55" t="str">
        <f>IFERROR(IF(VLOOKUP(TableHandbook[[#This Row],[UDC]],TableAvailabilities[],3,FALSE)&gt;0,"Y",""),"")</f>
        <v>Y</v>
      </c>
      <c r="I13" s="55" t="str">
        <f>IFERROR(IF(VLOOKUP(TableHandbook[[#This Row],[UDC]],TableAvailabilities[],4,FALSE)&gt;0,"Y",""),"")</f>
        <v>Y</v>
      </c>
      <c r="J13" s="55" t="str">
        <f>IFERROR(IF(VLOOKUP(TableHandbook[[#This Row],[UDC]],TableAvailabilities[],5,FALSE)&gt;0,"Y",""),"")</f>
        <v>Y</v>
      </c>
      <c r="K13" s="55" t="str">
        <f>IFERROR(IF(VLOOKUP(TableHandbook[[#This Row],[UDC]],TableAvailabilities[],6,FALSE)&gt;0,"Y",""),"")</f>
        <v/>
      </c>
      <c r="L13" s="55" t="str">
        <f>IFERROR(IF(VLOOKUP(TableHandbook[[#This Row],[UDC]],TableAvailabilities[],7,FALSE)&gt;0,"Y",""),"")</f>
        <v/>
      </c>
      <c r="M13" s="55" t="str">
        <f>IFERROR(IF(VLOOKUP(TableHandbook[[#This Row],[UDC]],TableAvailabilities[],8,FALSE)&gt;0,"Y",""),"")</f>
        <v/>
      </c>
      <c r="N13" s="55" t="str">
        <f>IFERROR(IF(VLOOKUP(TableHandbook[[#This Row],[UDC]],TableAvailabilities[],9,FALSE)&gt;0,"Y",""),"")</f>
        <v/>
      </c>
      <c r="O13" s="230"/>
      <c r="P13" s="232" t="str">
        <f>IFERROR(VLOOKUP(TableHandbook[[#This Row],[UDC]],TableMCTEACH[],7,FALSE),"")</f>
        <v/>
      </c>
      <c r="Q13" s="231" t="str">
        <f>IFERROR(VLOOKUP(TableHandbook[[#This Row],[UDC]],TableMJRPTCHEC[],7,FALSE),"")</f>
        <v>Core</v>
      </c>
      <c r="R13" s="231" t="str">
        <f>IFERROR(VLOOKUP(TableHandbook[[#This Row],[UDC]],TableMJRPTCHPR[],7,FALSE),"")</f>
        <v/>
      </c>
      <c r="S13" s="231" t="str">
        <f>IFERROR(VLOOKUP(TableHandbook[[#This Row],[UDC]],TableMJRPTCHSC[],7,FALSE),"")</f>
        <v/>
      </c>
      <c r="T13" s="231" t="str">
        <f>IFERROR(VLOOKUP(TableHandbook[[#This Row],[UDC]],TableSTRPSCART[],7,FALSE),"")</f>
        <v/>
      </c>
      <c r="U13" s="231" t="str">
        <f>IFERROR(VLOOKUP(TableHandbook[[#This Row],[UDC]],TableSTRPSCENG[],7,FALSE),"")</f>
        <v/>
      </c>
      <c r="V13" s="231" t="str">
        <f>IFERROR(VLOOKUP(TableHandbook[[#This Row],[UDC]],TableSTRPSCHLP[],7,FALSE),"")</f>
        <v/>
      </c>
      <c r="W13" s="231" t="str">
        <f>IFERROR(VLOOKUP(TableHandbook[[#This Row],[UDC]],TableSTRPSCHUS[],7,FALSE),"")</f>
        <v/>
      </c>
      <c r="X13" s="231" t="str">
        <f>IFERROR(VLOOKUP(TableHandbook[[#This Row],[UDC]],TableSTRPSCMAT[],7,FALSE),"")</f>
        <v/>
      </c>
      <c r="Y13" s="231" t="str">
        <f>IFERROR(VLOOKUP(TableHandbook[[#This Row],[UDC]],TableSTRPSCSCI[],7,FALSE),"")</f>
        <v/>
      </c>
      <c r="Z13" s="231" t="str">
        <f>IFERROR(VLOOKUP(TableHandbook[[#This Row],[UDC]],TableSTRPSCFON[],7,FALSE),"")</f>
        <v/>
      </c>
      <c r="AA13" s="232" t="str">
        <f>IFERROR(VLOOKUP(TableHandbook[[#This Row],[UDC]],TableGCTESOL[],7,FALSE),"")</f>
        <v/>
      </c>
      <c r="AB13" s="231" t="str">
        <f>IFERROR(VLOOKUP(TableHandbook[[#This Row],[UDC]],TableMCTESOL[],7,FALSE),"")</f>
        <v/>
      </c>
      <c r="AC13" s="231" t="str">
        <f>IFERROR(VLOOKUP(TableHandbook[[#This Row],[UDC]],TableMCAPLING[],7,FALSE),"")</f>
        <v/>
      </c>
      <c r="AD13" s="232" t="str">
        <f>IFERROR(VLOOKUP(TableHandbook[[#This Row],[UDC]],TableGCEDHE[],7,FALSE),"")</f>
        <v/>
      </c>
      <c r="AE13" s="231" t="str">
        <f>IFERROR(VLOOKUP(TableHandbook[[#This Row],[UDC]],TableGCEDUC[],7,FALSE),"")</f>
        <v/>
      </c>
      <c r="AF13" s="231" t="str">
        <f>IFERROR(VLOOKUP(TableHandbook[[#This Row],[UDC]],TableGDEDUC[],7,FALSE),"")</f>
        <v/>
      </c>
      <c r="AG13" s="231" t="str">
        <f>IFERROR(VLOOKUP(TableHandbook[[#This Row],[UDC]],TableMJRPEDUPR[],7,FALSE),"")</f>
        <v/>
      </c>
      <c r="AH13" s="231" t="str">
        <f>IFERROR(VLOOKUP(TableHandbook[[#This Row],[UDC]],TableMJRPEDUSC[],7,FALSE),"")</f>
        <v/>
      </c>
      <c r="AI13" s="232" t="str">
        <f>IFERROR(VLOOKUP(TableHandbook[[#This Row],[UDC]],TableMCEDUC[],7,FALSE),"")</f>
        <v/>
      </c>
      <c r="AJ13" s="231" t="str">
        <f>IFERROR(VLOOKUP(TableHandbook[[#This Row],[UDC]],TableSPPECULIN[],7,FALSE),"")</f>
        <v/>
      </c>
      <c r="AK13" s="231" t="str">
        <f>IFERROR(VLOOKUP(TableHandbook[[#This Row],[UDC]],TableSPPELNTCH[],7,FALSE),"")</f>
        <v/>
      </c>
      <c r="AL13" s="231" t="str">
        <f>IFERROR(VLOOKUP(TableHandbook[[#This Row],[UDC]],TableSPPESTEME[],7,FALSE),"")</f>
        <v/>
      </c>
    </row>
    <row r="14" spans="1:38" x14ac:dyDescent="0.25">
      <c r="A14" s="2" t="s">
        <v>124</v>
      </c>
      <c r="B14" s="3">
        <v>1</v>
      </c>
      <c r="C14" s="3"/>
      <c r="D14" s="2" t="s">
        <v>354</v>
      </c>
      <c r="E14" s="3">
        <v>25</v>
      </c>
      <c r="F14" s="54" t="s">
        <v>348</v>
      </c>
      <c r="G14" s="55" t="str">
        <f>IFERROR(IF(VLOOKUP(TableHandbook[[#This Row],[UDC]],TableAvailabilities[],2,FALSE)&gt;0,"Y",""),"")</f>
        <v/>
      </c>
      <c r="H14" s="55" t="str">
        <f>IFERROR(IF(VLOOKUP(TableHandbook[[#This Row],[UDC]],TableAvailabilities[],3,FALSE)&gt;0,"Y",""),"")</f>
        <v/>
      </c>
      <c r="I14" s="55" t="str">
        <f>IFERROR(IF(VLOOKUP(TableHandbook[[#This Row],[UDC]],TableAvailabilities[],4,FALSE)&gt;0,"Y",""),"")</f>
        <v/>
      </c>
      <c r="J14" s="55" t="str">
        <f>IFERROR(IF(VLOOKUP(TableHandbook[[#This Row],[UDC]],TableAvailabilities[],5,FALSE)&gt;0,"Y",""),"")</f>
        <v/>
      </c>
      <c r="K14" s="55" t="str">
        <f>IFERROR(IF(VLOOKUP(TableHandbook[[#This Row],[UDC]],TableAvailabilities[],6,FALSE)&gt;0,"Y",""),"")</f>
        <v/>
      </c>
      <c r="L14" s="55" t="str">
        <f>IFERROR(IF(VLOOKUP(TableHandbook[[#This Row],[UDC]],TableAvailabilities[],7,FALSE)&gt;0,"Y",""),"")</f>
        <v/>
      </c>
      <c r="M14" s="55" t="str">
        <f>IFERROR(IF(VLOOKUP(TableHandbook[[#This Row],[UDC]],TableAvailabilities[],8,FALSE)&gt;0,"Y",""),"")</f>
        <v>Y</v>
      </c>
      <c r="N14" s="55" t="str">
        <f>IFERROR(IF(VLOOKUP(TableHandbook[[#This Row],[UDC]],TableAvailabilities[],9,FALSE)&gt;0,"Y",""),"")</f>
        <v>Y</v>
      </c>
      <c r="O14" s="230"/>
      <c r="P14" s="232" t="str">
        <f>IFERROR(VLOOKUP(TableHandbook[[#This Row],[UDC]],TableMCTEACH[],7,FALSE),"")</f>
        <v/>
      </c>
      <c r="Q14" s="231" t="str">
        <f>IFERROR(VLOOKUP(TableHandbook[[#This Row],[UDC]],TableMJRPTCHEC[],7,FALSE),"")</f>
        <v>Core</v>
      </c>
      <c r="R14" s="231" t="str">
        <f>IFERROR(VLOOKUP(TableHandbook[[#This Row],[UDC]],TableMJRPTCHPR[],7,FALSE),"")</f>
        <v/>
      </c>
      <c r="S14" s="231" t="str">
        <f>IFERROR(VLOOKUP(TableHandbook[[#This Row],[UDC]],TableMJRPTCHSC[],7,FALSE),"")</f>
        <v/>
      </c>
      <c r="T14" s="231" t="str">
        <f>IFERROR(VLOOKUP(TableHandbook[[#This Row],[UDC]],TableSTRPSCART[],7,FALSE),"")</f>
        <v/>
      </c>
      <c r="U14" s="231" t="str">
        <f>IFERROR(VLOOKUP(TableHandbook[[#This Row],[UDC]],TableSTRPSCENG[],7,FALSE),"")</f>
        <v/>
      </c>
      <c r="V14" s="231" t="str">
        <f>IFERROR(VLOOKUP(TableHandbook[[#This Row],[UDC]],TableSTRPSCHLP[],7,FALSE),"")</f>
        <v/>
      </c>
      <c r="W14" s="231" t="str">
        <f>IFERROR(VLOOKUP(TableHandbook[[#This Row],[UDC]],TableSTRPSCHUS[],7,FALSE),"")</f>
        <v/>
      </c>
      <c r="X14" s="231" t="str">
        <f>IFERROR(VLOOKUP(TableHandbook[[#This Row],[UDC]],TableSTRPSCMAT[],7,FALSE),"")</f>
        <v/>
      </c>
      <c r="Y14" s="231" t="str">
        <f>IFERROR(VLOOKUP(TableHandbook[[#This Row],[UDC]],TableSTRPSCSCI[],7,FALSE),"")</f>
        <v/>
      </c>
      <c r="Z14" s="231" t="str">
        <f>IFERROR(VLOOKUP(TableHandbook[[#This Row],[UDC]],TableSTRPSCFON[],7,FALSE),"")</f>
        <v/>
      </c>
      <c r="AA14" s="232" t="str">
        <f>IFERROR(VLOOKUP(TableHandbook[[#This Row],[UDC]],TableGCTESOL[],7,FALSE),"")</f>
        <v/>
      </c>
      <c r="AB14" s="231" t="str">
        <f>IFERROR(VLOOKUP(TableHandbook[[#This Row],[UDC]],TableMCTESOL[],7,FALSE),"")</f>
        <v/>
      </c>
      <c r="AC14" s="231" t="str">
        <f>IFERROR(VLOOKUP(TableHandbook[[#This Row],[UDC]],TableMCAPLING[],7,FALSE),"")</f>
        <v/>
      </c>
      <c r="AD14" s="232" t="str">
        <f>IFERROR(VLOOKUP(TableHandbook[[#This Row],[UDC]],TableGCEDHE[],7,FALSE),"")</f>
        <v/>
      </c>
      <c r="AE14" s="231" t="str">
        <f>IFERROR(VLOOKUP(TableHandbook[[#This Row],[UDC]],TableGCEDUC[],7,FALSE),"")</f>
        <v/>
      </c>
      <c r="AF14" s="231" t="str">
        <f>IFERROR(VLOOKUP(TableHandbook[[#This Row],[UDC]],TableGDEDUC[],7,FALSE),"")</f>
        <v/>
      </c>
      <c r="AG14" s="231" t="str">
        <f>IFERROR(VLOOKUP(TableHandbook[[#This Row],[UDC]],TableMJRPEDUPR[],7,FALSE),"")</f>
        <v/>
      </c>
      <c r="AH14" s="231" t="str">
        <f>IFERROR(VLOOKUP(TableHandbook[[#This Row],[UDC]],TableMJRPEDUSC[],7,FALSE),"")</f>
        <v/>
      </c>
      <c r="AI14" s="232" t="str">
        <f>IFERROR(VLOOKUP(TableHandbook[[#This Row],[UDC]],TableMCEDUC[],7,FALSE),"")</f>
        <v/>
      </c>
      <c r="AJ14" s="231" t="str">
        <f>IFERROR(VLOOKUP(TableHandbook[[#This Row],[UDC]],TableSPPECULIN[],7,FALSE),"")</f>
        <v/>
      </c>
      <c r="AK14" s="231" t="str">
        <f>IFERROR(VLOOKUP(TableHandbook[[#This Row],[UDC]],TableSPPELNTCH[],7,FALSE),"")</f>
        <v/>
      </c>
      <c r="AL14" s="231" t="str">
        <f>IFERROR(VLOOKUP(TableHandbook[[#This Row],[UDC]],TableSPPESTEME[],7,FALSE),"")</f>
        <v/>
      </c>
    </row>
    <row r="15" spans="1:38" x14ac:dyDescent="0.25">
      <c r="A15" s="2" t="s">
        <v>120</v>
      </c>
      <c r="B15" s="3">
        <v>1</v>
      </c>
      <c r="C15" s="3"/>
      <c r="D15" s="2" t="s">
        <v>355</v>
      </c>
      <c r="E15" s="3">
        <v>25</v>
      </c>
      <c r="F15" s="54" t="s">
        <v>348</v>
      </c>
      <c r="G15" s="55" t="str">
        <f>IFERROR(IF(VLOOKUP(TableHandbook[[#This Row],[UDC]],TableAvailabilities[],2,FALSE)&gt;0,"Y",""),"")</f>
        <v/>
      </c>
      <c r="H15" s="55" t="str">
        <f>IFERROR(IF(VLOOKUP(TableHandbook[[#This Row],[UDC]],TableAvailabilities[],3,FALSE)&gt;0,"Y",""),"")</f>
        <v/>
      </c>
      <c r="I15" s="55" t="str">
        <f>IFERROR(IF(VLOOKUP(TableHandbook[[#This Row],[UDC]],TableAvailabilities[],4,FALSE)&gt;0,"Y",""),"")</f>
        <v/>
      </c>
      <c r="J15" s="55" t="str">
        <f>IFERROR(IF(VLOOKUP(TableHandbook[[#This Row],[UDC]],TableAvailabilities[],5,FALSE)&gt;0,"Y",""),"")</f>
        <v/>
      </c>
      <c r="K15" s="55" t="str">
        <f>IFERROR(IF(VLOOKUP(TableHandbook[[#This Row],[UDC]],TableAvailabilities[],6,FALSE)&gt;0,"Y",""),"")</f>
        <v>Y</v>
      </c>
      <c r="L15" s="55" t="str">
        <f>IFERROR(IF(VLOOKUP(TableHandbook[[#This Row],[UDC]],TableAvailabilities[],7,FALSE)&gt;0,"Y",""),"")</f>
        <v>Y</v>
      </c>
      <c r="M15" s="55" t="str">
        <f>IFERROR(IF(VLOOKUP(TableHandbook[[#This Row],[UDC]],TableAvailabilities[],8,FALSE)&gt;0,"Y",""),"")</f>
        <v/>
      </c>
      <c r="N15" s="55" t="str">
        <f>IFERROR(IF(VLOOKUP(TableHandbook[[#This Row],[UDC]],TableAvailabilities[],9,FALSE)&gt;0,"Y",""),"")</f>
        <v/>
      </c>
      <c r="O15" s="230"/>
      <c r="P15" s="232" t="str">
        <f>IFERROR(VLOOKUP(TableHandbook[[#This Row],[UDC]],TableMCTEACH[],7,FALSE),"")</f>
        <v/>
      </c>
      <c r="Q15" s="231" t="str">
        <f>IFERROR(VLOOKUP(TableHandbook[[#This Row],[UDC]],TableMJRPTCHEC[],7,FALSE),"")</f>
        <v>Core</v>
      </c>
      <c r="R15" s="231" t="str">
        <f>IFERROR(VLOOKUP(TableHandbook[[#This Row],[UDC]],TableMJRPTCHPR[],7,FALSE),"")</f>
        <v/>
      </c>
      <c r="S15" s="231" t="str">
        <f>IFERROR(VLOOKUP(TableHandbook[[#This Row],[UDC]],TableMJRPTCHSC[],7,FALSE),"")</f>
        <v/>
      </c>
      <c r="T15" s="231" t="str">
        <f>IFERROR(VLOOKUP(TableHandbook[[#This Row],[UDC]],TableSTRPSCART[],7,FALSE),"")</f>
        <v/>
      </c>
      <c r="U15" s="231" t="str">
        <f>IFERROR(VLOOKUP(TableHandbook[[#This Row],[UDC]],TableSTRPSCENG[],7,FALSE),"")</f>
        <v/>
      </c>
      <c r="V15" s="231" t="str">
        <f>IFERROR(VLOOKUP(TableHandbook[[#This Row],[UDC]],TableSTRPSCHLP[],7,FALSE),"")</f>
        <v/>
      </c>
      <c r="W15" s="231" t="str">
        <f>IFERROR(VLOOKUP(TableHandbook[[#This Row],[UDC]],TableSTRPSCHUS[],7,FALSE),"")</f>
        <v/>
      </c>
      <c r="X15" s="231" t="str">
        <f>IFERROR(VLOOKUP(TableHandbook[[#This Row],[UDC]],TableSTRPSCMAT[],7,FALSE),"")</f>
        <v/>
      </c>
      <c r="Y15" s="231" t="str">
        <f>IFERROR(VLOOKUP(TableHandbook[[#This Row],[UDC]],TableSTRPSCSCI[],7,FALSE),"")</f>
        <v/>
      </c>
      <c r="Z15" s="231" t="str">
        <f>IFERROR(VLOOKUP(TableHandbook[[#This Row],[UDC]],TableSTRPSCFON[],7,FALSE),"")</f>
        <v/>
      </c>
      <c r="AA15" s="232" t="str">
        <f>IFERROR(VLOOKUP(TableHandbook[[#This Row],[UDC]],TableGCTESOL[],7,FALSE),"")</f>
        <v/>
      </c>
      <c r="AB15" s="231" t="str">
        <f>IFERROR(VLOOKUP(TableHandbook[[#This Row],[UDC]],TableMCTESOL[],7,FALSE),"")</f>
        <v/>
      </c>
      <c r="AC15" s="231" t="str">
        <f>IFERROR(VLOOKUP(TableHandbook[[#This Row],[UDC]],TableMCAPLING[],7,FALSE),"")</f>
        <v/>
      </c>
      <c r="AD15" s="232" t="str">
        <f>IFERROR(VLOOKUP(TableHandbook[[#This Row],[UDC]],TableGCEDHE[],7,FALSE),"")</f>
        <v/>
      </c>
      <c r="AE15" s="231" t="str">
        <f>IFERROR(VLOOKUP(TableHandbook[[#This Row],[UDC]],TableGCEDUC[],7,FALSE),"")</f>
        <v/>
      </c>
      <c r="AF15" s="231" t="str">
        <f>IFERROR(VLOOKUP(TableHandbook[[#This Row],[UDC]],TableGDEDUC[],7,FALSE),"")</f>
        <v/>
      </c>
      <c r="AG15" s="231" t="str">
        <f>IFERROR(VLOOKUP(TableHandbook[[#This Row],[UDC]],TableMJRPEDUPR[],7,FALSE),"")</f>
        <v/>
      </c>
      <c r="AH15" s="231" t="str">
        <f>IFERROR(VLOOKUP(TableHandbook[[#This Row],[UDC]],TableMJRPEDUSC[],7,FALSE),"")</f>
        <v/>
      </c>
      <c r="AI15" s="232" t="str">
        <f>IFERROR(VLOOKUP(TableHandbook[[#This Row],[UDC]],TableMCEDUC[],7,FALSE),"")</f>
        <v/>
      </c>
      <c r="AJ15" s="231" t="str">
        <f>IFERROR(VLOOKUP(TableHandbook[[#This Row],[UDC]],TableSPPECULIN[],7,FALSE),"")</f>
        <v/>
      </c>
      <c r="AK15" s="231" t="str">
        <f>IFERROR(VLOOKUP(TableHandbook[[#This Row],[UDC]],TableSPPELNTCH[],7,FALSE),"")</f>
        <v/>
      </c>
      <c r="AL15" s="231" t="str">
        <f>IFERROR(VLOOKUP(TableHandbook[[#This Row],[UDC]],TableSPPESTEME[],7,FALSE),"")</f>
        <v/>
      </c>
    </row>
    <row r="16" spans="1:38" x14ac:dyDescent="0.25">
      <c r="A16" s="260" t="s">
        <v>245</v>
      </c>
      <c r="B16" s="3">
        <v>1</v>
      </c>
      <c r="C16" s="3"/>
      <c r="D16" s="2" t="s">
        <v>356</v>
      </c>
      <c r="E16" s="3">
        <v>25</v>
      </c>
      <c r="F16" s="54" t="s">
        <v>348</v>
      </c>
      <c r="G16" s="55" t="str">
        <f>IFERROR(IF(VLOOKUP(TableHandbook[[#This Row],[UDC]],TableAvailabilities[],2,FALSE)&gt;0,"Y",""),"")</f>
        <v/>
      </c>
      <c r="H16" s="55" t="str">
        <f>IFERROR(IF(VLOOKUP(TableHandbook[[#This Row],[UDC]],TableAvailabilities[],3,FALSE)&gt;0,"Y",""),"")</f>
        <v>Y</v>
      </c>
      <c r="I16" s="55" t="str">
        <f>IFERROR(IF(VLOOKUP(TableHandbook[[#This Row],[UDC]],TableAvailabilities[],4,FALSE)&gt;0,"Y",""),"")</f>
        <v/>
      </c>
      <c r="J16" s="55" t="str">
        <f>IFERROR(IF(VLOOKUP(TableHandbook[[#This Row],[UDC]],TableAvailabilities[],5,FALSE)&gt;0,"Y",""),"")</f>
        <v/>
      </c>
      <c r="K16" s="55" t="str">
        <f>IFERROR(IF(VLOOKUP(TableHandbook[[#This Row],[UDC]],TableAvailabilities[],6,FALSE)&gt;0,"Y",""),"")</f>
        <v/>
      </c>
      <c r="L16" s="55" t="str">
        <f>IFERROR(IF(VLOOKUP(TableHandbook[[#This Row],[UDC]],TableAvailabilities[],7,FALSE)&gt;0,"Y",""),"")</f>
        <v>Y</v>
      </c>
      <c r="M16" s="55" t="str">
        <f>IFERROR(IF(VLOOKUP(TableHandbook[[#This Row],[UDC]],TableAvailabilities[],8,FALSE)&gt;0,"Y",""),"")</f>
        <v/>
      </c>
      <c r="N16" s="55" t="str">
        <f>IFERROR(IF(VLOOKUP(TableHandbook[[#This Row],[UDC]],TableAvailabilities[],9,FALSE)&gt;0,"Y",""),"")</f>
        <v/>
      </c>
      <c r="O16" s="230"/>
      <c r="P16" s="232" t="str">
        <f>IFERROR(VLOOKUP(TableHandbook[[#This Row],[UDC]],TableMCTEACH[],7,FALSE),"")</f>
        <v/>
      </c>
      <c r="Q16" s="231" t="str">
        <f>IFERROR(VLOOKUP(TableHandbook[[#This Row],[UDC]],TableMJRPTCHEC[],7,FALSE),"")</f>
        <v/>
      </c>
      <c r="R16" s="231" t="str">
        <f>IFERROR(VLOOKUP(TableHandbook[[#This Row],[UDC]],TableMJRPTCHPR[],7,FALSE),"")</f>
        <v/>
      </c>
      <c r="S16" s="231" t="str">
        <f>IFERROR(VLOOKUP(TableHandbook[[#This Row],[UDC]],TableMJRPTCHSC[],7,FALSE),"")</f>
        <v/>
      </c>
      <c r="T16" s="231" t="str">
        <f>IFERROR(VLOOKUP(TableHandbook[[#This Row],[UDC]],TableSTRPSCART[],7,FALSE),"")</f>
        <v/>
      </c>
      <c r="U16" s="231" t="str">
        <f>IFERROR(VLOOKUP(TableHandbook[[#This Row],[UDC]],TableSTRPSCENG[],7,FALSE),"")</f>
        <v/>
      </c>
      <c r="V16" s="231" t="str">
        <f>IFERROR(VLOOKUP(TableHandbook[[#This Row],[UDC]],TableSTRPSCHLP[],7,FALSE),"")</f>
        <v/>
      </c>
      <c r="W16" s="231" t="str">
        <f>IFERROR(VLOOKUP(TableHandbook[[#This Row],[UDC]],TableSTRPSCHUS[],7,FALSE),"")</f>
        <v/>
      </c>
      <c r="X16" s="231" t="str">
        <f>IFERROR(VLOOKUP(TableHandbook[[#This Row],[UDC]],TableSTRPSCMAT[],7,FALSE),"")</f>
        <v/>
      </c>
      <c r="Y16" s="231" t="str">
        <f>IFERROR(VLOOKUP(TableHandbook[[#This Row],[UDC]],TableSTRPSCSCI[],7,FALSE),"")</f>
        <v/>
      </c>
      <c r="Z16" s="231" t="str">
        <f>IFERROR(VLOOKUP(TableHandbook[[#This Row],[UDC]],TableSTRPSCFON[],7,FALSE),"")</f>
        <v/>
      </c>
      <c r="AA16" s="232" t="str">
        <f>IFERROR(VLOOKUP(TableHandbook[[#This Row],[UDC]],TableGCTESOL[],7,FALSE),"")</f>
        <v/>
      </c>
      <c r="AB16" s="231" t="str">
        <f>IFERROR(VLOOKUP(TableHandbook[[#This Row],[UDC]],TableMCTESOL[],7,FALSE),"")</f>
        <v/>
      </c>
      <c r="AC16" s="231" t="str">
        <f>IFERROR(VLOOKUP(TableHandbook[[#This Row],[UDC]],TableMCAPLING[],7,FALSE),"")</f>
        <v/>
      </c>
      <c r="AD16" s="232" t="str">
        <f>IFERROR(VLOOKUP(TableHandbook[[#This Row],[UDC]],TableGCEDHE[],7,FALSE),"")</f>
        <v>Core</v>
      </c>
      <c r="AE16" s="231" t="str">
        <f>IFERROR(VLOOKUP(TableHandbook[[#This Row],[UDC]],TableGCEDUC[],7,FALSE),"")</f>
        <v/>
      </c>
      <c r="AF16" s="231" t="str">
        <f>IFERROR(VLOOKUP(TableHandbook[[#This Row],[UDC]],TableGDEDUC[],7,FALSE),"")</f>
        <v/>
      </c>
      <c r="AG16" s="231" t="str">
        <f>IFERROR(VLOOKUP(TableHandbook[[#This Row],[UDC]],TableMJRPEDUPR[],7,FALSE),"")</f>
        <v/>
      </c>
      <c r="AH16" s="231" t="str">
        <f>IFERROR(VLOOKUP(TableHandbook[[#This Row],[UDC]],TableMJRPEDUSC[],7,FALSE),"")</f>
        <v/>
      </c>
      <c r="AI16" s="232" t="str">
        <f>IFERROR(VLOOKUP(TableHandbook[[#This Row],[UDC]],TableMCEDUC[],7,FALSE),"")</f>
        <v/>
      </c>
      <c r="AJ16" s="231" t="str">
        <f>IFERROR(VLOOKUP(TableHandbook[[#This Row],[UDC]],TableSPPECULIN[],7,FALSE),"")</f>
        <v/>
      </c>
      <c r="AK16" s="231" t="str">
        <f>IFERROR(VLOOKUP(TableHandbook[[#This Row],[UDC]],TableSPPELNTCH[],7,FALSE),"")</f>
        <v/>
      </c>
      <c r="AL16" s="231" t="str">
        <f>IFERROR(VLOOKUP(TableHandbook[[#This Row],[UDC]],TableSPPESTEME[],7,FALSE),"")</f>
        <v/>
      </c>
    </row>
    <row r="17" spans="1:38" x14ac:dyDescent="0.25">
      <c r="A17" s="260" t="s">
        <v>246</v>
      </c>
      <c r="B17" s="3">
        <v>1</v>
      </c>
      <c r="C17" s="3"/>
      <c r="D17" s="2" t="s">
        <v>357</v>
      </c>
      <c r="E17" s="3">
        <v>25</v>
      </c>
      <c r="F17" s="54" t="s">
        <v>348</v>
      </c>
      <c r="G17" s="55" t="str">
        <f>IFERROR(IF(VLOOKUP(TableHandbook[[#This Row],[UDC]],TableAvailabilities[],2,FALSE)&gt;0,"Y",""),"")</f>
        <v/>
      </c>
      <c r="H17" s="55" t="str">
        <f>IFERROR(IF(VLOOKUP(TableHandbook[[#This Row],[UDC]],TableAvailabilities[],3,FALSE)&gt;0,"Y",""),"")</f>
        <v/>
      </c>
      <c r="I17" s="55" t="str">
        <f>IFERROR(IF(VLOOKUP(TableHandbook[[#This Row],[UDC]],TableAvailabilities[],4,FALSE)&gt;0,"Y",""),"")</f>
        <v/>
      </c>
      <c r="J17" s="55" t="str">
        <f>IFERROR(IF(VLOOKUP(TableHandbook[[#This Row],[UDC]],TableAvailabilities[],5,FALSE)&gt;0,"Y",""),"")</f>
        <v>Y</v>
      </c>
      <c r="K17" s="55" t="str">
        <f>IFERROR(IF(VLOOKUP(TableHandbook[[#This Row],[UDC]],TableAvailabilities[],6,FALSE)&gt;0,"Y",""),"")</f>
        <v/>
      </c>
      <c r="L17" s="55" t="str">
        <f>IFERROR(IF(VLOOKUP(TableHandbook[[#This Row],[UDC]],TableAvailabilities[],7,FALSE)&gt;0,"Y",""),"")</f>
        <v/>
      </c>
      <c r="M17" s="55" t="str">
        <f>IFERROR(IF(VLOOKUP(TableHandbook[[#This Row],[UDC]],TableAvailabilities[],8,FALSE)&gt;0,"Y",""),"")</f>
        <v/>
      </c>
      <c r="N17" s="55" t="str">
        <f>IFERROR(IF(VLOOKUP(TableHandbook[[#This Row],[UDC]],TableAvailabilities[],9,FALSE)&gt;0,"Y",""),"")</f>
        <v>Y</v>
      </c>
      <c r="O17" s="230"/>
      <c r="P17" s="232" t="str">
        <f>IFERROR(VLOOKUP(TableHandbook[[#This Row],[UDC]],TableMCTEACH[],7,FALSE),"")</f>
        <v/>
      </c>
      <c r="Q17" s="231" t="str">
        <f>IFERROR(VLOOKUP(TableHandbook[[#This Row],[UDC]],TableMJRPTCHEC[],7,FALSE),"")</f>
        <v/>
      </c>
      <c r="R17" s="231" t="str">
        <f>IFERROR(VLOOKUP(TableHandbook[[#This Row],[UDC]],TableMJRPTCHPR[],7,FALSE),"")</f>
        <v/>
      </c>
      <c r="S17" s="231" t="str">
        <f>IFERROR(VLOOKUP(TableHandbook[[#This Row],[UDC]],TableMJRPTCHSC[],7,FALSE),"")</f>
        <v/>
      </c>
      <c r="T17" s="231" t="str">
        <f>IFERROR(VLOOKUP(TableHandbook[[#This Row],[UDC]],TableSTRPSCART[],7,FALSE),"")</f>
        <v/>
      </c>
      <c r="U17" s="231" t="str">
        <f>IFERROR(VLOOKUP(TableHandbook[[#This Row],[UDC]],TableSTRPSCENG[],7,FALSE),"")</f>
        <v/>
      </c>
      <c r="V17" s="231" t="str">
        <f>IFERROR(VLOOKUP(TableHandbook[[#This Row],[UDC]],TableSTRPSCHLP[],7,FALSE),"")</f>
        <v/>
      </c>
      <c r="W17" s="231" t="str">
        <f>IFERROR(VLOOKUP(TableHandbook[[#This Row],[UDC]],TableSTRPSCHUS[],7,FALSE),"")</f>
        <v/>
      </c>
      <c r="X17" s="231" t="str">
        <f>IFERROR(VLOOKUP(TableHandbook[[#This Row],[UDC]],TableSTRPSCMAT[],7,FALSE),"")</f>
        <v/>
      </c>
      <c r="Y17" s="231" t="str">
        <f>IFERROR(VLOOKUP(TableHandbook[[#This Row],[UDC]],TableSTRPSCSCI[],7,FALSE),"")</f>
        <v/>
      </c>
      <c r="Z17" s="231" t="str">
        <f>IFERROR(VLOOKUP(TableHandbook[[#This Row],[UDC]],TableSTRPSCFON[],7,FALSE),"")</f>
        <v/>
      </c>
      <c r="AA17" s="232" t="str">
        <f>IFERROR(VLOOKUP(TableHandbook[[#This Row],[UDC]],TableGCTESOL[],7,FALSE),"")</f>
        <v/>
      </c>
      <c r="AB17" s="231" t="str">
        <f>IFERROR(VLOOKUP(TableHandbook[[#This Row],[UDC]],TableMCTESOL[],7,FALSE),"")</f>
        <v/>
      </c>
      <c r="AC17" s="231" t="str">
        <f>IFERROR(VLOOKUP(TableHandbook[[#This Row],[UDC]],TableMCAPLING[],7,FALSE),"")</f>
        <v/>
      </c>
      <c r="AD17" s="232" t="str">
        <f>IFERROR(VLOOKUP(TableHandbook[[#This Row],[UDC]],TableGCEDHE[],7,FALSE),"")</f>
        <v>Core</v>
      </c>
      <c r="AE17" s="231" t="str">
        <f>IFERROR(VLOOKUP(TableHandbook[[#This Row],[UDC]],TableGCEDUC[],7,FALSE),"")</f>
        <v/>
      </c>
      <c r="AF17" s="231" t="str">
        <f>IFERROR(VLOOKUP(TableHandbook[[#This Row],[UDC]],TableGDEDUC[],7,FALSE),"")</f>
        <v/>
      </c>
      <c r="AG17" s="231" t="str">
        <f>IFERROR(VLOOKUP(TableHandbook[[#This Row],[UDC]],TableMJRPEDUPR[],7,FALSE),"")</f>
        <v/>
      </c>
      <c r="AH17" s="231" t="str">
        <f>IFERROR(VLOOKUP(TableHandbook[[#This Row],[UDC]],TableMJRPEDUSC[],7,FALSE),"")</f>
        <v/>
      </c>
      <c r="AI17" s="232" t="str">
        <f>IFERROR(VLOOKUP(TableHandbook[[#This Row],[UDC]],TableMCEDUC[],7,FALSE),"")</f>
        <v/>
      </c>
      <c r="AJ17" s="231" t="str">
        <f>IFERROR(VLOOKUP(TableHandbook[[#This Row],[UDC]],TableSPPECULIN[],7,FALSE),"")</f>
        <v/>
      </c>
      <c r="AK17" s="231" t="str">
        <f>IFERROR(VLOOKUP(TableHandbook[[#This Row],[UDC]],TableSPPELNTCH[],7,FALSE),"")</f>
        <v/>
      </c>
      <c r="AL17" s="231" t="str">
        <f>IFERROR(VLOOKUP(TableHandbook[[#This Row],[UDC]],TableSPPESTEME[],7,FALSE),"")</f>
        <v/>
      </c>
    </row>
    <row r="18" spans="1:38" x14ac:dyDescent="0.25">
      <c r="A18" s="260" t="s">
        <v>248</v>
      </c>
      <c r="B18" s="3">
        <v>1</v>
      </c>
      <c r="C18" s="3"/>
      <c r="D18" s="2" t="s">
        <v>358</v>
      </c>
      <c r="E18" s="3">
        <v>25</v>
      </c>
      <c r="F18" s="54" t="s">
        <v>348</v>
      </c>
      <c r="G18" s="55" t="str">
        <f>IFERROR(IF(VLOOKUP(TableHandbook[[#This Row],[UDC]],TableAvailabilities[],2,FALSE)&gt;0,"Y",""),"")</f>
        <v/>
      </c>
      <c r="H18" s="55" t="str">
        <f>IFERROR(IF(VLOOKUP(TableHandbook[[#This Row],[UDC]],TableAvailabilities[],3,FALSE)&gt;0,"Y",""),"")</f>
        <v>Y</v>
      </c>
      <c r="I18" s="55" t="str">
        <f>IFERROR(IF(VLOOKUP(TableHandbook[[#This Row],[UDC]],TableAvailabilities[],4,FALSE)&gt;0,"Y",""),"")</f>
        <v/>
      </c>
      <c r="J18" s="55" t="str">
        <f>IFERROR(IF(VLOOKUP(TableHandbook[[#This Row],[UDC]],TableAvailabilities[],5,FALSE)&gt;0,"Y",""),"")</f>
        <v/>
      </c>
      <c r="K18" s="55" t="str">
        <f>IFERROR(IF(VLOOKUP(TableHandbook[[#This Row],[UDC]],TableAvailabilities[],6,FALSE)&gt;0,"Y",""),"")</f>
        <v/>
      </c>
      <c r="L18" s="55" t="str">
        <f>IFERROR(IF(VLOOKUP(TableHandbook[[#This Row],[UDC]],TableAvailabilities[],7,FALSE)&gt;0,"Y",""),"")</f>
        <v>Y</v>
      </c>
      <c r="M18" s="55" t="str">
        <f>IFERROR(IF(VLOOKUP(TableHandbook[[#This Row],[UDC]],TableAvailabilities[],8,FALSE)&gt;0,"Y",""),"")</f>
        <v/>
      </c>
      <c r="N18" s="55" t="str">
        <f>IFERROR(IF(VLOOKUP(TableHandbook[[#This Row],[UDC]],TableAvailabilities[],9,FALSE)&gt;0,"Y",""),"")</f>
        <v/>
      </c>
      <c r="O18" s="230"/>
      <c r="P18" s="232" t="str">
        <f>IFERROR(VLOOKUP(TableHandbook[[#This Row],[UDC]],TableMCTEACH[],7,FALSE),"")</f>
        <v/>
      </c>
      <c r="Q18" s="231" t="str">
        <f>IFERROR(VLOOKUP(TableHandbook[[#This Row],[UDC]],TableMJRPTCHEC[],7,FALSE),"")</f>
        <v/>
      </c>
      <c r="R18" s="231" t="str">
        <f>IFERROR(VLOOKUP(TableHandbook[[#This Row],[UDC]],TableMJRPTCHPR[],7,FALSE),"")</f>
        <v/>
      </c>
      <c r="S18" s="231" t="str">
        <f>IFERROR(VLOOKUP(TableHandbook[[#This Row],[UDC]],TableMJRPTCHSC[],7,FALSE),"")</f>
        <v/>
      </c>
      <c r="T18" s="231" t="str">
        <f>IFERROR(VLOOKUP(TableHandbook[[#This Row],[UDC]],TableSTRPSCART[],7,FALSE),"")</f>
        <v/>
      </c>
      <c r="U18" s="231" t="str">
        <f>IFERROR(VLOOKUP(TableHandbook[[#This Row],[UDC]],TableSTRPSCENG[],7,FALSE),"")</f>
        <v/>
      </c>
      <c r="V18" s="231" t="str">
        <f>IFERROR(VLOOKUP(TableHandbook[[#This Row],[UDC]],TableSTRPSCHLP[],7,FALSE),"")</f>
        <v/>
      </c>
      <c r="W18" s="231" t="str">
        <f>IFERROR(VLOOKUP(TableHandbook[[#This Row],[UDC]],TableSTRPSCHUS[],7,FALSE),"")</f>
        <v/>
      </c>
      <c r="X18" s="231" t="str">
        <f>IFERROR(VLOOKUP(TableHandbook[[#This Row],[UDC]],TableSTRPSCMAT[],7,FALSE),"")</f>
        <v/>
      </c>
      <c r="Y18" s="231" t="str">
        <f>IFERROR(VLOOKUP(TableHandbook[[#This Row],[UDC]],TableSTRPSCSCI[],7,FALSE),"")</f>
        <v/>
      </c>
      <c r="Z18" s="231" t="str">
        <f>IFERROR(VLOOKUP(TableHandbook[[#This Row],[UDC]],TableSTRPSCFON[],7,FALSE),"")</f>
        <v/>
      </c>
      <c r="AA18" s="232" t="str">
        <f>IFERROR(VLOOKUP(TableHandbook[[#This Row],[UDC]],TableGCTESOL[],7,FALSE),"")</f>
        <v/>
      </c>
      <c r="AB18" s="231" t="str">
        <f>IFERROR(VLOOKUP(TableHandbook[[#This Row],[UDC]],TableMCTESOL[],7,FALSE),"")</f>
        <v/>
      </c>
      <c r="AC18" s="231" t="str">
        <f>IFERROR(VLOOKUP(TableHandbook[[#This Row],[UDC]],TableMCAPLING[],7,FALSE),"")</f>
        <v/>
      </c>
      <c r="AD18" s="232" t="str">
        <f>IFERROR(VLOOKUP(TableHandbook[[#This Row],[UDC]],TableGCEDHE[],7,FALSE),"")</f>
        <v>Core</v>
      </c>
      <c r="AE18" s="231" t="str">
        <f>IFERROR(VLOOKUP(TableHandbook[[#This Row],[UDC]],TableGCEDUC[],7,FALSE),"")</f>
        <v/>
      </c>
      <c r="AF18" s="231" t="str">
        <f>IFERROR(VLOOKUP(TableHandbook[[#This Row],[UDC]],TableGDEDUC[],7,FALSE),"")</f>
        <v/>
      </c>
      <c r="AG18" s="231" t="str">
        <f>IFERROR(VLOOKUP(TableHandbook[[#This Row],[UDC]],TableMJRPEDUPR[],7,FALSE),"")</f>
        <v/>
      </c>
      <c r="AH18" s="231" t="str">
        <f>IFERROR(VLOOKUP(TableHandbook[[#This Row],[UDC]],TableMJRPEDUSC[],7,FALSE),"")</f>
        <v/>
      </c>
      <c r="AI18" s="232" t="str">
        <f>IFERROR(VLOOKUP(TableHandbook[[#This Row],[UDC]],TableMCEDUC[],7,FALSE),"")</f>
        <v/>
      </c>
      <c r="AJ18" s="231" t="str">
        <f>IFERROR(VLOOKUP(TableHandbook[[#This Row],[UDC]],TableSPPECULIN[],7,FALSE),"")</f>
        <v/>
      </c>
      <c r="AK18" s="231" t="str">
        <f>IFERROR(VLOOKUP(TableHandbook[[#This Row],[UDC]],TableSPPELNTCH[],7,FALSE),"")</f>
        <v/>
      </c>
      <c r="AL18" s="231" t="str">
        <f>IFERROR(VLOOKUP(TableHandbook[[#This Row],[UDC]],TableSPPESTEME[],7,FALSE),"")</f>
        <v/>
      </c>
    </row>
    <row r="19" spans="1:38" x14ac:dyDescent="0.25">
      <c r="A19" s="260" t="s">
        <v>249</v>
      </c>
      <c r="B19" s="3">
        <v>1</v>
      </c>
      <c r="C19" s="3"/>
      <c r="D19" s="2" t="s">
        <v>359</v>
      </c>
      <c r="E19" s="3">
        <v>25</v>
      </c>
      <c r="F19" s="54" t="s">
        <v>348</v>
      </c>
      <c r="G19" s="55" t="str">
        <f>IFERROR(IF(VLOOKUP(TableHandbook[[#This Row],[UDC]],TableAvailabilities[],2,FALSE)&gt;0,"Y",""),"")</f>
        <v/>
      </c>
      <c r="H19" s="55" t="str">
        <f>IFERROR(IF(VLOOKUP(TableHandbook[[#This Row],[UDC]],TableAvailabilities[],3,FALSE)&gt;0,"Y",""),"")</f>
        <v/>
      </c>
      <c r="I19" s="55" t="str">
        <f>IFERROR(IF(VLOOKUP(TableHandbook[[#This Row],[UDC]],TableAvailabilities[],4,FALSE)&gt;0,"Y",""),"")</f>
        <v/>
      </c>
      <c r="J19" s="55" t="str">
        <f>IFERROR(IF(VLOOKUP(TableHandbook[[#This Row],[UDC]],TableAvailabilities[],5,FALSE)&gt;0,"Y",""),"")</f>
        <v>Y</v>
      </c>
      <c r="K19" s="55" t="str">
        <f>IFERROR(IF(VLOOKUP(TableHandbook[[#This Row],[UDC]],TableAvailabilities[],6,FALSE)&gt;0,"Y",""),"")</f>
        <v/>
      </c>
      <c r="L19" s="55" t="str">
        <f>IFERROR(IF(VLOOKUP(TableHandbook[[#This Row],[UDC]],TableAvailabilities[],7,FALSE)&gt;0,"Y",""),"")</f>
        <v/>
      </c>
      <c r="M19" s="55" t="str">
        <f>IFERROR(IF(VLOOKUP(TableHandbook[[#This Row],[UDC]],TableAvailabilities[],8,FALSE)&gt;0,"Y",""),"")</f>
        <v/>
      </c>
      <c r="N19" s="55" t="str">
        <f>IFERROR(IF(VLOOKUP(TableHandbook[[#This Row],[UDC]],TableAvailabilities[],9,FALSE)&gt;0,"Y",""),"")</f>
        <v>Y</v>
      </c>
      <c r="O19" s="230"/>
      <c r="P19" s="232" t="str">
        <f>IFERROR(VLOOKUP(TableHandbook[[#This Row],[UDC]],TableMCTEACH[],7,FALSE),"")</f>
        <v/>
      </c>
      <c r="Q19" s="231" t="str">
        <f>IFERROR(VLOOKUP(TableHandbook[[#This Row],[UDC]],TableMJRPTCHEC[],7,FALSE),"")</f>
        <v/>
      </c>
      <c r="R19" s="231" t="str">
        <f>IFERROR(VLOOKUP(TableHandbook[[#This Row],[UDC]],TableMJRPTCHPR[],7,FALSE),"")</f>
        <v/>
      </c>
      <c r="S19" s="231" t="str">
        <f>IFERROR(VLOOKUP(TableHandbook[[#This Row],[UDC]],TableMJRPTCHSC[],7,FALSE),"")</f>
        <v/>
      </c>
      <c r="T19" s="231" t="str">
        <f>IFERROR(VLOOKUP(TableHandbook[[#This Row],[UDC]],TableSTRPSCART[],7,FALSE),"")</f>
        <v/>
      </c>
      <c r="U19" s="231" t="str">
        <f>IFERROR(VLOOKUP(TableHandbook[[#This Row],[UDC]],TableSTRPSCENG[],7,FALSE),"")</f>
        <v/>
      </c>
      <c r="V19" s="231" t="str">
        <f>IFERROR(VLOOKUP(TableHandbook[[#This Row],[UDC]],TableSTRPSCHLP[],7,FALSE),"")</f>
        <v/>
      </c>
      <c r="W19" s="231" t="str">
        <f>IFERROR(VLOOKUP(TableHandbook[[#This Row],[UDC]],TableSTRPSCHUS[],7,FALSE),"")</f>
        <v/>
      </c>
      <c r="X19" s="231" t="str">
        <f>IFERROR(VLOOKUP(TableHandbook[[#This Row],[UDC]],TableSTRPSCMAT[],7,FALSE),"")</f>
        <v/>
      </c>
      <c r="Y19" s="231" t="str">
        <f>IFERROR(VLOOKUP(TableHandbook[[#This Row],[UDC]],TableSTRPSCSCI[],7,FALSE),"")</f>
        <v/>
      </c>
      <c r="Z19" s="231" t="str">
        <f>IFERROR(VLOOKUP(TableHandbook[[#This Row],[UDC]],TableSTRPSCFON[],7,FALSE),"")</f>
        <v/>
      </c>
      <c r="AA19" s="232" t="str">
        <f>IFERROR(VLOOKUP(TableHandbook[[#This Row],[UDC]],TableGCTESOL[],7,FALSE),"")</f>
        <v/>
      </c>
      <c r="AB19" s="231" t="str">
        <f>IFERROR(VLOOKUP(TableHandbook[[#This Row],[UDC]],TableMCTESOL[],7,FALSE),"")</f>
        <v/>
      </c>
      <c r="AC19" s="231" t="str">
        <f>IFERROR(VLOOKUP(TableHandbook[[#This Row],[UDC]],TableMCAPLING[],7,FALSE),"")</f>
        <v/>
      </c>
      <c r="AD19" s="232" t="str">
        <f>IFERROR(VLOOKUP(TableHandbook[[#This Row],[UDC]],TableGCEDHE[],7,FALSE),"")</f>
        <v>Core</v>
      </c>
      <c r="AE19" s="231" t="str">
        <f>IFERROR(VLOOKUP(TableHandbook[[#This Row],[UDC]],TableGCEDUC[],7,FALSE),"")</f>
        <v/>
      </c>
      <c r="AF19" s="231" t="str">
        <f>IFERROR(VLOOKUP(TableHandbook[[#This Row],[UDC]],TableGDEDUC[],7,FALSE),"")</f>
        <v/>
      </c>
      <c r="AG19" s="231" t="str">
        <f>IFERROR(VLOOKUP(TableHandbook[[#This Row],[UDC]],TableMJRPEDUPR[],7,FALSE),"")</f>
        <v/>
      </c>
      <c r="AH19" s="231" t="str">
        <f>IFERROR(VLOOKUP(TableHandbook[[#This Row],[UDC]],TableMJRPEDUSC[],7,FALSE),"")</f>
        <v/>
      </c>
      <c r="AI19" s="232" t="str">
        <f>IFERROR(VLOOKUP(TableHandbook[[#This Row],[UDC]],TableMCEDUC[],7,FALSE),"")</f>
        <v/>
      </c>
      <c r="AJ19" s="231" t="str">
        <f>IFERROR(VLOOKUP(TableHandbook[[#This Row],[UDC]],TableSPPECULIN[],7,FALSE),"")</f>
        <v/>
      </c>
      <c r="AK19" s="231" t="str">
        <f>IFERROR(VLOOKUP(TableHandbook[[#This Row],[UDC]],TableSPPELNTCH[],7,FALSE),"")</f>
        <v/>
      </c>
      <c r="AL19" s="231" t="str">
        <f>IFERROR(VLOOKUP(TableHandbook[[#This Row],[UDC]],TableSPPESTEME[],7,FALSE),"")</f>
        <v/>
      </c>
    </row>
    <row r="20" spans="1:38" x14ac:dyDescent="0.25">
      <c r="A20" s="2" t="s">
        <v>93</v>
      </c>
      <c r="B20" s="3">
        <v>2</v>
      </c>
      <c r="C20" s="3"/>
      <c r="D20" s="2" t="s">
        <v>360</v>
      </c>
      <c r="E20" s="3">
        <v>25</v>
      </c>
      <c r="F20" s="54" t="s">
        <v>348</v>
      </c>
      <c r="G20" s="55" t="str">
        <f>IFERROR(IF(VLOOKUP(TableHandbook[[#This Row],[UDC]],TableAvailabilities[],2,FALSE)&gt;0,"Y",""),"")</f>
        <v>Y</v>
      </c>
      <c r="H20" s="55" t="str">
        <f>IFERROR(IF(VLOOKUP(TableHandbook[[#This Row],[UDC]],TableAvailabilities[],3,FALSE)&gt;0,"Y",""),"")</f>
        <v>Y</v>
      </c>
      <c r="I20" s="55" t="str">
        <f>IFERROR(IF(VLOOKUP(TableHandbook[[#This Row],[UDC]],TableAvailabilities[],4,FALSE)&gt;0,"Y",""),"")</f>
        <v>Y</v>
      </c>
      <c r="J20" s="55" t="str">
        <f>IFERROR(IF(VLOOKUP(TableHandbook[[#This Row],[UDC]],TableAvailabilities[],5,FALSE)&gt;0,"Y",""),"")</f>
        <v>Y</v>
      </c>
      <c r="K20" s="55" t="str">
        <f>IFERROR(IF(VLOOKUP(TableHandbook[[#This Row],[UDC]],TableAvailabilities[],6,FALSE)&gt;0,"Y",""),"")</f>
        <v/>
      </c>
      <c r="L20" s="55" t="str">
        <f>IFERROR(IF(VLOOKUP(TableHandbook[[#This Row],[UDC]],TableAvailabilities[],7,FALSE)&gt;0,"Y",""),"")</f>
        <v/>
      </c>
      <c r="M20" s="55" t="str">
        <f>IFERROR(IF(VLOOKUP(TableHandbook[[#This Row],[UDC]],TableAvailabilities[],8,FALSE)&gt;0,"Y",""),"")</f>
        <v/>
      </c>
      <c r="N20" s="55" t="str">
        <f>IFERROR(IF(VLOOKUP(TableHandbook[[#This Row],[UDC]],TableAvailabilities[],9,FALSE)&gt;0,"Y",""),"")</f>
        <v/>
      </c>
      <c r="O20" s="230"/>
      <c r="P20" s="232" t="str">
        <f>IFERROR(VLOOKUP(TableHandbook[[#This Row],[UDC]],TableMCTEACH[],7,FALSE),"")</f>
        <v/>
      </c>
      <c r="Q20" s="231" t="str">
        <f>IFERROR(VLOOKUP(TableHandbook[[#This Row],[UDC]],TableMJRPTCHEC[],7,FALSE),"")</f>
        <v/>
      </c>
      <c r="R20" s="231" t="str">
        <f>IFERROR(VLOOKUP(TableHandbook[[#This Row],[UDC]],TableMJRPTCHPR[],7,FALSE),"")</f>
        <v>Core</v>
      </c>
      <c r="S20" s="231" t="str">
        <f>IFERROR(VLOOKUP(TableHandbook[[#This Row],[UDC]],TableMJRPTCHSC[],7,FALSE),"")</f>
        <v/>
      </c>
      <c r="T20" s="231" t="str">
        <f>IFERROR(VLOOKUP(TableHandbook[[#This Row],[UDC]],TableSTRPSCART[],7,FALSE),"")</f>
        <v/>
      </c>
      <c r="U20" s="231" t="str">
        <f>IFERROR(VLOOKUP(TableHandbook[[#This Row],[UDC]],TableSTRPSCENG[],7,FALSE),"")</f>
        <v/>
      </c>
      <c r="V20" s="231" t="str">
        <f>IFERROR(VLOOKUP(TableHandbook[[#This Row],[UDC]],TableSTRPSCHLP[],7,FALSE),"")</f>
        <v/>
      </c>
      <c r="W20" s="231" t="str">
        <f>IFERROR(VLOOKUP(TableHandbook[[#This Row],[UDC]],TableSTRPSCHUS[],7,FALSE),"")</f>
        <v/>
      </c>
      <c r="X20" s="231" t="str">
        <f>IFERROR(VLOOKUP(TableHandbook[[#This Row],[UDC]],TableSTRPSCMAT[],7,FALSE),"")</f>
        <v/>
      </c>
      <c r="Y20" s="231" t="str">
        <f>IFERROR(VLOOKUP(TableHandbook[[#This Row],[UDC]],TableSTRPSCSCI[],7,FALSE),"")</f>
        <v/>
      </c>
      <c r="Z20" s="231" t="str">
        <f>IFERROR(VLOOKUP(TableHandbook[[#This Row],[UDC]],TableSTRPSCFON[],7,FALSE),"")</f>
        <v/>
      </c>
      <c r="AA20" s="232" t="str">
        <f>IFERROR(VLOOKUP(TableHandbook[[#This Row],[UDC]],TableGCTESOL[],7,FALSE),"")</f>
        <v/>
      </c>
      <c r="AB20" s="231" t="str">
        <f>IFERROR(VLOOKUP(TableHandbook[[#This Row],[UDC]],TableMCTESOL[],7,FALSE),"")</f>
        <v/>
      </c>
      <c r="AC20" s="231" t="str">
        <f>IFERROR(VLOOKUP(TableHandbook[[#This Row],[UDC]],TableMCAPLING[],7,FALSE),"")</f>
        <v/>
      </c>
      <c r="AD20" s="232" t="str">
        <f>IFERROR(VLOOKUP(TableHandbook[[#This Row],[UDC]],TableGCEDHE[],7,FALSE),"")</f>
        <v/>
      </c>
      <c r="AE20" s="231" t="str">
        <f>IFERROR(VLOOKUP(TableHandbook[[#This Row],[UDC]],TableGCEDUC[],7,FALSE),"")</f>
        <v/>
      </c>
      <c r="AF20" s="231" t="str">
        <f>IFERROR(VLOOKUP(TableHandbook[[#This Row],[UDC]],TableGDEDUC[],7,FALSE),"")</f>
        <v/>
      </c>
      <c r="AG20" s="231" t="str">
        <f>IFERROR(VLOOKUP(TableHandbook[[#This Row],[UDC]],TableMJRPEDUPR[],7,FALSE),"")</f>
        <v>Core</v>
      </c>
      <c r="AH20" s="231" t="str">
        <f>IFERROR(VLOOKUP(TableHandbook[[#This Row],[UDC]],TableMJRPEDUSC[],7,FALSE),"")</f>
        <v/>
      </c>
      <c r="AI20" s="232" t="str">
        <f>IFERROR(VLOOKUP(TableHandbook[[#This Row],[UDC]],TableMCEDUC[],7,FALSE),"")</f>
        <v/>
      </c>
      <c r="AJ20" s="231" t="str">
        <f>IFERROR(VLOOKUP(TableHandbook[[#This Row],[UDC]],TableSPPECULIN[],7,FALSE),"")</f>
        <v/>
      </c>
      <c r="AK20" s="231" t="str">
        <f>IFERROR(VLOOKUP(TableHandbook[[#This Row],[UDC]],TableSPPELNTCH[],7,FALSE),"")</f>
        <v/>
      </c>
      <c r="AL20" s="231" t="str">
        <f>IFERROR(VLOOKUP(TableHandbook[[#This Row],[UDC]],TableSPPESTEME[],7,FALSE),"")</f>
        <v/>
      </c>
    </row>
    <row r="21" spans="1:38" x14ac:dyDescent="0.25">
      <c r="A21" s="2" t="s">
        <v>104</v>
      </c>
      <c r="B21" s="3">
        <v>1</v>
      </c>
      <c r="C21" s="3"/>
      <c r="D21" s="2" t="s">
        <v>361</v>
      </c>
      <c r="E21" s="3">
        <v>25</v>
      </c>
      <c r="F21" s="268" t="s">
        <v>93</v>
      </c>
      <c r="G21" s="55" t="str">
        <f>IFERROR(IF(VLOOKUP(TableHandbook[[#This Row],[UDC]],TableAvailabilities[],2,FALSE)&gt;0,"Y",""),"")</f>
        <v/>
      </c>
      <c r="H21" s="55" t="str">
        <f>IFERROR(IF(VLOOKUP(TableHandbook[[#This Row],[UDC]],TableAvailabilities[],3,FALSE)&gt;0,"Y",""),"")</f>
        <v/>
      </c>
      <c r="I21" s="55" t="str">
        <f>IFERROR(IF(VLOOKUP(TableHandbook[[#This Row],[UDC]],TableAvailabilities[],4,FALSE)&gt;0,"Y",""),"")</f>
        <v>Y</v>
      </c>
      <c r="J21" s="55" t="str">
        <f>IFERROR(IF(VLOOKUP(TableHandbook[[#This Row],[UDC]],TableAvailabilities[],5,FALSE)&gt;0,"Y",""),"")</f>
        <v>Y</v>
      </c>
      <c r="K21" s="55" t="str">
        <f>IFERROR(IF(VLOOKUP(TableHandbook[[#This Row],[UDC]],TableAvailabilities[],6,FALSE)&gt;0,"Y",""),"")</f>
        <v>Y</v>
      </c>
      <c r="L21" s="55" t="str">
        <f>IFERROR(IF(VLOOKUP(TableHandbook[[#This Row],[UDC]],TableAvailabilities[],7,FALSE)&gt;0,"Y",""),"")</f>
        <v>Y</v>
      </c>
      <c r="M21" s="55" t="str">
        <f>IFERROR(IF(VLOOKUP(TableHandbook[[#This Row],[UDC]],TableAvailabilities[],8,FALSE)&gt;0,"Y",""),"")</f>
        <v/>
      </c>
      <c r="N21" s="55" t="str">
        <f>IFERROR(IF(VLOOKUP(TableHandbook[[#This Row],[UDC]],TableAvailabilities[],9,FALSE)&gt;0,"Y",""),"")</f>
        <v/>
      </c>
      <c r="O21" s="230"/>
      <c r="P21" s="232" t="str">
        <f>IFERROR(VLOOKUP(TableHandbook[[#This Row],[UDC]],TableMCTEACH[],7,FALSE),"")</f>
        <v/>
      </c>
      <c r="Q21" s="231" t="str">
        <f>IFERROR(VLOOKUP(TableHandbook[[#This Row],[UDC]],TableMJRPTCHEC[],7,FALSE),"")</f>
        <v/>
      </c>
      <c r="R21" s="231" t="str">
        <f>IFERROR(VLOOKUP(TableHandbook[[#This Row],[UDC]],TableMJRPTCHPR[],7,FALSE),"")</f>
        <v>Core</v>
      </c>
      <c r="S21" s="231" t="str">
        <f>IFERROR(VLOOKUP(TableHandbook[[#This Row],[UDC]],TableMJRPTCHSC[],7,FALSE),"")</f>
        <v/>
      </c>
      <c r="T21" s="231" t="str">
        <f>IFERROR(VLOOKUP(TableHandbook[[#This Row],[UDC]],TableSTRPSCART[],7,FALSE),"")</f>
        <v/>
      </c>
      <c r="U21" s="231" t="str">
        <f>IFERROR(VLOOKUP(TableHandbook[[#This Row],[UDC]],TableSTRPSCENG[],7,FALSE),"")</f>
        <v/>
      </c>
      <c r="V21" s="231" t="str">
        <f>IFERROR(VLOOKUP(TableHandbook[[#This Row],[UDC]],TableSTRPSCHLP[],7,FALSE),"")</f>
        <v/>
      </c>
      <c r="W21" s="231" t="str">
        <f>IFERROR(VLOOKUP(TableHandbook[[#This Row],[UDC]],TableSTRPSCHUS[],7,FALSE),"")</f>
        <v/>
      </c>
      <c r="X21" s="231" t="str">
        <f>IFERROR(VLOOKUP(TableHandbook[[#This Row],[UDC]],TableSTRPSCMAT[],7,FALSE),"")</f>
        <v/>
      </c>
      <c r="Y21" s="231" t="str">
        <f>IFERROR(VLOOKUP(TableHandbook[[#This Row],[UDC]],TableSTRPSCSCI[],7,FALSE),"")</f>
        <v/>
      </c>
      <c r="Z21" s="231" t="str">
        <f>IFERROR(VLOOKUP(TableHandbook[[#This Row],[UDC]],TableSTRPSCFON[],7,FALSE),"")</f>
        <v/>
      </c>
      <c r="AA21" s="232" t="str">
        <f>IFERROR(VLOOKUP(TableHandbook[[#This Row],[UDC]],TableGCTESOL[],7,FALSE),"")</f>
        <v/>
      </c>
      <c r="AB21" s="231" t="str">
        <f>IFERROR(VLOOKUP(TableHandbook[[#This Row],[UDC]],TableMCTESOL[],7,FALSE),"")</f>
        <v/>
      </c>
      <c r="AC21" s="231" t="str">
        <f>IFERROR(VLOOKUP(TableHandbook[[#This Row],[UDC]],TableMCAPLING[],7,FALSE),"")</f>
        <v/>
      </c>
      <c r="AD21" s="232" t="str">
        <f>IFERROR(VLOOKUP(TableHandbook[[#This Row],[UDC]],TableGCEDHE[],7,FALSE),"")</f>
        <v/>
      </c>
      <c r="AE21" s="231" t="str">
        <f>IFERROR(VLOOKUP(TableHandbook[[#This Row],[UDC]],TableGCEDUC[],7,FALSE),"")</f>
        <v/>
      </c>
      <c r="AF21" s="231" t="str">
        <f>IFERROR(VLOOKUP(TableHandbook[[#This Row],[UDC]],TableGDEDUC[],7,FALSE),"")</f>
        <v/>
      </c>
      <c r="AG21" s="231" t="str">
        <f>IFERROR(VLOOKUP(TableHandbook[[#This Row],[UDC]],TableMJRPEDUPR[],7,FALSE),"")</f>
        <v>Core</v>
      </c>
      <c r="AH21" s="231" t="str">
        <f>IFERROR(VLOOKUP(TableHandbook[[#This Row],[UDC]],TableMJRPEDUSC[],7,FALSE),"")</f>
        <v/>
      </c>
      <c r="AI21" s="232" t="str">
        <f>IFERROR(VLOOKUP(TableHandbook[[#This Row],[UDC]],TableMCEDUC[],7,FALSE),"")</f>
        <v/>
      </c>
      <c r="AJ21" s="231" t="str">
        <f>IFERROR(VLOOKUP(TableHandbook[[#This Row],[UDC]],TableSPPECULIN[],7,FALSE),"")</f>
        <v/>
      </c>
      <c r="AK21" s="231" t="str">
        <f>IFERROR(VLOOKUP(TableHandbook[[#This Row],[UDC]],TableSPPELNTCH[],7,FALSE),"")</f>
        <v/>
      </c>
      <c r="AL21" s="231" t="str">
        <f>IFERROR(VLOOKUP(TableHandbook[[#This Row],[UDC]],TableSPPESTEME[],7,FALSE),"")</f>
        <v/>
      </c>
    </row>
    <row r="22" spans="1:38" x14ac:dyDescent="0.25">
      <c r="A22" s="2" t="s">
        <v>89</v>
      </c>
      <c r="B22" s="3">
        <v>1</v>
      </c>
      <c r="C22" s="3"/>
      <c r="D22" s="2" t="s">
        <v>362</v>
      </c>
      <c r="E22" s="3">
        <v>25</v>
      </c>
      <c r="F22" s="54" t="s">
        <v>348</v>
      </c>
      <c r="G22" s="55" t="str">
        <f>IFERROR(IF(VLOOKUP(TableHandbook[[#This Row],[UDC]],TableAvailabilities[],2,FALSE)&gt;0,"Y",""),"")</f>
        <v/>
      </c>
      <c r="H22" s="55" t="str">
        <f>IFERROR(IF(VLOOKUP(TableHandbook[[#This Row],[UDC]],TableAvailabilities[],3,FALSE)&gt;0,"Y",""),"")</f>
        <v/>
      </c>
      <c r="I22" s="55" t="str">
        <f>IFERROR(IF(VLOOKUP(TableHandbook[[#This Row],[UDC]],TableAvailabilities[],4,FALSE)&gt;0,"Y",""),"")</f>
        <v/>
      </c>
      <c r="J22" s="55" t="str">
        <f>IFERROR(IF(VLOOKUP(TableHandbook[[#This Row],[UDC]],TableAvailabilities[],5,FALSE)&gt;0,"Y",""),"")</f>
        <v/>
      </c>
      <c r="K22" s="55" t="str">
        <f>IFERROR(IF(VLOOKUP(TableHandbook[[#This Row],[UDC]],TableAvailabilities[],6,FALSE)&gt;0,"Y",""),"")</f>
        <v/>
      </c>
      <c r="L22" s="55" t="str">
        <f>IFERROR(IF(VLOOKUP(TableHandbook[[#This Row],[UDC]],TableAvailabilities[],7,FALSE)&gt;0,"Y",""),"")</f>
        <v/>
      </c>
      <c r="M22" s="55" t="str">
        <f>IFERROR(IF(VLOOKUP(TableHandbook[[#This Row],[UDC]],TableAvailabilities[],8,FALSE)&gt;0,"Y",""),"")</f>
        <v>Y</v>
      </c>
      <c r="N22" s="55" t="str">
        <f>IFERROR(IF(VLOOKUP(TableHandbook[[#This Row],[UDC]],TableAvailabilities[],9,FALSE)&gt;0,"Y",""),"")</f>
        <v>Y</v>
      </c>
      <c r="O22" s="230" t="s">
        <v>363</v>
      </c>
      <c r="P22" s="232" t="str">
        <f>IFERROR(VLOOKUP(TableHandbook[[#This Row],[UDC]],TableMCTEACH[],7,FALSE),"")</f>
        <v/>
      </c>
      <c r="Q22" s="231" t="str">
        <f>IFERROR(VLOOKUP(TableHandbook[[#This Row],[UDC]],TableMJRPTCHEC[],7,FALSE),"")</f>
        <v/>
      </c>
      <c r="R22" s="231" t="str">
        <f>IFERROR(VLOOKUP(TableHandbook[[#This Row],[UDC]],TableMJRPTCHPR[],7,FALSE),"")</f>
        <v>Core</v>
      </c>
      <c r="S22" s="231" t="str">
        <f>IFERROR(VLOOKUP(TableHandbook[[#This Row],[UDC]],TableMJRPTCHSC[],7,FALSE),"")</f>
        <v/>
      </c>
      <c r="T22" s="231" t="str">
        <f>IFERROR(VLOOKUP(TableHandbook[[#This Row],[UDC]],TableSTRPSCART[],7,FALSE),"")</f>
        <v/>
      </c>
      <c r="U22" s="231" t="str">
        <f>IFERROR(VLOOKUP(TableHandbook[[#This Row],[UDC]],TableSTRPSCENG[],7,FALSE),"")</f>
        <v/>
      </c>
      <c r="V22" s="231" t="str">
        <f>IFERROR(VLOOKUP(TableHandbook[[#This Row],[UDC]],TableSTRPSCHLP[],7,FALSE),"")</f>
        <v/>
      </c>
      <c r="W22" s="231" t="str">
        <f>IFERROR(VLOOKUP(TableHandbook[[#This Row],[UDC]],TableSTRPSCHUS[],7,FALSE),"")</f>
        <v/>
      </c>
      <c r="X22" s="231" t="str">
        <f>IFERROR(VLOOKUP(TableHandbook[[#This Row],[UDC]],TableSTRPSCMAT[],7,FALSE),"")</f>
        <v/>
      </c>
      <c r="Y22" s="231" t="str">
        <f>IFERROR(VLOOKUP(TableHandbook[[#This Row],[UDC]],TableSTRPSCSCI[],7,FALSE),"")</f>
        <v/>
      </c>
      <c r="Z22" s="231" t="str">
        <f>IFERROR(VLOOKUP(TableHandbook[[#This Row],[UDC]],TableSTRPSCFON[],7,FALSE),"")</f>
        <v/>
      </c>
      <c r="AA22" s="232" t="str">
        <f>IFERROR(VLOOKUP(TableHandbook[[#This Row],[UDC]],TableGCTESOL[],7,FALSE),"")</f>
        <v/>
      </c>
      <c r="AB22" s="231" t="str">
        <f>IFERROR(VLOOKUP(TableHandbook[[#This Row],[UDC]],TableMCTESOL[],7,FALSE),"")</f>
        <v/>
      </c>
      <c r="AC22" s="231" t="str">
        <f>IFERROR(VLOOKUP(TableHandbook[[#This Row],[UDC]],TableMCAPLING[],7,FALSE),"")</f>
        <v/>
      </c>
      <c r="AD22" s="232" t="str">
        <f>IFERROR(VLOOKUP(TableHandbook[[#This Row],[UDC]],TableGCEDHE[],7,FALSE),"")</f>
        <v/>
      </c>
      <c r="AE22" s="231" t="str">
        <f>IFERROR(VLOOKUP(TableHandbook[[#This Row],[UDC]],TableGCEDUC[],7,FALSE),"")</f>
        <v>Option</v>
      </c>
      <c r="AF22" s="231" t="str">
        <f>IFERROR(VLOOKUP(TableHandbook[[#This Row],[UDC]],TableGDEDUC[],7,FALSE),"")</f>
        <v/>
      </c>
      <c r="AG22" s="231" t="str">
        <f>IFERROR(VLOOKUP(TableHandbook[[#This Row],[UDC]],TableMJRPEDUPR[],7,FALSE),"")</f>
        <v>Core</v>
      </c>
      <c r="AH22" s="231" t="str">
        <f>IFERROR(VLOOKUP(TableHandbook[[#This Row],[UDC]],TableMJRPEDUSC[],7,FALSE),"")</f>
        <v/>
      </c>
      <c r="AI22" s="232" t="str">
        <f>IFERROR(VLOOKUP(TableHandbook[[#This Row],[UDC]],TableMCEDUC[],7,FALSE),"")</f>
        <v/>
      </c>
      <c r="AJ22" s="231" t="str">
        <f>IFERROR(VLOOKUP(TableHandbook[[#This Row],[UDC]],TableSPPECULIN[],7,FALSE),"")</f>
        <v/>
      </c>
      <c r="AK22" s="231" t="str">
        <f>IFERROR(VLOOKUP(TableHandbook[[#This Row],[UDC]],TableSPPELNTCH[],7,FALSE),"")</f>
        <v/>
      </c>
      <c r="AL22" s="231" t="str">
        <f>IFERROR(VLOOKUP(TableHandbook[[#This Row],[UDC]],TableSPPESTEME[],7,FALSE),"")</f>
        <v/>
      </c>
    </row>
    <row r="23" spans="1:38" x14ac:dyDescent="0.25">
      <c r="A23" s="2" t="s">
        <v>112</v>
      </c>
      <c r="B23" s="3">
        <v>1</v>
      </c>
      <c r="C23" s="3"/>
      <c r="D23" s="2" t="s">
        <v>364</v>
      </c>
      <c r="E23" s="3">
        <v>25</v>
      </c>
      <c r="F23" s="54" t="s">
        <v>348</v>
      </c>
      <c r="G23" s="55" t="str">
        <f>IFERROR(IF(VLOOKUP(TableHandbook[[#This Row],[UDC]],TableAvailabilities[],2,FALSE)&gt;0,"Y",""),"")</f>
        <v/>
      </c>
      <c r="H23" s="55" t="str">
        <f>IFERROR(IF(VLOOKUP(TableHandbook[[#This Row],[UDC]],TableAvailabilities[],3,FALSE)&gt;0,"Y",""),"")</f>
        <v/>
      </c>
      <c r="I23" s="55" t="str">
        <f>IFERROR(IF(VLOOKUP(TableHandbook[[#This Row],[UDC]],TableAvailabilities[],4,FALSE)&gt;0,"Y",""),"")</f>
        <v/>
      </c>
      <c r="J23" s="55" t="str">
        <f>IFERROR(IF(VLOOKUP(TableHandbook[[#This Row],[UDC]],TableAvailabilities[],5,FALSE)&gt;0,"Y",""),"")</f>
        <v/>
      </c>
      <c r="K23" s="55" t="str">
        <f>IFERROR(IF(VLOOKUP(TableHandbook[[#This Row],[UDC]],TableAvailabilities[],6,FALSE)&gt;0,"Y",""),"")</f>
        <v/>
      </c>
      <c r="L23" s="55" t="str">
        <f>IFERROR(IF(VLOOKUP(TableHandbook[[#This Row],[UDC]],TableAvailabilities[],7,FALSE)&gt;0,"Y",""),"")</f>
        <v/>
      </c>
      <c r="M23" s="55" t="str">
        <f>IFERROR(IF(VLOOKUP(TableHandbook[[#This Row],[UDC]],TableAvailabilities[],8,FALSE)&gt;0,"Y",""),"")</f>
        <v>Y</v>
      </c>
      <c r="N23" s="55" t="str">
        <f>IFERROR(IF(VLOOKUP(TableHandbook[[#This Row],[UDC]],TableAvailabilities[],9,FALSE)&gt;0,"Y",""),"")</f>
        <v>Y</v>
      </c>
      <c r="O23" s="230"/>
      <c r="P23" s="232" t="str">
        <f>IFERROR(VLOOKUP(TableHandbook[[#This Row],[UDC]],TableMCTEACH[],7,FALSE),"")</f>
        <v/>
      </c>
      <c r="Q23" s="231" t="str">
        <f>IFERROR(VLOOKUP(TableHandbook[[#This Row],[UDC]],TableMJRPTCHEC[],7,FALSE),"")</f>
        <v/>
      </c>
      <c r="R23" s="231" t="str">
        <f>IFERROR(VLOOKUP(TableHandbook[[#This Row],[UDC]],TableMJRPTCHPR[],7,FALSE),"")</f>
        <v>Core</v>
      </c>
      <c r="S23" s="231" t="str">
        <f>IFERROR(VLOOKUP(TableHandbook[[#This Row],[UDC]],TableMJRPTCHSC[],7,FALSE),"")</f>
        <v/>
      </c>
      <c r="T23" s="231" t="str">
        <f>IFERROR(VLOOKUP(TableHandbook[[#This Row],[UDC]],TableSTRPSCART[],7,FALSE),"")</f>
        <v/>
      </c>
      <c r="U23" s="231" t="str">
        <f>IFERROR(VLOOKUP(TableHandbook[[#This Row],[UDC]],TableSTRPSCENG[],7,FALSE),"")</f>
        <v/>
      </c>
      <c r="V23" s="231" t="str">
        <f>IFERROR(VLOOKUP(TableHandbook[[#This Row],[UDC]],TableSTRPSCHLP[],7,FALSE),"")</f>
        <v/>
      </c>
      <c r="W23" s="231" t="str">
        <f>IFERROR(VLOOKUP(TableHandbook[[#This Row],[UDC]],TableSTRPSCHUS[],7,FALSE),"")</f>
        <v/>
      </c>
      <c r="X23" s="231" t="str">
        <f>IFERROR(VLOOKUP(TableHandbook[[#This Row],[UDC]],TableSTRPSCMAT[],7,FALSE),"")</f>
        <v/>
      </c>
      <c r="Y23" s="231" t="str">
        <f>IFERROR(VLOOKUP(TableHandbook[[#This Row],[UDC]],TableSTRPSCSCI[],7,FALSE),"")</f>
        <v/>
      </c>
      <c r="Z23" s="231" t="str">
        <f>IFERROR(VLOOKUP(TableHandbook[[#This Row],[UDC]],TableSTRPSCFON[],7,FALSE),"")</f>
        <v/>
      </c>
      <c r="AA23" s="232" t="str">
        <f>IFERROR(VLOOKUP(TableHandbook[[#This Row],[UDC]],TableGCTESOL[],7,FALSE),"")</f>
        <v/>
      </c>
      <c r="AB23" s="231" t="str">
        <f>IFERROR(VLOOKUP(TableHandbook[[#This Row],[UDC]],TableMCTESOL[],7,FALSE),"")</f>
        <v/>
      </c>
      <c r="AC23" s="231" t="str">
        <f>IFERROR(VLOOKUP(TableHandbook[[#This Row],[UDC]],TableMCAPLING[],7,FALSE),"")</f>
        <v/>
      </c>
      <c r="AD23" s="232" t="str">
        <f>IFERROR(VLOOKUP(TableHandbook[[#This Row],[UDC]],TableGCEDHE[],7,FALSE),"")</f>
        <v/>
      </c>
      <c r="AE23" s="231" t="str">
        <f>IFERROR(VLOOKUP(TableHandbook[[#This Row],[UDC]],TableGCEDUC[],7,FALSE),"")</f>
        <v>Option</v>
      </c>
      <c r="AF23" s="231" t="str">
        <f>IFERROR(VLOOKUP(TableHandbook[[#This Row],[UDC]],TableGDEDUC[],7,FALSE),"")</f>
        <v/>
      </c>
      <c r="AG23" s="231" t="str">
        <f>IFERROR(VLOOKUP(TableHandbook[[#This Row],[UDC]],TableMJRPEDUPR[],7,FALSE),"")</f>
        <v/>
      </c>
      <c r="AH23" s="231" t="str">
        <f>IFERROR(VLOOKUP(TableHandbook[[#This Row],[UDC]],TableMJRPEDUSC[],7,FALSE),"")</f>
        <v/>
      </c>
      <c r="AI23" s="232" t="str">
        <f>IFERROR(VLOOKUP(TableHandbook[[#This Row],[UDC]],TableMCEDUC[],7,FALSE),"")</f>
        <v/>
      </c>
      <c r="AJ23" s="231" t="str">
        <f>IFERROR(VLOOKUP(TableHandbook[[#This Row],[UDC]],TableSPPECULIN[],7,FALSE),"")</f>
        <v/>
      </c>
      <c r="AK23" s="231" t="str">
        <f>IFERROR(VLOOKUP(TableHandbook[[#This Row],[UDC]],TableSPPELNTCH[],7,FALSE),"")</f>
        <v/>
      </c>
      <c r="AL23" s="231" t="str">
        <f>IFERROR(VLOOKUP(TableHandbook[[#This Row],[UDC]],TableSPPESTEME[],7,FALSE),"")</f>
        <v/>
      </c>
    </row>
    <row r="24" spans="1:38" x14ac:dyDescent="0.25">
      <c r="A24" s="2" t="s">
        <v>108</v>
      </c>
      <c r="B24" s="3">
        <v>1</v>
      </c>
      <c r="C24" s="3"/>
      <c r="D24" s="2" t="s">
        <v>365</v>
      </c>
      <c r="E24" s="3">
        <v>25</v>
      </c>
      <c r="F24" s="54" t="s">
        <v>348</v>
      </c>
      <c r="G24" s="55" t="str">
        <f>IFERROR(IF(VLOOKUP(TableHandbook[[#This Row],[UDC]],TableAvailabilities[],2,FALSE)&gt;0,"Y",""),"")</f>
        <v/>
      </c>
      <c r="H24" s="55" t="str">
        <f>IFERROR(IF(VLOOKUP(TableHandbook[[#This Row],[UDC]],TableAvailabilities[],3,FALSE)&gt;0,"Y",""),"")</f>
        <v/>
      </c>
      <c r="I24" s="55" t="str">
        <f>IFERROR(IF(VLOOKUP(TableHandbook[[#This Row],[UDC]],TableAvailabilities[],4,FALSE)&gt;0,"Y",""),"")</f>
        <v>Y</v>
      </c>
      <c r="J24" s="55" t="str">
        <f>IFERROR(IF(VLOOKUP(TableHandbook[[#This Row],[UDC]],TableAvailabilities[],5,FALSE)&gt;0,"Y",""),"")</f>
        <v>Y</v>
      </c>
      <c r="K24" s="55" t="str">
        <f>IFERROR(IF(VLOOKUP(TableHandbook[[#This Row],[UDC]],TableAvailabilities[],6,FALSE)&gt;0,"Y",""),"")</f>
        <v/>
      </c>
      <c r="L24" s="55" t="str">
        <f>IFERROR(IF(VLOOKUP(TableHandbook[[#This Row],[UDC]],TableAvailabilities[],7,FALSE)&gt;0,"Y",""),"")</f>
        <v/>
      </c>
      <c r="M24" s="55" t="str">
        <f>IFERROR(IF(VLOOKUP(TableHandbook[[#This Row],[UDC]],TableAvailabilities[],8,FALSE)&gt;0,"Y",""),"")</f>
        <v/>
      </c>
      <c r="N24" s="55" t="str">
        <f>IFERROR(IF(VLOOKUP(TableHandbook[[#This Row],[UDC]],TableAvailabilities[],9,FALSE)&gt;0,"Y",""),"")</f>
        <v/>
      </c>
      <c r="O24" s="230"/>
      <c r="P24" s="232" t="str">
        <f>IFERROR(VLOOKUP(TableHandbook[[#This Row],[UDC]],TableMCTEACH[],7,FALSE),"")</f>
        <v/>
      </c>
      <c r="Q24" s="231" t="str">
        <f>IFERROR(VLOOKUP(TableHandbook[[#This Row],[UDC]],TableMJRPTCHEC[],7,FALSE),"")</f>
        <v/>
      </c>
      <c r="R24" s="231" t="str">
        <f>IFERROR(VLOOKUP(TableHandbook[[#This Row],[UDC]],TableMJRPTCHPR[],7,FALSE),"")</f>
        <v>Core</v>
      </c>
      <c r="S24" s="231" t="str">
        <f>IFERROR(VLOOKUP(TableHandbook[[#This Row],[UDC]],TableMJRPTCHSC[],7,FALSE),"")</f>
        <v/>
      </c>
      <c r="T24" s="231" t="str">
        <f>IFERROR(VLOOKUP(TableHandbook[[#This Row],[UDC]],TableSTRPSCART[],7,FALSE),"")</f>
        <v/>
      </c>
      <c r="U24" s="231" t="str">
        <f>IFERROR(VLOOKUP(TableHandbook[[#This Row],[UDC]],TableSTRPSCENG[],7,FALSE),"")</f>
        <v/>
      </c>
      <c r="V24" s="231" t="str">
        <f>IFERROR(VLOOKUP(TableHandbook[[#This Row],[UDC]],TableSTRPSCHLP[],7,FALSE),"")</f>
        <v/>
      </c>
      <c r="W24" s="231" t="str">
        <f>IFERROR(VLOOKUP(TableHandbook[[#This Row],[UDC]],TableSTRPSCHUS[],7,FALSE),"")</f>
        <v/>
      </c>
      <c r="X24" s="231" t="str">
        <f>IFERROR(VLOOKUP(TableHandbook[[#This Row],[UDC]],TableSTRPSCMAT[],7,FALSE),"")</f>
        <v/>
      </c>
      <c r="Y24" s="231" t="str">
        <f>IFERROR(VLOOKUP(TableHandbook[[#This Row],[UDC]],TableSTRPSCSCI[],7,FALSE),"")</f>
        <v/>
      </c>
      <c r="Z24" s="231" t="str">
        <f>IFERROR(VLOOKUP(TableHandbook[[#This Row],[UDC]],TableSTRPSCFON[],7,FALSE),"")</f>
        <v/>
      </c>
      <c r="AA24" s="232" t="str">
        <f>IFERROR(VLOOKUP(TableHandbook[[#This Row],[UDC]],TableGCTESOL[],7,FALSE),"")</f>
        <v/>
      </c>
      <c r="AB24" s="231" t="str">
        <f>IFERROR(VLOOKUP(TableHandbook[[#This Row],[UDC]],TableMCTESOL[],7,FALSE),"")</f>
        <v/>
      </c>
      <c r="AC24" s="231" t="str">
        <f>IFERROR(VLOOKUP(TableHandbook[[#This Row],[UDC]],TableMCAPLING[],7,FALSE),"")</f>
        <v/>
      </c>
      <c r="AD24" s="232" t="str">
        <f>IFERROR(VLOOKUP(TableHandbook[[#This Row],[UDC]],TableGCEDHE[],7,FALSE),"")</f>
        <v/>
      </c>
      <c r="AE24" s="231" t="str">
        <f>IFERROR(VLOOKUP(TableHandbook[[#This Row],[UDC]],TableGCEDUC[],7,FALSE),"")</f>
        <v>Option</v>
      </c>
      <c r="AF24" s="231" t="str">
        <f>IFERROR(VLOOKUP(TableHandbook[[#This Row],[UDC]],TableGDEDUC[],7,FALSE),"")</f>
        <v/>
      </c>
      <c r="AG24" s="231" t="str">
        <f>IFERROR(VLOOKUP(TableHandbook[[#This Row],[UDC]],TableMJRPEDUPR[],7,FALSE),"")</f>
        <v>Core</v>
      </c>
      <c r="AH24" s="231" t="str">
        <f>IFERROR(VLOOKUP(TableHandbook[[#This Row],[UDC]],TableMJRPEDUSC[],7,FALSE),"")</f>
        <v/>
      </c>
      <c r="AI24" s="232" t="str">
        <f>IFERROR(VLOOKUP(TableHandbook[[#This Row],[UDC]],TableMCEDUC[],7,FALSE),"")</f>
        <v/>
      </c>
      <c r="AJ24" s="231" t="str">
        <f>IFERROR(VLOOKUP(TableHandbook[[#This Row],[UDC]],TableSPPECULIN[],7,FALSE),"")</f>
        <v/>
      </c>
      <c r="AK24" s="231" t="str">
        <f>IFERROR(VLOOKUP(TableHandbook[[#This Row],[UDC]],TableSPPELNTCH[],7,FALSE),"")</f>
        <v/>
      </c>
      <c r="AL24" s="231" t="str">
        <f>IFERROR(VLOOKUP(TableHandbook[[#This Row],[UDC]],TableSPPESTEME[],7,FALSE),"")</f>
        <v/>
      </c>
    </row>
    <row r="25" spans="1:38" x14ac:dyDescent="0.25">
      <c r="A25" s="2" t="s">
        <v>125</v>
      </c>
      <c r="B25" s="3">
        <v>2</v>
      </c>
      <c r="C25" s="3"/>
      <c r="D25" s="2" t="s">
        <v>366</v>
      </c>
      <c r="E25" s="3">
        <v>25</v>
      </c>
      <c r="F25" s="54" t="s">
        <v>348</v>
      </c>
      <c r="G25" s="55" t="str">
        <f>IFERROR(IF(VLOOKUP(TableHandbook[[#This Row],[UDC]],TableAvailabilities[],2,FALSE)&gt;0,"Y",""),"")</f>
        <v/>
      </c>
      <c r="H25" s="55" t="str">
        <f>IFERROR(IF(VLOOKUP(TableHandbook[[#This Row],[UDC]],TableAvailabilities[],3,FALSE)&gt;0,"Y",""),"")</f>
        <v/>
      </c>
      <c r="I25" s="55" t="str">
        <f>IFERROR(IF(VLOOKUP(TableHandbook[[#This Row],[UDC]],TableAvailabilities[],4,FALSE)&gt;0,"Y",""),"")</f>
        <v>Y</v>
      </c>
      <c r="J25" s="55" t="str">
        <f>IFERROR(IF(VLOOKUP(TableHandbook[[#This Row],[UDC]],TableAvailabilities[],5,FALSE)&gt;0,"Y",""),"")</f>
        <v>Y</v>
      </c>
      <c r="K25" s="55" t="str">
        <f>IFERROR(IF(VLOOKUP(TableHandbook[[#This Row],[UDC]],TableAvailabilities[],6,FALSE)&gt;0,"Y",""),"")</f>
        <v/>
      </c>
      <c r="L25" s="55" t="str">
        <f>IFERROR(IF(VLOOKUP(TableHandbook[[#This Row],[UDC]],TableAvailabilities[],7,FALSE)&gt;0,"Y",""),"")</f>
        <v/>
      </c>
      <c r="M25" s="55" t="str">
        <f>IFERROR(IF(VLOOKUP(TableHandbook[[#This Row],[UDC]],TableAvailabilities[],8,FALSE)&gt;0,"Y",""),"")</f>
        <v/>
      </c>
      <c r="N25" s="55" t="str">
        <f>IFERROR(IF(VLOOKUP(TableHandbook[[#This Row],[UDC]],TableAvailabilities[],9,FALSE)&gt;0,"Y",""),"")</f>
        <v/>
      </c>
      <c r="O25" s="230"/>
      <c r="P25" s="232" t="str">
        <f>IFERROR(VLOOKUP(TableHandbook[[#This Row],[UDC]],TableMCTEACH[],7,FALSE),"")</f>
        <v/>
      </c>
      <c r="Q25" s="231" t="str">
        <f>IFERROR(VLOOKUP(TableHandbook[[#This Row],[UDC]],TableMJRPTCHEC[],7,FALSE),"")</f>
        <v/>
      </c>
      <c r="R25" s="231" t="str">
        <f>IFERROR(VLOOKUP(TableHandbook[[#This Row],[UDC]],TableMJRPTCHPR[],7,FALSE),"")</f>
        <v>Core</v>
      </c>
      <c r="S25" s="231" t="str">
        <f>IFERROR(VLOOKUP(TableHandbook[[#This Row],[UDC]],TableMJRPTCHSC[],7,FALSE),"")</f>
        <v/>
      </c>
      <c r="T25" s="231" t="str">
        <f>IFERROR(VLOOKUP(TableHandbook[[#This Row],[UDC]],TableSTRPSCART[],7,FALSE),"")</f>
        <v/>
      </c>
      <c r="U25" s="231" t="str">
        <f>IFERROR(VLOOKUP(TableHandbook[[#This Row],[UDC]],TableSTRPSCENG[],7,FALSE),"")</f>
        <v/>
      </c>
      <c r="V25" s="231" t="str">
        <f>IFERROR(VLOOKUP(TableHandbook[[#This Row],[UDC]],TableSTRPSCHLP[],7,FALSE),"")</f>
        <v/>
      </c>
      <c r="W25" s="231" t="str">
        <f>IFERROR(VLOOKUP(TableHandbook[[#This Row],[UDC]],TableSTRPSCHUS[],7,FALSE),"")</f>
        <v/>
      </c>
      <c r="X25" s="231" t="str">
        <f>IFERROR(VLOOKUP(TableHandbook[[#This Row],[UDC]],TableSTRPSCMAT[],7,FALSE),"")</f>
        <v/>
      </c>
      <c r="Y25" s="231" t="str">
        <f>IFERROR(VLOOKUP(TableHandbook[[#This Row],[UDC]],TableSTRPSCSCI[],7,FALSE),"")</f>
        <v/>
      </c>
      <c r="Z25" s="231" t="str">
        <f>IFERROR(VLOOKUP(TableHandbook[[#This Row],[UDC]],TableSTRPSCFON[],7,FALSE),"")</f>
        <v/>
      </c>
      <c r="AA25" s="232" t="str">
        <f>IFERROR(VLOOKUP(TableHandbook[[#This Row],[UDC]],TableGCTESOL[],7,FALSE),"")</f>
        <v/>
      </c>
      <c r="AB25" s="231" t="str">
        <f>IFERROR(VLOOKUP(TableHandbook[[#This Row],[UDC]],TableMCTESOL[],7,FALSE),"")</f>
        <v/>
      </c>
      <c r="AC25" s="231" t="str">
        <f>IFERROR(VLOOKUP(TableHandbook[[#This Row],[UDC]],TableMCAPLING[],7,FALSE),"")</f>
        <v/>
      </c>
      <c r="AD25" s="232" t="str">
        <f>IFERROR(VLOOKUP(TableHandbook[[#This Row],[UDC]],TableGCEDHE[],7,FALSE),"")</f>
        <v/>
      </c>
      <c r="AE25" s="231" t="str">
        <f>IFERROR(VLOOKUP(TableHandbook[[#This Row],[UDC]],TableGCEDUC[],7,FALSE),"")</f>
        <v/>
      </c>
      <c r="AF25" s="231" t="str">
        <f>IFERROR(VLOOKUP(TableHandbook[[#This Row],[UDC]],TableGDEDUC[],7,FALSE),"")</f>
        <v/>
      </c>
      <c r="AG25" s="231" t="str">
        <f>IFERROR(VLOOKUP(TableHandbook[[#This Row],[UDC]],TableMJRPEDUPR[],7,FALSE),"")</f>
        <v/>
      </c>
      <c r="AH25" s="231" t="str">
        <f>IFERROR(VLOOKUP(TableHandbook[[#This Row],[UDC]],TableMJRPEDUSC[],7,FALSE),"")</f>
        <v/>
      </c>
      <c r="AI25" s="232" t="str">
        <f>IFERROR(VLOOKUP(TableHandbook[[#This Row],[UDC]],TableMCEDUC[],7,FALSE),"")</f>
        <v/>
      </c>
      <c r="AJ25" s="231" t="str">
        <f>IFERROR(VLOOKUP(TableHandbook[[#This Row],[UDC]],TableSPPECULIN[],7,FALSE),"")</f>
        <v/>
      </c>
      <c r="AK25" s="231" t="str">
        <f>IFERROR(VLOOKUP(TableHandbook[[#This Row],[UDC]],TableSPPELNTCH[],7,FALSE),"")</f>
        <v/>
      </c>
      <c r="AL25" s="231" t="str">
        <f>IFERROR(VLOOKUP(TableHandbook[[#This Row],[UDC]],TableSPPESTEME[],7,FALSE),"")</f>
        <v/>
      </c>
    </row>
    <row r="26" spans="1:38" x14ac:dyDescent="0.25">
      <c r="A26" s="2" t="s">
        <v>117</v>
      </c>
      <c r="B26" s="3">
        <v>1</v>
      </c>
      <c r="C26" s="3"/>
      <c r="D26" s="2" t="s">
        <v>367</v>
      </c>
      <c r="E26" s="3">
        <v>25</v>
      </c>
      <c r="F26" s="54" t="s">
        <v>348</v>
      </c>
      <c r="G26" s="55" t="str">
        <f>IFERROR(IF(VLOOKUP(TableHandbook[[#This Row],[UDC]],TableAvailabilities[],2,FALSE)&gt;0,"Y",""),"")</f>
        <v>Y</v>
      </c>
      <c r="H26" s="55" t="str">
        <f>IFERROR(IF(VLOOKUP(TableHandbook[[#This Row],[UDC]],TableAvailabilities[],3,FALSE)&gt;0,"Y",""),"")</f>
        <v>Y</v>
      </c>
      <c r="I26" s="55" t="str">
        <f>IFERROR(IF(VLOOKUP(TableHandbook[[#This Row],[UDC]],TableAvailabilities[],4,FALSE)&gt;0,"Y",""),"")</f>
        <v/>
      </c>
      <c r="J26" s="55" t="str">
        <f>IFERROR(IF(VLOOKUP(TableHandbook[[#This Row],[UDC]],TableAvailabilities[],5,FALSE)&gt;0,"Y",""),"")</f>
        <v/>
      </c>
      <c r="K26" s="55" t="str">
        <f>IFERROR(IF(VLOOKUP(TableHandbook[[#This Row],[UDC]],TableAvailabilities[],6,FALSE)&gt;0,"Y",""),"")</f>
        <v/>
      </c>
      <c r="L26" s="55" t="str">
        <f>IFERROR(IF(VLOOKUP(TableHandbook[[#This Row],[UDC]],TableAvailabilities[],7,FALSE)&gt;0,"Y",""),"")</f>
        <v/>
      </c>
      <c r="M26" s="55" t="str">
        <f>IFERROR(IF(VLOOKUP(TableHandbook[[#This Row],[UDC]],TableAvailabilities[],8,FALSE)&gt;0,"Y",""),"")</f>
        <v/>
      </c>
      <c r="N26" s="55" t="str">
        <f>IFERROR(IF(VLOOKUP(TableHandbook[[#This Row],[UDC]],TableAvailabilities[],9,FALSE)&gt;0,"Y",""),"")</f>
        <v/>
      </c>
      <c r="O26" s="230"/>
      <c r="P26" s="232" t="str">
        <f>IFERROR(VLOOKUP(TableHandbook[[#This Row],[UDC]],TableMCTEACH[],7,FALSE),"")</f>
        <v/>
      </c>
      <c r="Q26" s="231" t="str">
        <f>IFERROR(VLOOKUP(TableHandbook[[#This Row],[UDC]],TableMJRPTCHEC[],7,FALSE),"")</f>
        <v/>
      </c>
      <c r="R26" s="231" t="str">
        <f>IFERROR(VLOOKUP(TableHandbook[[#This Row],[UDC]],TableMJRPTCHPR[],7,FALSE),"")</f>
        <v>Core</v>
      </c>
      <c r="S26" s="231" t="str">
        <f>IFERROR(VLOOKUP(TableHandbook[[#This Row],[UDC]],TableMJRPTCHSC[],7,FALSE),"")</f>
        <v/>
      </c>
      <c r="T26" s="231" t="str">
        <f>IFERROR(VLOOKUP(TableHandbook[[#This Row],[UDC]],TableSTRPSCART[],7,FALSE),"")</f>
        <v/>
      </c>
      <c r="U26" s="231" t="str">
        <f>IFERROR(VLOOKUP(TableHandbook[[#This Row],[UDC]],TableSTRPSCENG[],7,FALSE),"")</f>
        <v/>
      </c>
      <c r="V26" s="231" t="str">
        <f>IFERROR(VLOOKUP(TableHandbook[[#This Row],[UDC]],TableSTRPSCHLP[],7,FALSE),"")</f>
        <v/>
      </c>
      <c r="W26" s="231" t="str">
        <f>IFERROR(VLOOKUP(TableHandbook[[#This Row],[UDC]],TableSTRPSCHUS[],7,FALSE),"")</f>
        <v/>
      </c>
      <c r="X26" s="231" t="str">
        <f>IFERROR(VLOOKUP(TableHandbook[[#This Row],[UDC]],TableSTRPSCMAT[],7,FALSE),"")</f>
        <v/>
      </c>
      <c r="Y26" s="231" t="str">
        <f>IFERROR(VLOOKUP(TableHandbook[[#This Row],[UDC]],TableSTRPSCSCI[],7,FALSE),"")</f>
        <v/>
      </c>
      <c r="Z26" s="231" t="str">
        <f>IFERROR(VLOOKUP(TableHandbook[[#This Row],[UDC]],TableSTRPSCFON[],7,FALSE),"")</f>
        <v/>
      </c>
      <c r="AA26" s="232" t="str">
        <f>IFERROR(VLOOKUP(TableHandbook[[#This Row],[UDC]],TableGCTESOL[],7,FALSE),"")</f>
        <v/>
      </c>
      <c r="AB26" s="231" t="str">
        <f>IFERROR(VLOOKUP(TableHandbook[[#This Row],[UDC]],TableMCTESOL[],7,FALSE),"")</f>
        <v/>
      </c>
      <c r="AC26" s="231" t="str">
        <f>IFERROR(VLOOKUP(TableHandbook[[#This Row],[UDC]],TableMCAPLING[],7,FALSE),"")</f>
        <v/>
      </c>
      <c r="AD26" s="232" t="str">
        <f>IFERROR(VLOOKUP(TableHandbook[[#This Row],[UDC]],TableGCEDHE[],7,FALSE),"")</f>
        <v/>
      </c>
      <c r="AE26" s="231" t="str">
        <f>IFERROR(VLOOKUP(TableHandbook[[#This Row],[UDC]],TableGCEDUC[],7,FALSE),"")</f>
        <v>Option</v>
      </c>
      <c r="AF26" s="231" t="str">
        <f>IFERROR(VLOOKUP(TableHandbook[[#This Row],[UDC]],TableGDEDUC[],7,FALSE),"")</f>
        <v/>
      </c>
      <c r="AG26" s="231" t="str">
        <f>IFERROR(VLOOKUP(TableHandbook[[#This Row],[UDC]],TableMJRPEDUPR[],7,FALSE),"")</f>
        <v/>
      </c>
      <c r="AH26" s="231" t="str">
        <f>IFERROR(VLOOKUP(TableHandbook[[#This Row],[UDC]],TableMJRPEDUSC[],7,FALSE),"")</f>
        <v/>
      </c>
      <c r="AI26" s="232" t="str">
        <f>IFERROR(VLOOKUP(TableHandbook[[#This Row],[UDC]],TableMCEDUC[],7,FALSE),"")</f>
        <v/>
      </c>
      <c r="AJ26" s="231" t="str">
        <f>IFERROR(VLOOKUP(TableHandbook[[#This Row],[UDC]],TableSPPECULIN[],7,FALSE),"")</f>
        <v/>
      </c>
      <c r="AK26" s="231" t="str">
        <f>IFERROR(VLOOKUP(TableHandbook[[#This Row],[UDC]],TableSPPELNTCH[],7,FALSE),"")</f>
        <v/>
      </c>
      <c r="AL26" s="231" t="str">
        <f>IFERROR(VLOOKUP(TableHandbook[[#This Row],[UDC]],TableSPPESTEME[],7,FALSE),"")</f>
        <v/>
      </c>
    </row>
    <row r="27" spans="1:38" x14ac:dyDescent="0.25">
      <c r="A27" s="2" t="s">
        <v>122</v>
      </c>
      <c r="B27" s="3">
        <v>1</v>
      </c>
      <c r="C27" s="3"/>
      <c r="D27" s="2" t="s">
        <v>368</v>
      </c>
      <c r="E27" s="3">
        <v>25</v>
      </c>
      <c r="F27" s="268" t="s">
        <v>369</v>
      </c>
      <c r="G27" s="55" t="str">
        <f>IFERROR(IF(VLOOKUP(TableHandbook[[#This Row],[UDC]],TableAvailabilities[],2,FALSE)&gt;0,"Y",""),"")</f>
        <v/>
      </c>
      <c r="H27" s="55" t="str">
        <f>IFERROR(IF(VLOOKUP(TableHandbook[[#This Row],[UDC]],TableAvailabilities[],3,FALSE)&gt;0,"Y",""),"")</f>
        <v/>
      </c>
      <c r="I27" s="55" t="str">
        <f>IFERROR(IF(VLOOKUP(TableHandbook[[#This Row],[UDC]],TableAvailabilities[],4,FALSE)&gt;0,"Y",""),"")</f>
        <v/>
      </c>
      <c r="J27" s="55" t="str">
        <f>IFERROR(IF(VLOOKUP(TableHandbook[[#This Row],[UDC]],TableAvailabilities[],5,FALSE)&gt;0,"Y",""),"")</f>
        <v/>
      </c>
      <c r="K27" s="55" t="str">
        <f>IFERROR(IF(VLOOKUP(TableHandbook[[#This Row],[UDC]],TableAvailabilities[],6,FALSE)&gt;0,"Y",""),"")</f>
        <v>Y</v>
      </c>
      <c r="L27" s="55" t="str">
        <f>IFERROR(IF(VLOOKUP(TableHandbook[[#This Row],[UDC]],TableAvailabilities[],7,FALSE)&gt;0,"Y",""),"")</f>
        <v>Y</v>
      </c>
      <c r="M27" s="55" t="str">
        <f>IFERROR(IF(VLOOKUP(TableHandbook[[#This Row],[UDC]],TableAvailabilities[],8,FALSE)&gt;0,"Y",""),"")</f>
        <v/>
      </c>
      <c r="N27" s="55" t="str">
        <f>IFERROR(IF(VLOOKUP(TableHandbook[[#This Row],[UDC]],TableAvailabilities[],9,FALSE)&gt;0,"Y",""),"")</f>
        <v/>
      </c>
      <c r="O27" s="230"/>
      <c r="P27" s="232" t="str">
        <f>IFERROR(VLOOKUP(TableHandbook[[#This Row],[UDC]],TableMCTEACH[],7,FALSE),"")</f>
        <v/>
      </c>
      <c r="Q27" s="231" t="str">
        <f>IFERROR(VLOOKUP(TableHandbook[[#This Row],[UDC]],TableMJRPTCHEC[],7,FALSE),"")</f>
        <v/>
      </c>
      <c r="R27" s="231" t="str">
        <f>IFERROR(VLOOKUP(TableHandbook[[#This Row],[UDC]],TableMJRPTCHPR[],7,FALSE),"")</f>
        <v>Core</v>
      </c>
      <c r="S27" s="231" t="str">
        <f>IFERROR(VLOOKUP(TableHandbook[[#This Row],[UDC]],TableMJRPTCHSC[],7,FALSE),"")</f>
        <v/>
      </c>
      <c r="T27" s="231" t="str">
        <f>IFERROR(VLOOKUP(TableHandbook[[#This Row],[UDC]],TableSTRPSCART[],7,FALSE),"")</f>
        <v/>
      </c>
      <c r="U27" s="231" t="str">
        <f>IFERROR(VLOOKUP(TableHandbook[[#This Row],[UDC]],TableSTRPSCENG[],7,FALSE),"")</f>
        <v/>
      </c>
      <c r="V27" s="231" t="str">
        <f>IFERROR(VLOOKUP(TableHandbook[[#This Row],[UDC]],TableSTRPSCHLP[],7,FALSE),"")</f>
        <v/>
      </c>
      <c r="W27" s="231" t="str">
        <f>IFERROR(VLOOKUP(TableHandbook[[#This Row],[UDC]],TableSTRPSCHUS[],7,FALSE),"")</f>
        <v/>
      </c>
      <c r="X27" s="231" t="str">
        <f>IFERROR(VLOOKUP(TableHandbook[[#This Row],[UDC]],TableSTRPSCMAT[],7,FALSE),"")</f>
        <v/>
      </c>
      <c r="Y27" s="231" t="str">
        <f>IFERROR(VLOOKUP(TableHandbook[[#This Row],[UDC]],TableSTRPSCSCI[],7,FALSE),"")</f>
        <v/>
      </c>
      <c r="Z27" s="231" t="str">
        <f>IFERROR(VLOOKUP(TableHandbook[[#This Row],[UDC]],TableSTRPSCFON[],7,FALSE),"")</f>
        <v/>
      </c>
      <c r="AA27" s="232" t="str">
        <f>IFERROR(VLOOKUP(TableHandbook[[#This Row],[UDC]],TableGCTESOL[],7,FALSE),"")</f>
        <v/>
      </c>
      <c r="AB27" s="231" t="str">
        <f>IFERROR(VLOOKUP(TableHandbook[[#This Row],[UDC]],TableMCTESOL[],7,FALSE),"")</f>
        <v/>
      </c>
      <c r="AC27" s="231" t="str">
        <f>IFERROR(VLOOKUP(TableHandbook[[#This Row],[UDC]],TableMCAPLING[],7,FALSE),"")</f>
        <v/>
      </c>
      <c r="AD27" s="232" t="str">
        <f>IFERROR(VLOOKUP(TableHandbook[[#This Row],[UDC]],TableGCEDHE[],7,FALSE),"")</f>
        <v/>
      </c>
      <c r="AE27" s="231" t="str">
        <f>IFERROR(VLOOKUP(TableHandbook[[#This Row],[UDC]],TableGCEDUC[],7,FALSE),"")</f>
        <v/>
      </c>
      <c r="AF27" s="231" t="str">
        <f>IFERROR(VLOOKUP(TableHandbook[[#This Row],[UDC]],TableGDEDUC[],7,FALSE),"")</f>
        <v/>
      </c>
      <c r="AG27" s="231" t="str">
        <f>IFERROR(VLOOKUP(TableHandbook[[#This Row],[UDC]],TableMJRPEDUPR[],7,FALSE),"")</f>
        <v/>
      </c>
      <c r="AH27" s="231" t="str">
        <f>IFERROR(VLOOKUP(TableHandbook[[#This Row],[UDC]],TableMJRPEDUSC[],7,FALSE),"")</f>
        <v/>
      </c>
      <c r="AI27" s="232" t="str">
        <f>IFERROR(VLOOKUP(TableHandbook[[#This Row],[UDC]],TableMCEDUC[],7,FALSE),"")</f>
        <v/>
      </c>
      <c r="AJ27" s="231" t="str">
        <f>IFERROR(VLOOKUP(TableHandbook[[#This Row],[UDC]],TableSPPECULIN[],7,FALSE),"")</f>
        <v/>
      </c>
      <c r="AK27" s="231" t="str">
        <f>IFERROR(VLOOKUP(TableHandbook[[#This Row],[UDC]],TableSPPELNTCH[],7,FALSE),"")</f>
        <v/>
      </c>
      <c r="AL27" s="231" t="str">
        <f>IFERROR(VLOOKUP(TableHandbook[[#This Row],[UDC]],TableSPPESTEME[],7,FALSE),"")</f>
        <v/>
      </c>
    </row>
    <row r="28" spans="1:38" x14ac:dyDescent="0.25">
      <c r="A28" s="2" t="s">
        <v>275</v>
      </c>
      <c r="B28" s="3">
        <v>1</v>
      </c>
      <c r="C28" s="3"/>
      <c r="D28" s="2" t="s">
        <v>370</v>
      </c>
      <c r="E28" s="3">
        <v>25</v>
      </c>
      <c r="F28" s="54" t="s">
        <v>348</v>
      </c>
      <c r="G28" s="55" t="str">
        <f>IFERROR(IF(VLOOKUP(TableHandbook[[#This Row],[UDC]],TableAvailabilities[],2,FALSE)&gt;0,"Y",""),"")</f>
        <v/>
      </c>
      <c r="H28" s="55" t="str">
        <f>IFERROR(IF(VLOOKUP(TableHandbook[[#This Row],[UDC]],TableAvailabilities[],3,FALSE)&gt;0,"Y",""),"")</f>
        <v/>
      </c>
      <c r="I28" s="55" t="str">
        <f>IFERROR(IF(VLOOKUP(TableHandbook[[#This Row],[UDC]],TableAvailabilities[],4,FALSE)&gt;0,"Y",""),"")</f>
        <v>Y</v>
      </c>
      <c r="J28" s="55" t="str">
        <f>IFERROR(IF(VLOOKUP(TableHandbook[[#This Row],[UDC]],TableAvailabilities[],5,FALSE)&gt;0,"Y",""),"")</f>
        <v>Y</v>
      </c>
      <c r="K28" s="55" t="str">
        <f>IFERROR(IF(VLOOKUP(TableHandbook[[#This Row],[UDC]],TableAvailabilities[],6,FALSE)&gt;0,"Y",""),"")</f>
        <v/>
      </c>
      <c r="L28" s="55" t="str">
        <f>IFERROR(IF(VLOOKUP(TableHandbook[[#This Row],[UDC]],TableAvailabilities[],7,FALSE)&gt;0,"Y",""),"")</f>
        <v/>
      </c>
      <c r="M28" s="55" t="str">
        <f>IFERROR(IF(VLOOKUP(TableHandbook[[#This Row],[UDC]],TableAvailabilities[],8,FALSE)&gt;0,"Y",""),"")</f>
        <v>Y</v>
      </c>
      <c r="N28" s="55" t="str">
        <f>IFERROR(IF(VLOOKUP(TableHandbook[[#This Row],[UDC]],TableAvailabilities[],9,FALSE)&gt;0,"Y",""),"")</f>
        <v>Y</v>
      </c>
      <c r="O28" s="230"/>
      <c r="P28" s="232" t="str">
        <f>IFERROR(VLOOKUP(TableHandbook[[#This Row],[UDC]],TableMCTEACH[],7,FALSE),"")</f>
        <v/>
      </c>
      <c r="Q28" s="231" t="str">
        <f>IFERROR(VLOOKUP(TableHandbook[[#This Row],[UDC]],TableMJRPTCHEC[],7,FALSE),"")</f>
        <v/>
      </c>
      <c r="R28" s="231" t="str">
        <f>IFERROR(VLOOKUP(TableHandbook[[#This Row],[UDC]],TableMJRPTCHPR[],7,FALSE),"")</f>
        <v/>
      </c>
      <c r="S28" s="231" t="str">
        <f>IFERROR(VLOOKUP(TableHandbook[[#This Row],[UDC]],TableMJRPTCHSC[],7,FALSE),"")</f>
        <v>Core</v>
      </c>
      <c r="T28" s="231" t="str">
        <f>IFERROR(VLOOKUP(TableHandbook[[#This Row],[UDC]],TableSTRPSCART[],7,FALSE),"")</f>
        <v/>
      </c>
      <c r="U28" s="231" t="str">
        <f>IFERROR(VLOOKUP(TableHandbook[[#This Row],[UDC]],TableSTRPSCENG[],7,FALSE),"")</f>
        <v/>
      </c>
      <c r="V28" s="231" t="str">
        <f>IFERROR(VLOOKUP(TableHandbook[[#This Row],[UDC]],TableSTRPSCHLP[],7,FALSE),"")</f>
        <v/>
      </c>
      <c r="W28" s="231" t="str">
        <f>IFERROR(VLOOKUP(TableHandbook[[#This Row],[UDC]],TableSTRPSCHUS[],7,FALSE),"")</f>
        <v/>
      </c>
      <c r="X28" s="231" t="str">
        <f>IFERROR(VLOOKUP(TableHandbook[[#This Row],[UDC]],TableSTRPSCMAT[],7,FALSE),"")</f>
        <v/>
      </c>
      <c r="Y28" s="231" t="str">
        <f>IFERROR(VLOOKUP(TableHandbook[[#This Row],[UDC]],TableSTRPSCSCI[],7,FALSE),"")</f>
        <v/>
      </c>
      <c r="Z28" s="231" t="str">
        <f>IFERROR(VLOOKUP(TableHandbook[[#This Row],[UDC]],TableSTRPSCFON[],7,FALSE),"")</f>
        <v/>
      </c>
      <c r="AA28" s="232" t="str">
        <f>IFERROR(VLOOKUP(TableHandbook[[#This Row],[UDC]],TableGCTESOL[],7,FALSE),"")</f>
        <v/>
      </c>
      <c r="AB28" s="231" t="str">
        <f>IFERROR(VLOOKUP(TableHandbook[[#This Row],[UDC]],TableMCTESOL[],7,FALSE),"")</f>
        <v/>
      </c>
      <c r="AC28" s="231" t="str">
        <f>IFERROR(VLOOKUP(TableHandbook[[#This Row],[UDC]],TableMCAPLING[],7,FALSE),"")</f>
        <v/>
      </c>
      <c r="AD28" s="232" t="str">
        <f>IFERROR(VLOOKUP(TableHandbook[[#This Row],[UDC]],TableGCEDHE[],7,FALSE),"")</f>
        <v/>
      </c>
      <c r="AE28" s="231" t="str">
        <f>IFERROR(VLOOKUP(TableHandbook[[#This Row],[UDC]],TableGCEDUC[],7,FALSE),"")</f>
        <v/>
      </c>
      <c r="AF28" s="231" t="str">
        <f>IFERROR(VLOOKUP(TableHandbook[[#This Row],[UDC]],TableGDEDUC[],7,FALSE),"")</f>
        <v/>
      </c>
      <c r="AG28" s="231" t="str">
        <f>IFERROR(VLOOKUP(TableHandbook[[#This Row],[UDC]],TableMJRPEDUPR[],7,FALSE),"")</f>
        <v/>
      </c>
      <c r="AH28" s="231" t="str">
        <f>IFERROR(VLOOKUP(TableHandbook[[#This Row],[UDC]],TableMJRPEDUSC[],7,FALSE),"")</f>
        <v/>
      </c>
      <c r="AI28" s="232" t="str">
        <f>IFERROR(VLOOKUP(TableHandbook[[#This Row],[UDC]],TableMCEDUC[],7,FALSE),"")</f>
        <v/>
      </c>
      <c r="AJ28" s="231" t="str">
        <f>IFERROR(VLOOKUP(TableHandbook[[#This Row],[UDC]],TableSPPECULIN[],7,FALSE),"")</f>
        <v/>
      </c>
      <c r="AK28" s="231" t="str">
        <f>IFERROR(VLOOKUP(TableHandbook[[#This Row],[UDC]],TableSPPELNTCH[],7,FALSE),"")</f>
        <v/>
      </c>
      <c r="AL28" s="231" t="str">
        <f>IFERROR(VLOOKUP(TableHandbook[[#This Row],[UDC]],TableSPPESTEME[],7,FALSE),"")</f>
        <v/>
      </c>
    </row>
    <row r="29" spans="1:38" x14ac:dyDescent="0.25">
      <c r="A29" s="2" t="s">
        <v>185</v>
      </c>
      <c r="B29" s="3">
        <v>1</v>
      </c>
      <c r="C29" s="3"/>
      <c r="D29" s="2" t="s">
        <v>371</v>
      </c>
      <c r="E29" s="3">
        <v>25</v>
      </c>
      <c r="F29" s="54" t="s">
        <v>348</v>
      </c>
      <c r="G29" s="55" t="str">
        <f>IFERROR(IF(VLOOKUP(TableHandbook[[#This Row],[UDC]],TableAvailabilities[],2,FALSE)&gt;0,"Y",""),"")</f>
        <v>Y</v>
      </c>
      <c r="H29" s="55" t="str">
        <f>IFERROR(IF(VLOOKUP(TableHandbook[[#This Row],[UDC]],TableAvailabilities[],3,FALSE)&gt;0,"Y",""),"")</f>
        <v>Y</v>
      </c>
      <c r="I29" s="55" t="str">
        <f>IFERROR(IF(VLOOKUP(TableHandbook[[#This Row],[UDC]],TableAvailabilities[],4,FALSE)&gt;0,"Y",""),"")</f>
        <v/>
      </c>
      <c r="J29" s="55" t="str">
        <f>IFERROR(IF(VLOOKUP(TableHandbook[[#This Row],[UDC]],TableAvailabilities[],5,FALSE)&gt;0,"Y",""),"")</f>
        <v/>
      </c>
      <c r="K29" s="55" t="str">
        <f>IFERROR(IF(VLOOKUP(TableHandbook[[#This Row],[UDC]],TableAvailabilities[],6,FALSE)&gt;0,"Y",""),"")</f>
        <v>Y</v>
      </c>
      <c r="L29" s="55" t="str">
        <f>IFERROR(IF(VLOOKUP(TableHandbook[[#This Row],[UDC]],TableAvailabilities[],7,FALSE)&gt;0,"Y",""),"")</f>
        <v>Y</v>
      </c>
      <c r="M29" s="55" t="str">
        <f>IFERROR(IF(VLOOKUP(TableHandbook[[#This Row],[UDC]],TableAvailabilities[],8,FALSE)&gt;0,"Y",""),"")</f>
        <v/>
      </c>
      <c r="N29" s="55" t="str">
        <f>IFERROR(IF(VLOOKUP(TableHandbook[[#This Row],[UDC]],TableAvailabilities[],9,FALSE)&gt;0,"Y",""),"")</f>
        <v/>
      </c>
      <c r="O29" s="230"/>
      <c r="P29" s="232" t="str">
        <f>IFERROR(VLOOKUP(TableHandbook[[#This Row],[UDC]],TableMCTEACH[],7,FALSE),"")</f>
        <v/>
      </c>
      <c r="Q29" s="231" t="str">
        <f>IFERROR(VLOOKUP(TableHandbook[[#This Row],[UDC]],TableMJRPTCHEC[],7,FALSE),"")</f>
        <v/>
      </c>
      <c r="R29" s="231" t="str">
        <f>IFERROR(VLOOKUP(TableHandbook[[#This Row],[UDC]],TableMJRPTCHPR[],7,FALSE),"")</f>
        <v/>
      </c>
      <c r="S29" s="231" t="str">
        <f>IFERROR(VLOOKUP(TableHandbook[[#This Row],[UDC]],TableMJRPTCHSC[],7,FALSE),"")</f>
        <v>Core</v>
      </c>
      <c r="T29" s="231" t="str">
        <f>IFERROR(VLOOKUP(TableHandbook[[#This Row],[UDC]],TableSTRPSCART[],7,FALSE),"")</f>
        <v/>
      </c>
      <c r="U29" s="231" t="str">
        <f>IFERROR(VLOOKUP(TableHandbook[[#This Row],[UDC]],TableSTRPSCENG[],7,FALSE),"")</f>
        <v/>
      </c>
      <c r="V29" s="231" t="str">
        <f>IFERROR(VLOOKUP(TableHandbook[[#This Row],[UDC]],TableSTRPSCHLP[],7,FALSE),"")</f>
        <v/>
      </c>
      <c r="W29" s="231" t="str">
        <f>IFERROR(VLOOKUP(TableHandbook[[#This Row],[UDC]],TableSTRPSCHUS[],7,FALSE),"")</f>
        <v/>
      </c>
      <c r="X29" s="231" t="str">
        <f>IFERROR(VLOOKUP(TableHandbook[[#This Row],[UDC]],TableSTRPSCMAT[],7,FALSE),"")</f>
        <v/>
      </c>
      <c r="Y29" s="231" t="str">
        <f>IFERROR(VLOOKUP(TableHandbook[[#This Row],[UDC]],TableSTRPSCSCI[],7,FALSE),"")</f>
        <v/>
      </c>
      <c r="Z29" s="231" t="str">
        <f>IFERROR(VLOOKUP(TableHandbook[[#This Row],[UDC]],TableSTRPSCFON[],7,FALSE),"")</f>
        <v/>
      </c>
      <c r="AA29" s="232" t="str">
        <f>IFERROR(VLOOKUP(TableHandbook[[#This Row],[UDC]],TableGCTESOL[],7,FALSE),"")</f>
        <v/>
      </c>
      <c r="AB29" s="231" t="str">
        <f>IFERROR(VLOOKUP(TableHandbook[[#This Row],[UDC]],TableMCTESOL[],7,FALSE),"")</f>
        <v>Core</v>
      </c>
      <c r="AC29" s="231" t="str">
        <f>IFERROR(VLOOKUP(TableHandbook[[#This Row],[UDC]],TableMCAPLING[],7,FALSE),"")</f>
        <v/>
      </c>
      <c r="AD29" s="232" t="str">
        <f>IFERROR(VLOOKUP(TableHandbook[[#This Row],[UDC]],TableGCEDHE[],7,FALSE),"")</f>
        <v/>
      </c>
      <c r="AE29" s="231" t="str">
        <f>IFERROR(VLOOKUP(TableHandbook[[#This Row],[UDC]],TableGCEDUC[],7,FALSE),"")</f>
        <v>Option</v>
      </c>
      <c r="AF29" s="231" t="str">
        <f>IFERROR(VLOOKUP(TableHandbook[[#This Row],[UDC]],TableGDEDUC[],7,FALSE),"")</f>
        <v/>
      </c>
      <c r="AG29" s="231" t="str">
        <f>IFERROR(VLOOKUP(TableHandbook[[#This Row],[UDC]],TableMJRPEDUPR[],7,FALSE),"")</f>
        <v/>
      </c>
      <c r="AH29" s="231" t="str">
        <f>IFERROR(VLOOKUP(TableHandbook[[#This Row],[UDC]],TableMJRPEDUSC[],7,FALSE),"")</f>
        <v/>
      </c>
      <c r="AI29" s="232" t="str">
        <f>IFERROR(VLOOKUP(TableHandbook[[#This Row],[UDC]],TableMCEDUC[],7,FALSE),"")</f>
        <v/>
      </c>
      <c r="AJ29" s="231" t="str">
        <f>IFERROR(VLOOKUP(TableHandbook[[#This Row],[UDC]],TableSPPECULIN[],7,FALSE),"")</f>
        <v/>
      </c>
      <c r="AK29" s="231" t="str">
        <f>IFERROR(VLOOKUP(TableHandbook[[#This Row],[UDC]],TableSPPELNTCH[],7,FALSE),"")</f>
        <v/>
      </c>
      <c r="AL29" s="231" t="str">
        <f>IFERROR(VLOOKUP(TableHandbook[[#This Row],[UDC]],TableSPPESTEME[],7,FALSE),"")</f>
        <v/>
      </c>
    </row>
    <row r="30" spans="1:38" x14ac:dyDescent="0.25">
      <c r="A30" s="2" t="s">
        <v>301</v>
      </c>
      <c r="B30" s="3">
        <v>2</v>
      </c>
      <c r="C30" s="3"/>
      <c r="D30" s="2" t="s">
        <v>372</v>
      </c>
      <c r="E30" s="3">
        <v>25</v>
      </c>
      <c r="F30" s="54" t="s">
        <v>348</v>
      </c>
      <c r="G30" s="55" t="str">
        <f>IFERROR(IF(VLOOKUP(TableHandbook[[#This Row],[UDC]],TableAvailabilities[],2,FALSE)&gt;0,"Y",""),"")</f>
        <v/>
      </c>
      <c r="H30" s="55" t="str">
        <f>IFERROR(IF(VLOOKUP(TableHandbook[[#This Row],[UDC]],TableAvailabilities[],3,FALSE)&gt;0,"Y",""),"")</f>
        <v/>
      </c>
      <c r="I30" s="55" t="str">
        <f>IFERROR(IF(VLOOKUP(TableHandbook[[#This Row],[UDC]],TableAvailabilities[],4,FALSE)&gt;0,"Y",""),"")</f>
        <v>Y</v>
      </c>
      <c r="J30" s="55" t="str">
        <f>IFERROR(IF(VLOOKUP(TableHandbook[[#This Row],[UDC]],TableAvailabilities[],5,FALSE)&gt;0,"Y",""),"")</f>
        <v>Y</v>
      </c>
      <c r="K30" s="55" t="str">
        <f>IFERROR(IF(VLOOKUP(TableHandbook[[#This Row],[UDC]],TableAvailabilities[],6,FALSE)&gt;0,"Y",""),"")</f>
        <v/>
      </c>
      <c r="L30" s="55" t="str">
        <f>IFERROR(IF(VLOOKUP(TableHandbook[[#This Row],[UDC]],TableAvailabilities[],7,FALSE)&gt;0,"Y",""),"")</f>
        <v/>
      </c>
      <c r="M30" s="55" t="str">
        <f>IFERROR(IF(VLOOKUP(TableHandbook[[#This Row],[UDC]],TableAvailabilities[],8,FALSE)&gt;0,"Y",""),"")</f>
        <v>Y</v>
      </c>
      <c r="N30" s="55" t="str">
        <f>IFERROR(IF(VLOOKUP(TableHandbook[[#This Row],[UDC]],TableAvailabilities[],9,FALSE)&gt;0,"Y",""),"")</f>
        <v>Y</v>
      </c>
      <c r="O30" s="230"/>
      <c r="P30" s="232" t="str">
        <f>IFERROR(VLOOKUP(TableHandbook[[#This Row],[UDC]],TableMCTEACH[],7,FALSE),"")</f>
        <v/>
      </c>
      <c r="Q30" s="231" t="str">
        <f>IFERROR(VLOOKUP(TableHandbook[[#This Row],[UDC]],TableMJRPTCHEC[],7,FALSE),"")</f>
        <v/>
      </c>
      <c r="R30" s="231" t="str">
        <f>IFERROR(VLOOKUP(TableHandbook[[#This Row],[UDC]],TableMJRPTCHPR[],7,FALSE),"")</f>
        <v/>
      </c>
      <c r="S30" s="231" t="str">
        <f>IFERROR(VLOOKUP(TableHandbook[[#This Row],[UDC]],TableMJRPTCHSC[],7,FALSE),"")</f>
        <v/>
      </c>
      <c r="T30" s="231" t="str">
        <f>IFERROR(VLOOKUP(TableHandbook[[#This Row],[UDC]],TableSTRPSCART[],7,FALSE),"")</f>
        <v>Core</v>
      </c>
      <c r="U30" s="231" t="str">
        <f>IFERROR(VLOOKUP(TableHandbook[[#This Row],[UDC]],TableSTRPSCENG[],7,FALSE),"")</f>
        <v/>
      </c>
      <c r="V30" s="231" t="str">
        <f>IFERROR(VLOOKUP(TableHandbook[[#This Row],[UDC]],TableSTRPSCHLP[],7,FALSE),"")</f>
        <v/>
      </c>
      <c r="W30" s="231" t="str">
        <f>IFERROR(VLOOKUP(TableHandbook[[#This Row],[UDC]],TableSTRPSCHUS[],7,FALSE),"")</f>
        <v/>
      </c>
      <c r="X30" s="231" t="str">
        <f>IFERROR(VLOOKUP(TableHandbook[[#This Row],[UDC]],TableSTRPSCMAT[],7,FALSE),"")</f>
        <v/>
      </c>
      <c r="Y30" s="231" t="str">
        <f>IFERROR(VLOOKUP(TableHandbook[[#This Row],[UDC]],TableSTRPSCSCI[],7,FALSE),"")</f>
        <v/>
      </c>
      <c r="Z30" s="231" t="str">
        <f>IFERROR(VLOOKUP(TableHandbook[[#This Row],[UDC]],TableSTRPSCFON[],7,FALSE),"")</f>
        <v/>
      </c>
      <c r="AA30" s="232" t="str">
        <f>IFERROR(VLOOKUP(TableHandbook[[#This Row],[UDC]],TableGCTESOL[],7,FALSE),"")</f>
        <v/>
      </c>
      <c r="AB30" s="231" t="str">
        <f>IFERROR(VLOOKUP(TableHandbook[[#This Row],[UDC]],TableMCTESOL[],7,FALSE),"")</f>
        <v/>
      </c>
      <c r="AC30" s="231" t="str">
        <f>IFERROR(VLOOKUP(TableHandbook[[#This Row],[UDC]],TableMCAPLING[],7,FALSE),"")</f>
        <v/>
      </c>
      <c r="AD30" s="232" t="str">
        <f>IFERROR(VLOOKUP(TableHandbook[[#This Row],[UDC]],TableGCEDHE[],7,FALSE),"")</f>
        <v/>
      </c>
      <c r="AE30" s="231" t="str">
        <f>IFERROR(VLOOKUP(TableHandbook[[#This Row],[UDC]],TableGCEDUC[],7,FALSE),"")</f>
        <v/>
      </c>
      <c r="AF30" s="231" t="str">
        <f>IFERROR(VLOOKUP(TableHandbook[[#This Row],[UDC]],TableGDEDUC[],7,FALSE),"")</f>
        <v/>
      </c>
      <c r="AG30" s="231" t="str">
        <f>IFERROR(VLOOKUP(TableHandbook[[#This Row],[UDC]],TableMJRPEDUPR[],7,FALSE),"")</f>
        <v/>
      </c>
      <c r="AH30" s="231" t="str">
        <f>IFERROR(VLOOKUP(TableHandbook[[#This Row],[UDC]],TableMJRPEDUSC[],7,FALSE),"")</f>
        <v/>
      </c>
      <c r="AI30" s="232" t="str">
        <f>IFERROR(VLOOKUP(TableHandbook[[#This Row],[UDC]],TableMCEDUC[],7,FALSE),"")</f>
        <v/>
      </c>
      <c r="AJ30" s="231" t="str">
        <f>IFERROR(VLOOKUP(TableHandbook[[#This Row],[UDC]],TableSPPECULIN[],7,FALSE),"")</f>
        <v/>
      </c>
      <c r="AK30" s="231" t="str">
        <f>IFERROR(VLOOKUP(TableHandbook[[#This Row],[UDC]],TableSPPELNTCH[],7,FALSE),"")</f>
        <v/>
      </c>
      <c r="AL30" s="231" t="str">
        <f>IFERROR(VLOOKUP(TableHandbook[[#This Row],[UDC]],TableSPPESTEME[],7,FALSE),"")</f>
        <v/>
      </c>
    </row>
    <row r="31" spans="1:38" x14ac:dyDescent="0.25">
      <c r="A31" s="2" t="s">
        <v>302</v>
      </c>
      <c r="B31" s="3">
        <v>1</v>
      </c>
      <c r="C31" s="3"/>
      <c r="D31" s="2" t="s">
        <v>373</v>
      </c>
      <c r="E31" s="3">
        <v>25</v>
      </c>
      <c r="F31" s="54" t="s">
        <v>348</v>
      </c>
      <c r="G31" s="55" t="str">
        <f>IFERROR(IF(VLOOKUP(TableHandbook[[#This Row],[UDC]],TableAvailabilities[],2,FALSE)&gt;0,"Y",""),"")</f>
        <v/>
      </c>
      <c r="H31" s="55" t="str">
        <f>IFERROR(IF(VLOOKUP(TableHandbook[[#This Row],[UDC]],TableAvailabilities[],3,FALSE)&gt;0,"Y",""),"")</f>
        <v/>
      </c>
      <c r="I31" s="55" t="str">
        <f>IFERROR(IF(VLOOKUP(TableHandbook[[#This Row],[UDC]],TableAvailabilities[],4,FALSE)&gt;0,"Y",""),"")</f>
        <v>Y</v>
      </c>
      <c r="J31" s="55" t="str">
        <f>IFERROR(IF(VLOOKUP(TableHandbook[[#This Row],[UDC]],TableAvailabilities[],5,FALSE)&gt;0,"Y",""),"")</f>
        <v>Y</v>
      </c>
      <c r="K31" s="55" t="str">
        <f>IFERROR(IF(VLOOKUP(TableHandbook[[#This Row],[UDC]],TableAvailabilities[],6,FALSE)&gt;0,"Y",""),"")</f>
        <v/>
      </c>
      <c r="L31" s="55" t="str">
        <f>IFERROR(IF(VLOOKUP(TableHandbook[[#This Row],[UDC]],TableAvailabilities[],7,FALSE)&gt;0,"Y",""),"")</f>
        <v/>
      </c>
      <c r="M31" s="55" t="str">
        <f>IFERROR(IF(VLOOKUP(TableHandbook[[#This Row],[UDC]],TableAvailabilities[],8,FALSE)&gt;0,"Y",""),"")</f>
        <v>Y</v>
      </c>
      <c r="N31" s="55" t="str">
        <f>IFERROR(IF(VLOOKUP(TableHandbook[[#This Row],[UDC]],TableAvailabilities[],9,FALSE)&gt;0,"Y",""),"")</f>
        <v>Y</v>
      </c>
      <c r="O31" s="230"/>
      <c r="P31" s="232" t="str">
        <f>IFERROR(VLOOKUP(TableHandbook[[#This Row],[UDC]],TableMCTEACH[],7,FALSE),"")</f>
        <v/>
      </c>
      <c r="Q31" s="231" t="str">
        <f>IFERROR(VLOOKUP(TableHandbook[[#This Row],[UDC]],TableMJRPTCHEC[],7,FALSE),"")</f>
        <v/>
      </c>
      <c r="R31" s="231" t="str">
        <f>IFERROR(VLOOKUP(TableHandbook[[#This Row],[UDC]],TableMJRPTCHPR[],7,FALSE),"")</f>
        <v/>
      </c>
      <c r="S31" s="231" t="str">
        <f>IFERROR(VLOOKUP(TableHandbook[[#This Row],[UDC]],TableMJRPTCHSC[],7,FALSE),"")</f>
        <v/>
      </c>
      <c r="T31" s="231" t="str">
        <f>IFERROR(VLOOKUP(TableHandbook[[#This Row],[UDC]],TableSTRPSCART[],7,FALSE),"")</f>
        <v/>
      </c>
      <c r="U31" s="231" t="str">
        <f>IFERROR(VLOOKUP(TableHandbook[[#This Row],[UDC]],TableSTRPSCENG[],7,FALSE),"")</f>
        <v>Core</v>
      </c>
      <c r="V31" s="231" t="str">
        <f>IFERROR(VLOOKUP(TableHandbook[[#This Row],[UDC]],TableSTRPSCHLP[],7,FALSE),"")</f>
        <v/>
      </c>
      <c r="W31" s="231" t="str">
        <f>IFERROR(VLOOKUP(TableHandbook[[#This Row],[UDC]],TableSTRPSCHUS[],7,FALSE),"")</f>
        <v/>
      </c>
      <c r="X31" s="231" t="str">
        <f>IFERROR(VLOOKUP(TableHandbook[[#This Row],[UDC]],TableSTRPSCMAT[],7,FALSE),"")</f>
        <v/>
      </c>
      <c r="Y31" s="231" t="str">
        <f>IFERROR(VLOOKUP(TableHandbook[[#This Row],[UDC]],TableSTRPSCSCI[],7,FALSE),"")</f>
        <v/>
      </c>
      <c r="Z31" s="231" t="str">
        <f>IFERROR(VLOOKUP(TableHandbook[[#This Row],[UDC]],TableSTRPSCFON[],7,FALSE),"")</f>
        <v/>
      </c>
      <c r="AA31" s="232" t="str">
        <f>IFERROR(VLOOKUP(TableHandbook[[#This Row],[UDC]],TableGCTESOL[],7,FALSE),"")</f>
        <v/>
      </c>
      <c r="AB31" s="231" t="str">
        <f>IFERROR(VLOOKUP(TableHandbook[[#This Row],[UDC]],TableMCTESOL[],7,FALSE),"")</f>
        <v/>
      </c>
      <c r="AC31" s="231" t="str">
        <f>IFERROR(VLOOKUP(TableHandbook[[#This Row],[UDC]],TableMCAPLING[],7,FALSE),"")</f>
        <v/>
      </c>
      <c r="AD31" s="232" t="str">
        <f>IFERROR(VLOOKUP(TableHandbook[[#This Row],[UDC]],TableGCEDHE[],7,FALSE),"")</f>
        <v/>
      </c>
      <c r="AE31" s="231" t="str">
        <f>IFERROR(VLOOKUP(TableHandbook[[#This Row],[UDC]],TableGCEDUC[],7,FALSE),"")</f>
        <v/>
      </c>
      <c r="AF31" s="231" t="str">
        <f>IFERROR(VLOOKUP(TableHandbook[[#This Row],[UDC]],TableGDEDUC[],7,FALSE),"")</f>
        <v/>
      </c>
      <c r="AG31" s="231" t="str">
        <f>IFERROR(VLOOKUP(TableHandbook[[#This Row],[UDC]],TableMJRPEDUPR[],7,FALSE),"")</f>
        <v/>
      </c>
      <c r="AH31" s="231" t="str">
        <f>IFERROR(VLOOKUP(TableHandbook[[#This Row],[UDC]],TableMJRPEDUSC[],7,FALSE),"")</f>
        <v/>
      </c>
      <c r="AI31" s="232" t="str">
        <f>IFERROR(VLOOKUP(TableHandbook[[#This Row],[UDC]],TableMCEDUC[],7,FALSE),"")</f>
        <v/>
      </c>
      <c r="AJ31" s="231" t="str">
        <f>IFERROR(VLOOKUP(TableHandbook[[#This Row],[UDC]],TableSPPECULIN[],7,FALSE),"")</f>
        <v/>
      </c>
      <c r="AK31" s="231" t="str">
        <f>IFERROR(VLOOKUP(TableHandbook[[#This Row],[UDC]],TableSPPELNTCH[],7,FALSE),"")</f>
        <v/>
      </c>
      <c r="AL31" s="231" t="str">
        <f>IFERROR(VLOOKUP(TableHandbook[[#This Row],[UDC]],TableSPPESTEME[],7,FALSE),"")</f>
        <v/>
      </c>
    </row>
    <row r="32" spans="1:38" x14ac:dyDescent="0.25">
      <c r="A32" s="2" t="s">
        <v>304</v>
      </c>
      <c r="B32" s="3">
        <v>1</v>
      </c>
      <c r="C32" s="3"/>
      <c r="D32" s="2" t="s">
        <v>374</v>
      </c>
      <c r="E32" s="3">
        <v>25</v>
      </c>
      <c r="F32" s="54" t="s">
        <v>348</v>
      </c>
      <c r="G32" s="55" t="str">
        <f>IFERROR(IF(VLOOKUP(TableHandbook[[#This Row],[UDC]],TableAvailabilities[],2,FALSE)&gt;0,"Y",""),"")</f>
        <v/>
      </c>
      <c r="H32" s="55" t="str">
        <f>IFERROR(IF(VLOOKUP(TableHandbook[[#This Row],[UDC]],TableAvailabilities[],3,FALSE)&gt;0,"Y",""),"")</f>
        <v/>
      </c>
      <c r="I32" s="55" t="str">
        <f>IFERROR(IF(VLOOKUP(TableHandbook[[#This Row],[UDC]],TableAvailabilities[],4,FALSE)&gt;0,"Y",""),"")</f>
        <v>Y</v>
      </c>
      <c r="J32" s="55" t="str">
        <f>IFERROR(IF(VLOOKUP(TableHandbook[[#This Row],[UDC]],TableAvailabilities[],5,FALSE)&gt;0,"Y",""),"")</f>
        <v>Y</v>
      </c>
      <c r="K32" s="55" t="str">
        <f>IFERROR(IF(VLOOKUP(TableHandbook[[#This Row],[UDC]],TableAvailabilities[],6,FALSE)&gt;0,"Y",""),"")</f>
        <v/>
      </c>
      <c r="L32" s="55" t="str">
        <f>IFERROR(IF(VLOOKUP(TableHandbook[[#This Row],[UDC]],TableAvailabilities[],7,FALSE)&gt;0,"Y",""),"")</f>
        <v/>
      </c>
      <c r="M32" s="55" t="str">
        <f>IFERROR(IF(VLOOKUP(TableHandbook[[#This Row],[UDC]],TableAvailabilities[],8,FALSE)&gt;0,"Y",""),"")</f>
        <v>Y</v>
      </c>
      <c r="N32" s="55" t="str">
        <f>IFERROR(IF(VLOOKUP(TableHandbook[[#This Row],[UDC]],TableAvailabilities[],9,FALSE)&gt;0,"Y",""),"")</f>
        <v>Y</v>
      </c>
      <c r="O32" s="230"/>
      <c r="P32" s="232" t="str">
        <f>IFERROR(VLOOKUP(TableHandbook[[#This Row],[UDC]],TableMCTEACH[],7,FALSE),"")</f>
        <v/>
      </c>
      <c r="Q32" s="231" t="str">
        <f>IFERROR(VLOOKUP(TableHandbook[[#This Row],[UDC]],TableMJRPTCHEC[],7,FALSE),"")</f>
        <v/>
      </c>
      <c r="R32" s="231" t="str">
        <f>IFERROR(VLOOKUP(TableHandbook[[#This Row],[UDC]],TableMJRPTCHPR[],7,FALSE),"")</f>
        <v/>
      </c>
      <c r="S32" s="231" t="str">
        <f>IFERROR(VLOOKUP(TableHandbook[[#This Row],[UDC]],TableMJRPTCHSC[],7,FALSE),"")</f>
        <v/>
      </c>
      <c r="T32" s="231" t="str">
        <f>IFERROR(VLOOKUP(TableHandbook[[#This Row],[UDC]],TableSTRPSCART[],7,FALSE),"")</f>
        <v/>
      </c>
      <c r="U32" s="231" t="str">
        <f>IFERROR(VLOOKUP(TableHandbook[[#This Row],[UDC]],TableSTRPSCENG[],7,FALSE),"")</f>
        <v/>
      </c>
      <c r="V32" s="231" t="str">
        <f>IFERROR(VLOOKUP(TableHandbook[[#This Row],[UDC]],TableSTRPSCHLP[],7,FALSE),"")</f>
        <v/>
      </c>
      <c r="W32" s="231" t="str">
        <f>IFERROR(VLOOKUP(TableHandbook[[#This Row],[UDC]],TableSTRPSCHUS[],7,FALSE),"")</f>
        <v>Core</v>
      </c>
      <c r="X32" s="231" t="str">
        <f>IFERROR(VLOOKUP(TableHandbook[[#This Row],[UDC]],TableSTRPSCMAT[],7,FALSE),"")</f>
        <v/>
      </c>
      <c r="Y32" s="231" t="str">
        <f>IFERROR(VLOOKUP(TableHandbook[[#This Row],[UDC]],TableSTRPSCSCI[],7,FALSE),"")</f>
        <v/>
      </c>
      <c r="Z32" s="231" t="str">
        <f>IFERROR(VLOOKUP(TableHandbook[[#This Row],[UDC]],TableSTRPSCFON[],7,FALSE),"")</f>
        <v/>
      </c>
      <c r="AA32" s="232" t="str">
        <f>IFERROR(VLOOKUP(TableHandbook[[#This Row],[UDC]],TableGCTESOL[],7,FALSE),"")</f>
        <v/>
      </c>
      <c r="AB32" s="231" t="str">
        <f>IFERROR(VLOOKUP(TableHandbook[[#This Row],[UDC]],TableMCTESOL[],7,FALSE),"")</f>
        <v/>
      </c>
      <c r="AC32" s="231" t="str">
        <f>IFERROR(VLOOKUP(TableHandbook[[#This Row],[UDC]],TableMCAPLING[],7,FALSE),"")</f>
        <v/>
      </c>
      <c r="AD32" s="232" t="str">
        <f>IFERROR(VLOOKUP(TableHandbook[[#This Row],[UDC]],TableGCEDHE[],7,FALSE),"")</f>
        <v/>
      </c>
      <c r="AE32" s="231" t="str">
        <f>IFERROR(VLOOKUP(TableHandbook[[#This Row],[UDC]],TableGCEDUC[],7,FALSE),"")</f>
        <v/>
      </c>
      <c r="AF32" s="231" t="str">
        <f>IFERROR(VLOOKUP(TableHandbook[[#This Row],[UDC]],TableGDEDUC[],7,FALSE),"")</f>
        <v/>
      </c>
      <c r="AG32" s="231" t="str">
        <f>IFERROR(VLOOKUP(TableHandbook[[#This Row],[UDC]],TableMJRPEDUPR[],7,FALSE),"")</f>
        <v/>
      </c>
      <c r="AH32" s="231" t="str">
        <f>IFERROR(VLOOKUP(TableHandbook[[#This Row],[UDC]],TableMJRPEDUSC[],7,FALSE),"")</f>
        <v/>
      </c>
      <c r="AI32" s="232" t="str">
        <f>IFERROR(VLOOKUP(TableHandbook[[#This Row],[UDC]],TableMCEDUC[],7,FALSE),"")</f>
        <v/>
      </c>
      <c r="AJ32" s="231" t="str">
        <f>IFERROR(VLOOKUP(TableHandbook[[#This Row],[UDC]],TableSPPECULIN[],7,FALSE),"")</f>
        <v/>
      </c>
      <c r="AK32" s="231" t="str">
        <f>IFERROR(VLOOKUP(TableHandbook[[#This Row],[UDC]],TableSPPELNTCH[],7,FALSE),"")</f>
        <v/>
      </c>
      <c r="AL32" s="231" t="str">
        <f>IFERROR(VLOOKUP(TableHandbook[[#This Row],[UDC]],TableSPPESTEME[],7,FALSE),"")</f>
        <v/>
      </c>
    </row>
    <row r="33" spans="1:38" x14ac:dyDescent="0.25">
      <c r="A33" s="2" t="s">
        <v>305</v>
      </c>
      <c r="B33" s="3">
        <v>1</v>
      </c>
      <c r="C33" s="3"/>
      <c r="D33" s="2" t="s">
        <v>375</v>
      </c>
      <c r="E33" s="3">
        <v>25</v>
      </c>
      <c r="F33" s="54" t="s">
        <v>348</v>
      </c>
      <c r="G33" s="55" t="str">
        <f>IFERROR(IF(VLOOKUP(TableHandbook[[#This Row],[UDC]],TableAvailabilities[],2,FALSE)&gt;0,"Y",""),"")</f>
        <v/>
      </c>
      <c r="H33" s="55" t="str">
        <f>IFERROR(IF(VLOOKUP(TableHandbook[[#This Row],[UDC]],TableAvailabilities[],3,FALSE)&gt;0,"Y",""),"")</f>
        <v/>
      </c>
      <c r="I33" s="55" t="str">
        <f>IFERROR(IF(VLOOKUP(TableHandbook[[#This Row],[UDC]],TableAvailabilities[],4,FALSE)&gt;0,"Y",""),"")</f>
        <v>Y</v>
      </c>
      <c r="J33" s="55" t="str">
        <f>IFERROR(IF(VLOOKUP(TableHandbook[[#This Row],[UDC]],TableAvailabilities[],5,FALSE)&gt;0,"Y",""),"")</f>
        <v>Y</v>
      </c>
      <c r="K33" s="55" t="str">
        <f>IFERROR(IF(VLOOKUP(TableHandbook[[#This Row],[UDC]],TableAvailabilities[],6,FALSE)&gt;0,"Y",""),"")</f>
        <v/>
      </c>
      <c r="L33" s="55" t="str">
        <f>IFERROR(IF(VLOOKUP(TableHandbook[[#This Row],[UDC]],TableAvailabilities[],7,FALSE)&gt;0,"Y",""),"")</f>
        <v/>
      </c>
      <c r="M33" s="55" t="str">
        <f>IFERROR(IF(VLOOKUP(TableHandbook[[#This Row],[UDC]],TableAvailabilities[],8,FALSE)&gt;0,"Y",""),"")</f>
        <v>Y</v>
      </c>
      <c r="N33" s="55" t="str">
        <f>IFERROR(IF(VLOOKUP(TableHandbook[[#This Row],[UDC]],TableAvailabilities[],9,FALSE)&gt;0,"Y",""),"")</f>
        <v>Y</v>
      </c>
      <c r="O33" s="230"/>
      <c r="P33" s="232" t="str">
        <f>IFERROR(VLOOKUP(TableHandbook[[#This Row],[UDC]],TableMCTEACH[],7,FALSE),"")</f>
        <v/>
      </c>
      <c r="Q33" s="231" t="str">
        <f>IFERROR(VLOOKUP(TableHandbook[[#This Row],[UDC]],TableMJRPTCHEC[],7,FALSE),"")</f>
        <v/>
      </c>
      <c r="R33" s="231" t="str">
        <f>IFERROR(VLOOKUP(TableHandbook[[#This Row],[UDC]],TableMJRPTCHPR[],7,FALSE),"")</f>
        <v/>
      </c>
      <c r="S33" s="231" t="str">
        <f>IFERROR(VLOOKUP(TableHandbook[[#This Row],[UDC]],TableMJRPTCHSC[],7,FALSE),"")</f>
        <v/>
      </c>
      <c r="T33" s="231" t="str">
        <f>IFERROR(VLOOKUP(TableHandbook[[#This Row],[UDC]],TableSTRPSCART[],7,FALSE),"")</f>
        <v/>
      </c>
      <c r="U33" s="231" t="str">
        <f>IFERROR(VLOOKUP(TableHandbook[[#This Row],[UDC]],TableSTRPSCENG[],7,FALSE),"")</f>
        <v/>
      </c>
      <c r="V33" s="231" t="str">
        <f>IFERROR(VLOOKUP(TableHandbook[[#This Row],[UDC]],TableSTRPSCHLP[],7,FALSE),"")</f>
        <v/>
      </c>
      <c r="W33" s="231" t="str">
        <f>IFERROR(VLOOKUP(TableHandbook[[#This Row],[UDC]],TableSTRPSCHUS[],7,FALSE),"")</f>
        <v/>
      </c>
      <c r="X33" s="231" t="str">
        <f>IFERROR(VLOOKUP(TableHandbook[[#This Row],[UDC]],TableSTRPSCMAT[],7,FALSE),"")</f>
        <v>Core</v>
      </c>
      <c r="Y33" s="231" t="str">
        <f>IFERROR(VLOOKUP(TableHandbook[[#This Row],[UDC]],TableSTRPSCSCI[],7,FALSE),"")</f>
        <v/>
      </c>
      <c r="Z33" s="231" t="str">
        <f>IFERROR(VLOOKUP(TableHandbook[[#This Row],[UDC]],TableSTRPSCFON[],7,FALSE),"")</f>
        <v/>
      </c>
      <c r="AA33" s="232" t="str">
        <f>IFERROR(VLOOKUP(TableHandbook[[#This Row],[UDC]],TableGCTESOL[],7,FALSE),"")</f>
        <v/>
      </c>
      <c r="AB33" s="231" t="str">
        <f>IFERROR(VLOOKUP(TableHandbook[[#This Row],[UDC]],TableMCTESOL[],7,FALSE),"")</f>
        <v/>
      </c>
      <c r="AC33" s="231" t="str">
        <f>IFERROR(VLOOKUP(TableHandbook[[#This Row],[UDC]],TableMCAPLING[],7,FALSE),"")</f>
        <v/>
      </c>
      <c r="AD33" s="232" t="str">
        <f>IFERROR(VLOOKUP(TableHandbook[[#This Row],[UDC]],TableGCEDHE[],7,FALSE),"")</f>
        <v/>
      </c>
      <c r="AE33" s="231" t="str">
        <f>IFERROR(VLOOKUP(TableHandbook[[#This Row],[UDC]],TableGCEDUC[],7,FALSE),"")</f>
        <v/>
      </c>
      <c r="AF33" s="231" t="str">
        <f>IFERROR(VLOOKUP(TableHandbook[[#This Row],[UDC]],TableGDEDUC[],7,FALSE),"")</f>
        <v/>
      </c>
      <c r="AG33" s="231" t="str">
        <f>IFERROR(VLOOKUP(TableHandbook[[#This Row],[UDC]],TableMJRPEDUPR[],7,FALSE),"")</f>
        <v/>
      </c>
      <c r="AH33" s="231" t="str">
        <f>IFERROR(VLOOKUP(TableHandbook[[#This Row],[UDC]],TableMJRPEDUSC[],7,FALSE),"")</f>
        <v/>
      </c>
      <c r="AI33" s="232" t="str">
        <f>IFERROR(VLOOKUP(TableHandbook[[#This Row],[UDC]],TableMCEDUC[],7,FALSE),"")</f>
        <v/>
      </c>
      <c r="AJ33" s="231" t="str">
        <f>IFERROR(VLOOKUP(TableHandbook[[#This Row],[UDC]],TableSPPECULIN[],7,FALSE),"")</f>
        <v/>
      </c>
      <c r="AK33" s="231" t="str">
        <f>IFERROR(VLOOKUP(TableHandbook[[#This Row],[UDC]],TableSPPELNTCH[],7,FALSE),"")</f>
        <v/>
      </c>
      <c r="AL33" s="231" t="str">
        <f>IFERROR(VLOOKUP(TableHandbook[[#This Row],[UDC]],TableSPPESTEME[],7,FALSE),"")</f>
        <v/>
      </c>
    </row>
    <row r="34" spans="1:38" x14ac:dyDescent="0.25">
      <c r="A34" s="2" t="s">
        <v>306</v>
      </c>
      <c r="B34" s="3">
        <v>1</v>
      </c>
      <c r="C34" s="3"/>
      <c r="D34" s="2" t="s">
        <v>376</v>
      </c>
      <c r="E34" s="3">
        <v>25</v>
      </c>
      <c r="F34" s="54" t="s">
        <v>348</v>
      </c>
      <c r="G34" s="55" t="str">
        <f>IFERROR(IF(VLOOKUP(TableHandbook[[#This Row],[UDC]],TableAvailabilities[],2,FALSE)&gt;0,"Y",""),"")</f>
        <v/>
      </c>
      <c r="H34" s="55" t="str">
        <f>IFERROR(IF(VLOOKUP(TableHandbook[[#This Row],[UDC]],TableAvailabilities[],3,FALSE)&gt;0,"Y",""),"")</f>
        <v/>
      </c>
      <c r="I34" s="55" t="str">
        <f>IFERROR(IF(VLOOKUP(TableHandbook[[#This Row],[UDC]],TableAvailabilities[],4,FALSE)&gt;0,"Y",""),"")</f>
        <v>Y</v>
      </c>
      <c r="J34" s="55" t="str">
        <f>IFERROR(IF(VLOOKUP(TableHandbook[[#This Row],[UDC]],TableAvailabilities[],5,FALSE)&gt;0,"Y",""),"")</f>
        <v>Y</v>
      </c>
      <c r="K34" s="55" t="str">
        <f>IFERROR(IF(VLOOKUP(TableHandbook[[#This Row],[UDC]],TableAvailabilities[],6,FALSE)&gt;0,"Y",""),"")</f>
        <v/>
      </c>
      <c r="L34" s="55" t="str">
        <f>IFERROR(IF(VLOOKUP(TableHandbook[[#This Row],[UDC]],TableAvailabilities[],7,FALSE)&gt;0,"Y",""),"")</f>
        <v/>
      </c>
      <c r="M34" s="55" t="str">
        <f>IFERROR(IF(VLOOKUP(TableHandbook[[#This Row],[UDC]],TableAvailabilities[],8,FALSE)&gt;0,"Y",""),"")</f>
        <v>Y</v>
      </c>
      <c r="N34" s="55" t="str">
        <f>IFERROR(IF(VLOOKUP(TableHandbook[[#This Row],[UDC]],TableAvailabilities[],9,FALSE)&gt;0,"Y",""),"")</f>
        <v>Y</v>
      </c>
      <c r="O34" s="230"/>
      <c r="P34" s="232" t="str">
        <f>IFERROR(VLOOKUP(TableHandbook[[#This Row],[UDC]],TableMCTEACH[],7,FALSE),"")</f>
        <v/>
      </c>
      <c r="Q34" s="231" t="str">
        <f>IFERROR(VLOOKUP(TableHandbook[[#This Row],[UDC]],TableMJRPTCHEC[],7,FALSE),"")</f>
        <v/>
      </c>
      <c r="R34" s="231" t="str">
        <f>IFERROR(VLOOKUP(TableHandbook[[#This Row],[UDC]],TableMJRPTCHPR[],7,FALSE),"")</f>
        <v/>
      </c>
      <c r="S34" s="231" t="str">
        <f>IFERROR(VLOOKUP(TableHandbook[[#This Row],[UDC]],TableMJRPTCHSC[],7,FALSE),"")</f>
        <v/>
      </c>
      <c r="T34" s="231" t="str">
        <f>IFERROR(VLOOKUP(TableHandbook[[#This Row],[UDC]],TableSTRPSCART[],7,FALSE),"")</f>
        <v/>
      </c>
      <c r="U34" s="231" t="str">
        <f>IFERROR(VLOOKUP(TableHandbook[[#This Row],[UDC]],TableSTRPSCENG[],7,FALSE),"")</f>
        <v/>
      </c>
      <c r="V34" s="231" t="str">
        <f>IFERROR(VLOOKUP(TableHandbook[[#This Row],[UDC]],TableSTRPSCHLP[],7,FALSE),"")</f>
        <v/>
      </c>
      <c r="W34" s="231" t="str">
        <f>IFERROR(VLOOKUP(TableHandbook[[#This Row],[UDC]],TableSTRPSCHUS[],7,FALSE),"")</f>
        <v/>
      </c>
      <c r="X34" s="231" t="str">
        <f>IFERROR(VLOOKUP(TableHandbook[[#This Row],[UDC]],TableSTRPSCMAT[],7,FALSE),"")</f>
        <v/>
      </c>
      <c r="Y34" s="231" t="str">
        <f>IFERROR(VLOOKUP(TableHandbook[[#This Row],[UDC]],TableSTRPSCSCI[],7,FALSE),"")</f>
        <v>Core</v>
      </c>
      <c r="Z34" s="231" t="str">
        <f>IFERROR(VLOOKUP(TableHandbook[[#This Row],[UDC]],TableSTRPSCFON[],7,FALSE),"")</f>
        <v/>
      </c>
      <c r="AA34" s="232" t="str">
        <f>IFERROR(VLOOKUP(TableHandbook[[#This Row],[UDC]],TableGCTESOL[],7,FALSE),"")</f>
        <v/>
      </c>
      <c r="AB34" s="231" t="str">
        <f>IFERROR(VLOOKUP(TableHandbook[[#This Row],[UDC]],TableMCTESOL[],7,FALSE),"")</f>
        <v/>
      </c>
      <c r="AC34" s="231" t="str">
        <f>IFERROR(VLOOKUP(TableHandbook[[#This Row],[UDC]],TableMCAPLING[],7,FALSE),"")</f>
        <v/>
      </c>
      <c r="AD34" s="232" t="str">
        <f>IFERROR(VLOOKUP(TableHandbook[[#This Row],[UDC]],TableGCEDHE[],7,FALSE),"")</f>
        <v/>
      </c>
      <c r="AE34" s="231" t="str">
        <f>IFERROR(VLOOKUP(TableHandbook[[#This Row],[UDC]],TableGCEDUC[],7,FALSE),"")</f>
        <v/>
      </c>
      <c r="AF34" s="231" t="str">
        <f>IFERROR(VLOOKUP(TableHandbook[[#This Row],[UDC]],TableGDEDUC[],7,FALSE),"")</f>
        <v/>
      </c>
      <c r="AG34" s="231" t="str">
        <f>IFERROR(VLOOKUP(TableHandbook[[#This Row],[UDC]],TableMJRPEDUPR[],7,FALSE),"")</f>
        <v/>
      </c>
      <c r="AH34" s="231" t="str">
        <f>IFERROR(VLOOKUP(TableHandbook[[#This Row],[UDC]],TableMJRPEDUSC[],7,FALSE),"")</f>
        <v/>
      </c>
      <c r="AI34" s="232" t="str">
        <f>IFERROR(VLOOKUP(TableHandbook[[#This Row],[UDC]],TableMCEDUC[],7,FALSE),"")</f>
        <v/>
      </c>
      <c r="AJ34" s="231" t="str">
        <f>IFERROR(VLOOKUP(TableHandbook[[#This Row],[UDC]],TableSPPECULIN[],7,FALSE),"")</f>
        <v/>
      </c>
      <c r="AK34" s="231" t="str">
        <f>IFERROR(VLOOKUP(TableHandbook[[#This Row],[UDC]],TableSPPELNTCH[],7,FALSE),"")</f>
        <v/>
      </c>
      <c r="AL34" s="231" t="str">
        <f>IFERROR(VLOOKUP(TableHandbook[[#This Row],[UDC]],TableSPPESTEME[],7,FALSE),"")</f>
        <v/>
      </c>
    </row>
    <row r="35" spans="1:38" x14ac:dyDescent="0.25">
      <c r="A35" s="2" t="s">
        <v>278</v>
      </c>
      <c r="B35" s="3">
        <v>1</v>
      </c>
      <c r="C35" s="3"/>
      <c r="D35" s="2" t="s">
        <v>377</v>
      </c>
      <c r="E35" s="3">
        <v>25</v>
      </c>
      <c r="F35" s="54" t="s">
        <v>348</v>
      </c>
      <c r="G35" s="55" t="str">
        <f>IFERROR(IF(VLOOKUP(TableHandbook[[#This Row],[UDC]],TableAvailabilities[],2,FALSE)&gt;0,"Y",""),"")</f>
        <v>Y</v>
      </c>
      <c r="H35" s="55" t="str">
        <f>IFERROR(IF(VLOOKUP(TableHandbook[[#This Row],[UDC]],TableAvailabilities[],3,FALSE)&gt;0,"Y",""),"")</f>
        <v>Y</v>
      </c>
      <c r="I35" s="55" t="str">
        <f>IFERROR(IF(VLOOKUP(TableHandbook[[#This Row],[UDC]],TableAvailabilities[],4,FALSE)&gt;0,"Y",""),"")</f>
        <v>Y</v>
      </c>
      <c r="J35" s="55" t="str">
        <f>IFERROR(IF(VLOOKUP(TableHandbook[[#This Row],[UDC]],TableAvailabilities[],5,FALSE)&gt;0,"Y",""),"")</f>
        <v>Y</v>
      </c>
      <c r="K35" s="55" t="str">
        <f>IFERROR(IF(VLOOKUP(TableHandbook[[#This Row],[UDC]],TableAvailabilities[],6,FALSE)&gt;0,"Y",""),"")</f>
        <v/>
      </c>
      <c r="L35" s="55" t="str">
        <f>IFERROR(IF(VLOOKUP(TableHandbook[[#This Row],[UDC]],TableAvailabilities[],7,FALSE)&gt;0,"Y",""),"")</f>
        <v/>
      </c>
      <c r="M35" s="55" t="str">
        <f>IFERROR(IF(VLOOKUP(TableHandbook[[#This Row],[UDC]],TableAvailabilities[],8,FALSE)&gt;0,"Y",""),"")</f>
        <v/>
      </c>
      <c r="N35" s="55" t="str">
        <f>IFERROR(IF(VLOOKUP(TableHandbook[[#This Row],[UDC]],TableAvailabilities[],9,FALSE)&gt;0,"Y",""),"")</f>
        <v/>
      </c>
      <c r="O35" s="230"/>
      <c r="P35" s="232" t="str">
        <f>IFERROR(VLOOKUP(TableHandbook[[#This Row],[UDC]],TableMCTEACH[],7,FALSE),"")</f>
        <v/>
      </c>
      <c r="Q35" s="231" t="str">
        <f>IFERROR(VLOOKUP(TableHandbook[[#This Row],[UDC]],TableMJRPTCHEC[],7,FALSE),"")</f>
        <v/>
      </c>
      <c r="R35" s="231" t="str">
        <f>IFERROR(VLOOKUP(TableHandbook[[#This Row],[UDC]],TableMJRPTCHPR[],7,FALSE),"")</f>
        <v/>
      </c>
      <c r="S35" s="231" t="str">
        <f>IFERROR(VLOOKUP(TableHandbook[[#This Row],[UDC]],TableMJRPTCHSC[],7,FALSE),"")</f>
        <v>Core</v>
      </c>
      <c r="T35" s="231" t="str">
        <f>IFERROR(VLOOKUP(TableHandbook[[#This Row],[UDC]],TableSTRPSCART[],7,FALSE),"")</f>
        <v/>
      </c>
      <c r="U35" s="231" t="str">
        <f>IFERROR(VLOOKUP(TableHandbook[[#This Row],[UDC]],TableSTRPSCENG[],7,FALSE),"")</f>
        <v/>
      </c>
      <c r="V35" s="231" t="str">
        <f>IFERROR(VLOOKUP(TableHandbook[[#This Row],[UDC]],TableSTRPSCHLP[],7,FALSE),"")</f>
        <v/>
      </c>
      <c r="W35" s="231" t="str">
        <f>IFERROR(VLOOKUP(TableHandbook[[#This Row],[UDC]],TableSTRPSCHUS[],7,FALSE),"")</f>
        <v/>
      </c>
      <c r="X35" s="231" t="str">
        <f>IFERROR(VLOOKUP(TableHandbook[[#This Row],[UDC]],TableSTRPSCMAT[],7,FALSE),"")</f>
        <v/>
      </c>
      <c r="Y35" s="231" t="str">
        <f>IFERROR(VLOOKUP(TableHandbook[[#This Row],[UDC]],TableSTRPSCSCI[],7,FALSE),"")</f>
        <v/>
      </c>
      <c r="Z35" s="231" t="str">
        <f>IFERROR(VLOOKUP(TableHandbook[[#This Row],[UDC]],TableSTRPSCFON[],7,FALSE),"")</f>
        <v/>
      </c>
      <c r="AA35" s="232" t="str">
        <f>IFERROR(VLOOKUP(TableHandbook[[#This Row],[UDC]],TableGCTESOL[],7,FALSE),"")</f>
        <v/>
      </c>
      <c r="AB35" s="231" t="str">
        <f>IFERROR(VLOOKUP(TableHandbook[[#This Row],[UDC]],TableMCTESOL[],7,FALSE),"")</f>
        <v/>
      </c>
      <c r="AC35" s="231" t="str">
        <f>IFERROR(VLOOKUP(TableHandbook[[#This Row],[UDC]],TableMCAPLING[],7,FALSE),"")</f>
        <v/>
      </c>
      <c r="AD35" s="232" t="str">
        <f>IFERROR(VLOOKUP(TableHandbook[[#This Row],[UDC]],TableGCEDHE[],7,FALSE),"")</f>
        <v/>
      </c>
      <c r="AE35" s="231" t="str">
        <f>IFERROR(VLOOKUP(TableHandbook[[#This Row],[UDC]],TableGCEDUC[],7,FALSE),"")</f>
        <v/>
      </c>
      <c r="AF35" s="231" t="str">
        <f>IFERROR(VLOOKUP(TableHandbook[[#This Row],[UDC]],TableGDEDUC[],7,FALSE),"")</f>
        <v/>
      </c>
      <c r="AG35" s="231" t="str">
        <f>IFERROR(VLOOKUP(TableHandbook[[#This Row],[UDC]],TableMJRPEDUPR[],7,FALSE),"")</f>
        <v/>
      </c>
      <c r="AH35" s="231" t="str">
        <f>IFERROR(VLOOKUP(TableHandbook[[#This Row],[UDC]],TableMJRPEDUSC[],7,FALSE),"")</f>
        <v>Core</v>
      </c>
      <c r="AI35" s="232" t="str">
        <f>IFERROR(VLOOKUP(TableHandbook[[#This Row],[UDC]],TableMCEDUC[],7,FALSE),"")</f>
        <v/>
      </c>
      <c r="AJ35" s="231" t="str">
        <f>IFERROR(VLOOKUP(TableHandbook[[#This Row],[UDC]],TableSPPECULIN[],7,FALSE),"")</f>
        <v/>
      </c>
      <c r="AK35" s="231" t="str">
        <f>IFERROR(VLOOKUP(TableHandbook[[#This Row],[UDC]],TableSPPELNTCH[],7,FALSE),"")</f>
        <v/>
      </c>
      <c r="AL35" s="231" t="str">
        <f>IFERROR(VLOOKUP(TableHandbook[[#This Row],[UDC]],TableSPPESTEME[],7,FALSE),"")</f>
        <v/>
      </c>
    </row>
    <row r="36" spans="1:38" x14ac:dyDescent="0.25">
      <c r="A36" s="2" t="s">
        <v>283</v>
      </c>
      <c r="B36" s="3">
        <v>1</v>
      </c>
      <c r="C36" s="3"/>
      <c r="D36" s="2" t="s">
        <v>378</v>
      </c>
      <c r="E36" s="3">
        <v>25</v>
      </c>
      <c r="F36" s="268" t="s">
        <v>278</v>
      </c>
      <c r="G36" s="55" t="str">
        <f>IFERROR(IF(VLOOKUP(TableHandbook[[#This Row],[UDC]],TableAvailabilities[],2,FALSE)&gt;0,"Y",""),"")</f>
        <v/>
      </c>
      <c r="H36" s="55" t="str">
        <f>IFERROR(IF(VLOOKUP(TableHandbook[[#This Row],[UDC]],TableAvailabilities[],3,FALSE)&gt;0,"Y",""),"")</f>
        <v/>
      </c>
      <c r="I36" s="55" t="str">
        <f>IFERROR(IF(VLOOKUP(TableHandbook[[#This Row],[UDC]],TableAvailabilities[],4,FALSE)&gt;0,"Y",""),"")</f>
        <v>Y</v>
      </c>
      <c r="J36" s="55" t="str">
        <f>IFERROR(IF(VLOOKUP(TableHandbook[[#This Row],[UDC]],TableAvailabilities[],5,FALSE)&gt;0,"Y",""),"")</f>
        <v>Y</v>
      </c>
      <c r="K36" s="55" t="str">
        <f>IFERROR(IF(VLOOKUP(TableHandbook[[#This Row],[UDC]],TableAvailabilities[],6,FALSE)&gt;0,"Y",""),"")</f>
        <v>Y</v>
      </c>
      <c r="L36" s="55" t="str">
        <f>IFERROR(IF(VLOOKUP(TableHandbook[[#This Row],[UDC]],TableAvailabilities[],7,FALSE)&gt;0,"Y",""),"")</f>
        <v>Y</v>
      </c>
      <c r="M36" s="55" t="str">
        <f>IFERROR(IF(VLOOKUP(TableHandbook[[#This Row],[UDC]],TableAvailabilities[],8,FALSE)&gt;0,"Y",""),"")</f>
        <v/>
      </c>
      <c r="N36" s="55" t="str">
        <f>IFERROR(IF(VLOOKUP(TableHandbook[[#This Row],[UDC]],TableAvailabilities[],9,FALSE)&gt;0,"Y",""),"")</f>
        <v/>
      </c>
      <c r="O36" s="230"/>
      <c r="P36" s="232" t="str">
        <f>IFERROR(VLOOKUP(TableHandbook[[#This Row],[UDC]],TableMCTEACH[],7,FALSE),"")</f>
        <v/>
      </c>
      <c r="Q36" s="231" t="str">
        <f>IFERROR(VLOOKUP(TableHandbook[[#This Row],[UDC]],TableMJRPTCHEC[],7,FALSE),"")</f>
        <v/>
      </c>
      <c r="R36" s="231" t="str">
        <f>IFERROR(VLOOKUP(TableHandbook[[#This Row],[UDC]],TableMJRPTCHPR[],7,FALSE),"")</f>
        <v/>
      </c>
      <c r="S36" s="231" t="str">
        <f>IFERROR(VLOOKUP(TableHandbook[[#This Row],[UDC]],TableMJRPTCHSC[],7,FALSE),"")</f>
        <v>Core</v>
      </c>
      <c r="T36" s="231" t="str">
        <f>IFERROR(VLOOKUP(TableHandbook[[#This Row],[UDC]],TableSTRPSCART[],7,FALSE),"")</f>
        <v/>
      </c>
      <c r="U36" s="231" t="str">
        <f>IFERROR(VLOOKUP(TableHandbook[[#This Row],[UDC]],TableSTRPSCENG[],7,FALSE),"")</f>
        <v/>
      </c>
      <c r="V36" s="231" t="str">
        <f>IFERROR(VLOOKUP(TableHandbook[[#This Row],[UDC]],TableSTRPSCHLP[],7,FALSE),"")</f>
        <v/>
      </c>
      <c r="W36" s="231" t="str">
        <f>IFERROR(VLOOKUP(TableHandbook[[#This Row],[UDC]],TableSTRPSCHUS[],7,FALSE),"")</f>
        <v/>
      </c>
      <c r="X36" s="231" t="str">
        <f>IFERROR(VLOOKUP(TableHandbook[[#This Row],[UDC]],TableSTRPSCMAT[],7,FALSE),"")</f>
        <v/>
      </c>
      <c r="Y36" s="231" t="str">
        <f>IFERROR(VLOOKUP(TableHandbook[[#This Row],[UDC]],TableSTRPSCSCI[],7,FALSE),"")</f>
        <v/>
      </c>
      <c r="Z36" s="231" t="str">
        <f>IFERROR(VLOOKUP(TableHandbook[[#This Row],[UDC]],TableSTRPSCFON[],7,FALSE),"")</f>
        <v/>
      </c>
      <c r="AA36" s="232" t="str">
        <f>IFERROR(VLOOKUP(TableHandbook[[#This Row],[UDC]],TableGCTESOL[],7,FALSE),"")</f>
        <v/>
      </c>
      <c r="AB36" s="231" t="str">
        <f>IFERROR(VLOOKUP(TableHandbook[[#This Row],[UDC]],TableMCTESOL[],7,FALSE),"")</f>
        <v/>
      </c>
      <c r="AC36" s="231" t="str">
        <f>IFERROR(VLOOKUP(TableHandbook[[#This Row],[UDC]],TableMCAPLING[],7,FALSE),"")</f>
        <v/>
      </c>
      <c r="AD36" s="232" t="str">
        <f>IFERROR(VLOOKUP(TableHandbook[[#This Row],[UDC]],TableGCEDHE[],7,FALSE),"")</f>
        <v/>
      </c>
      <c r="AE36" s="231" t="str">
        <f>IFERROR(VLOOKUP(TableHandbook[[#This Row],[UDC]],TableGCEDUC[],7,FALSE),"")</f>
        <v/>
      </c>
      <c r="AF36" s="231" t="str">
        <f>IFERROR(VLOOKUP(TableHandbook[[#This Row],[UDC]],TableGDEDUC[],7,FALSE),"")</f>
        <v/>
      </c>
      <c r="AG36" s="231" t="str">
        <f>IFERROR(VLOOKUP(TableHandbook[[#This Row],[UDC]],TableMJRPEDUPR[],7,FALSE),"")</f>
        <v/>
      </c>
      <c r="AH36" s="231" t="str">
        <f>IFERROR(VLOOKUP(TableHandbook[[#This Row],[UDC]],TableMJRPEDUSC[],7,FALSE),"")</f>
        <v>Core</v>
      </c>
      <c r="AI36" s="232" t="str">
        <f>IFERROR(VLOOKUP(TableHandbook[[#This Row],[UDC]],TableMCEDUC[],7,FALSE),"")</f>
        <v/>
      </c>
      <c r="AJ36" s="231" t="str">
        <f>IFERROR(VLOOKUP(TableHandbook[[#This Row],[UDC]],TableSPPECULIN[],7,FALSE),"")</f>
        <v/>
      </c>
      <c r="AK36" s="231" t="str">
        <f>IFERROR(VLOOKUP(TableHandbook[[#This Row],[UDC]],TableSPPELNTCH[],7,FALSE),"")</f>
        <v/>
      </c>
      <c r="AL36" s="231" t="str">
        <f>IFERROR(VLOOKUP(TableHandbook[[#This Row],[UDC]],TableSPPESTEME[],7,FALSE),"")</f>
        <v/>
      </c>
    </row>
    <row r="37" spans="1:38" x14ac:dyDescent="0.25">
      <c r="A37" s="2" t="s">
        <v>309</v>
      </c>
      <c r="B37" s="3">
        <v>2</v>
      </c>
      <c r="C37" s="3"/>
      <c r="D37" s="2" t="s">
        <v>379</v>
      </c>
      <c r="E37" s="3">
        <v>25</v>
      </c>
      <c r="F37" s="54" t="s">
        <v>348</v>
      </c>
      <c r="G37" s="55" t="str">
        <f>IFERROR(IF(VLOOKUP(TableHandbook[[#This Row],[UDC]],TableAvailabilities[],2,FALSE)&gt;0,"Y",""),"")</f>
        <v/>
      </c>
      <c r="H37" s="55" t="str">
        <f>IFERROR(IF(VLOOKUP(TableHandbook[[#This Row],[UDC]],TableAvailabilities[],3,FALSE)&gt;0,"Y",""),"")</f>
        <v/>
      </c>
      <c r="I37" s="55" t="str">
        <f>IFERROR(IF(VLOOKUP(TableHandbook[[#This Row],[UDC]],TableAvailabilities[],4,FALSE)&gt;0,"Y",""),"")</f>
        <v>Y</v>
      </c>
      <c r="J37" s="55" t="str">
        <f>IFERROR(IF(VLOOKUP(TableHandbook[[#This Row],[UDC]],TableAvailabilities[],5,FALSE)&gt;0,"Y",""),"")</f>
        <v>Y</v>
      </c>
      <c r="K37" s="55" t="str">
        <f>IFERROR(IF(VLOOKUP(TableHandbook[[#This Row],[UDC]],TableAvailabilities[],6,FALSE)&gt;0,"Y",""),"")</f>
        <v/>
      </c>
      <c r="L37" s="55" t="str">
        <f>IFERROR(IF(VLOOKUP(TableHandbook[[#This Row],[UDC]],TableAvailabilities[],7,FALSE)&gt;0,"Y",""),"")</f>
        <v/>
      </c>
      <c r="M37" s="55" t="str">
        <f>IFERROR(IF(VLOOKUP(TableHandbook[[#This Row],[UDC]],TableAvailabilities[],8,FALSE)&gt;0,"Y",""),"")</f>
        <v>Y</v>
      </c>
      <c r="N37" s="55" t="str">
        <f>IFERROR(IF(VLOOKUP(TableHandbook[[#This Row],[UDC]],TableAvailabilities[],9,FALSE)&gt;0,"Y",""),"")</f>
        <v>Y</v>
      </c>
      <c r="O37" s="230" t="s">
        <v>380</v>
      </c>
      <c r="P37" s="232" t="str">
        <f>IFERROR(VLOOKUP(TableHandbook[[#This Row],[UDC]],TableMCTEACH[],7,FALSE),"")</f>
        <v/>
      </c>
      <c r="Q37" s="231" t="str">
        <f>IFERROR(VLOOKUP(TableHandbook[[#This Row],[UDC]],TableMJRPTCHEC[],7,FALSE),"")</f>
        <v/>
      </c>
      <c r="R37" s="231" t="str">
        <f>IFERROR(VLOOKUP(TableHandbook[[#This Row],[UDC]],TableMJRPTCHPR[],7,FALSE),"")</f>
        <v/>
      </c>
      <c r="S37" s="231" t="str">
        <f>IFERROR(VLOOKUP(TableHandbook[[#This Row],[UDC]],TableMJRPTCHSC[],7,FALSE),"")</f>
        <v/>
      </c>
      <c r="T37" s="231" t="str">
        <f>IFERROR(VLOOKUP(TableHandbook[[#This Row],[UDC]],TableSTRPSCART[],7,FALSE),"")</f>
        <v>Core</v>
      </c>
      <c r="U37" s="231" t="str">
        <f>IFERROR(VLOOKUP(TableHandbook[[#This Row],[UDC]],TableSTRPSCENG[],7,FALSE),"")</f>
        <v/>
      </c>
      <c r="V37" s="231" t="str">
        <f>IFERROR(VLOOKUP(TableHandbook[[#This Row],[UDC]],TableSTRPSCHLP[],7,FALSE),"")</f>
        <v/>
      </c>
      <c r="W37" s="231" t="str">
        <f>IFERROR(VLOOKUP(TableHandbook[[#This Row],[UDC]],TableSTRPSCHUS[],7,FALSE),"")</f>
        <v/>
      </c>
      <c r="X37" s="231" t="str">
        <f>IFERROR(VLOOKUP(TableHandbook[[#This Row],[UDC]],TableSTRPSCMAT[],7,FALSE),"")</f>
        <v/>
      </c>
      <c r="Y37" s="231" t="str">
        <f>IFERROR(VLOOKUP(TableHandbook[[#This Row],[UDC]],TableSTRPSCSCI[],7,FALSE),"")</f>
        <v/>
      </c>
      <c r="Z37" s="231" t="str">
        <f>IFERROR(VLOOKUP(TableHandbook[[#This Row],[UDC]],TableSTRPSCFON[],7,FALSE),"")</f>
        <v/>
      </c>
      <c r="AA37" s="232" t="str">
        <f>IFERROR(VLOOKUP(TableHandbook[[#This Row],[UDC]],TableGCTESOL[],7,FALSE),"")</f>
        <v/>
      </c>
      <c r="AB37" s="231" t="str">
        <f>IFERROR(VLOOKUP(TableHandbook[[#This Row],[UDC]],TableMCTESOL[],7,FALSE),"")</f>
        <v/>
      </c>
      <c r="AC37" s="231" t="str">
        <f>IFERROR(VLOOKUP(TableHandbook[[#This Row],[UDC]],TableMCAPLING[],7,FALSE),"")</f>
        <v/>
      </c>
      <c r="AD37" s="232" t="str">
        <f>IFERROR(VLOOKUP(TableHandbook[[#This Row],[UDC]],TableGCEDHE[],7,FALSE),"")</f>
        <v/>
      </c>
      <c r="AE37" s="231" t="str">
        <f>IFERROR(VLOOKUP(TableHandbook[[#This Row],[UDC]],TableGCEDUC[],7,FALSE),"")</f>
        <v/>
      </c>
      <c r="AF37" s="231" t="str">
        <f>IFERROR(VLOOKUP(TableHandbook[[#This Row],[UDC]],TableGDEDUC[],7,FALSE),"")</f>
        <v/>
      </c>
      <c r="AG37" s="231" t="str">
        <f>IFERROR(VLOOKUP(TableHandbook[[#This Row],[UDC]],TableMJRPEDUPR[],7,FALSE),"")</f>
        <v/>
      </c>
      <c r="AH37" s="231" t="str">
        <f>IFERROR(VLOOKUP(TableHandbook[[#This Row],[UDC]],TableMJRPEDUSC[],7,FALSE),"")</f>
        <v/>
      </c>
      <c r="AI37" s="232" t="str">
        <f>IFERROR(VLOOKUP(TableHandbook[[#This Row],[UDC]],TableMCEDUC[],7,FALSE),"")</f>
        <v/>
      </c>
      <c r="AJ37" s="231" t="str">
        <f>IFERROR(VLOOKUP(TableHandbook[[#This Row],[UDC]],TableSPPECULIN[],7,FALSE),"")</f>
        <v/>
      </c>
      <c r="AK37" s="231" t="str">
        <f>IFERROR(VLOOKUP(TableHandbook[[#This Row],[UDC]],TableSPPELNTCH[],7,FALSE),"")</f>
        <v/>
      </c>
      <c r="AL37" s="231" t="str">
        <f>IFERROR(VLOOKUP(TableHandbook[[#This Row],[UDC]],TableSPPESTEME[],7,FALSE),"")</f>
        <v/>
      </c>
    </row>
    <row r="38" spans="1:38" x14ac:dyDescent="0.25">
      <c r="A38" s="2" t="s">
        <v>312</v>
      </c>
      <c r="B38" s="3">
        <v>2</v>
      </c>
      <c r="C38" s="3"/>
      <c r="D38" s="2" t="s">
        <v>381</v>
      </c>
      <c r="E38" s="3">
        <v>25</v>
      </c>
      <c r="F38" s="54" t="s">
        <v>348</v>
      </c>
      <c r="G38" s="55" t="str">
        <f>IFERROR(IF(VLOOKUP(TableHandbook[[#This Row],[UDC]],TableAvailabilities[],2,FALSE)&gt;0,"Y",""),"")</f>
        <v/>
      </c>
      <c r="H38" s="55" t="str">
        <f>IFERROR(IF(VLOOKUP(TableHandbook[[#This Row],[UDC]],TableAvailabilities[],3,FALSE)&gt;0,"Y",""),"")</f>
        <v/>
      </c>
      <c r="I38" s="55" t="str">
        <f>IFERROR(IF(VLOOKUP(TableHandbook[[#This Row],[UDC]],TableAvailabilities[],4,FALSE)&gt;0,"Y",""),"")</f>
        <v>Y</v>
      </c>
      <c r="J38" s="55" t="str">
        <f>IFERROR(IF(VLOOKUP(TableHandbook[[#This Row],[UDC]],TableAvailabilities[],5,FALSE)&gt;0,"Y",""),"")</f>
        <v>Y</v>
      </c>
      <c r="K38" s="55" t="str">
        <f>IFERROR(IF(VLOOKUP(TableHandbook[[#This Row],[UDC]],TableAvailabilities[],6,FALSE)&gt;0,"Y",""),"")</f>
        <v/>
      </c>
      <c r="L38" s="55" t="str">
        <f>IFERROR(IF(VLOOKUP(TableHandbook[[#This Row],[UDC]],TableAvailabilities[],7,FALSE)&gt;0,"Y",""),"")</f>
        <v/>
      </c>
      <c r="M38" s="55" t="str">
        <f>IFERROR(IF(VLOOKUP(TableHandbook[[#This Row],[UDC]],TableAvailabilities[],8,FALSE)&gt;0,"Y",""),"")</f>
        <v>Y</v>
      </c>
      <c r="N38" s="55" t="str">
        <f>IFERROR(IF(VLOOKUP(TableHandbook[[#This Row],[UDC]],TableAvailabilities[],9,FALSE)&gt;0,"Y",""),"")</f>
        <v>Y</v>
      </c>
      <c r="O38" s="230" t="s">
        <v>380</v>
      </c>
      <c r="P38" s="232" t="str">
        <f>IFERROR(VLOOKUP(TableHandbook[[#This Row],[UDC]],TableMCTEACH[],7,FALSE),"")</f>
        <v/>
      </c>
      <c r="Q38" s="231" t="str">
        <f>IFERROR(VLOOKUP(TableHandbook[[#This Row],[UDC]],TableMJRPTCHEC[],7,FALSE),"")</f>
        <v/>
      </c>
      <c r="R38" s="231" t="str">
        <f>IFERROR(VLOOKUP(TableHandbook[[#This Row],[UDC]],TableMJRPTCHPR[],7,FALSE),"")</f>
        <v/>
      </c>
      <c r="S38" s="231" t="str">
        <f>IFERROR(VLOOKUP(TableHandbook[[#This Row],[UDC]],TableMJRPTCHSC[],7,FALSE),"")</f>
        <v/>
      </c>
      <c r="T38" s="231" t="str">
        <f>IFERROR(VLOOKUP(TableHandbook[[#This Row],[UDC]],TableSTRPSCART[],7,FALSE),"")</f>
        <v/>
      </c>
      <c r="U38" s="231" t="str">
        <f>IFERROR(VLOOKUP(TableHandbook[[#This Row],[UDC]],TableSTRPSCENG[],7,FALSE),"")</f>
        <v/>
      </c>
      <c r="V38" s="231" t="str">
        <f>IFERROR(VLOOKUP(TableHandbook[[#This Row],[UDC]],TableSTRPSCHLP[],7,FALSE),"")</f>
        <v/>
      </c>
      <c r="W38" s="231" t="str">
        <f>IFERROR(VLOOKUP(TableHandbook[[#This Row],[UDC]],TableSTRPSCHUS[],7,FALSE),"")</f>
        <v>Core</v>
      </c>
      <c r="X38" s="231" t="str">
        <f>IFERROR(VLOOKUP(TableHandbook[[#This Row],[UDC]],TableSTRPSCMAT[],7,FALSE),"")</f>
        <v/>
      </c>
      <c r="Y38" s="231" t="str">
        <f>IFERROR(VLOOKUP(TableHandbook[[#This Row],[UDC]],TableSTRPSCSCI[],7,FALSE),"")</f>
        <v/>
      </c>
      <c r="Z38" s="231" t="str">
        <f>IFERROR(VLOOKUP(TableHandbook[[#This Row],[UDC]],TableSTRPSCFON[],7,FALSE),"")</f>
        <v/>
      </c>
      <c r="AA38" s="232" t="str">
        <f>IFERROR(VLOOKUP(TableHandbook[[#This Row],[UDC]],TableGCTESOL[],7,FALSE),"")</f>
        <v/>
      </c>
      <c r="AB38" s="231" t="str">
        <f>IFERROR(VLOOKUP(TableHandbook[[#This Row],[UDC]],TableMCTESOL[],7,FALSE),"")</f>
        <v/>
      </c>
      <c r="AC38" s="231" t="str">
        <f>IFERROR(VLOOKUP(TableHandbook[[#This Row],[UDC]],TableMCAPLING[],7,FALSE),"")</f>
        <v/>
      </c>
      <c r="AD38" s="232" t="str">
        <f>IFERROR(VLOOKUP(TableHandbook[[#This Row],[UDC]],TableGCEDHE[],7,FALSE),"")</f>
        <v/>
      </c>
      <c r="AE38" s="231" t="str">
        <f>IFERROR(VLOOKUP(TableHandbook[[#This Row],[UDC]],TableGCEDUC[],7,FALSE),"")</f>
        <v/>
      </c>
      <c r="AF38" s="231" t="str">
        <f>IFERROR(VLOOKUP(TableHandbook[[#This Row],[UDC]],TableGDEDUC[],7,FALSE),"")</f>
        <v/>
      </c>
      <c r="AG38" s="231" t="str">
        <f>IFERROR(VLOOKUP(TableHandbook[[#This Row],[UDC]],TableMJRPEDUPR[],7,FALSE),"")</f>
        <v/>
      </c>
      <c r="AH38" s="231" t="str">
        <f>IFERROR(VLOOKUP(TableHandbook[[#This Row],[UDC]],TableMJRPEDUSC[],7,FALSE),"")</f>
        <v/>
      </c>
      <c r="AI38" s="232" t="str">
        <f>IFERROR(VLOOKUP(TableHandbook[[#This Row],[UDC]],TableMCEDUC[],7,FALSE),"")</f>
        <v/>
      </c>
      <c r="AJ38" s="231" t="str">
        <f>IFERROR(VLOOKUP(TableHandbook[[#This Row],[UDC]],TableSPPECULIN[],7,FALSE),"")</f>
        <v/>
      </c>
      <c r="AK38" s="231" t="str">
        <f>IFERROR(VLOOKUP(TableHandbook[[#This Row],[UDC]],TableSPPELNTCH[],7,FALSE),"")</f>
        <v/>
      </c>
      <c r="AL38" s="231" t="str">
        <f>IFERROR(VLOOKUP(TableHandbook[[#This Row],[UDC]],TableSPPESTEME[],7,FALSE),"")</f>
        <v/>
      </c>
    </row>
    <row r="39" spans="1:38" x14ac:dyDescent="0.25">
      <c r="A39" s="2" t="s">
        <v>313</v>
      </c>
      <c r="B39" s="3">
        <v>2</v>
      </c>
      <c r="C39" s="3"/>
      <c r="D39" s="2" t="s">
        <v>382</v>
      </c>
      <c r="E39" s="3">
        <v>25</v>
      </c>
      <c r="F39" s="54" t="s">
        <v>348</v>
      </c>
      <c r="G39" s="55" t="str">
        <f>IFERROR(IF(VLOOKUP(TableHandbook[[#This Row],[UDC]],TableAvailabilities[],2,FALSE)&gt;0,"Y",""),"")</f>
        <v/>
      </c>
      <c r="H39" s="55" t="str">
        <f>IFERROR(IF(VLOOKUP(TableHandbook[[#This Row],[UDC]],TableAvailabilities[],3,FALSE)&gt;0,"Y",""),"")</f>
        <v/>
      </c>
      <c r="I39" s="55" t="str">
        <f>IFERROR(IF(VLOOKUP(TableHandbook[[#This Row],[UDC]],TableAvailabilities[],4,FALSE)&gt;0,"Y",""),"")</f>
        <v>Y</v>
      </c>
      <c r="J39" s="55" t="str">
        <f>IFERROR(IF(VLOOKUP(TableHandbook[[#This Row],[UDC]],TableAvailabilities[],5,FALSE)&gt;0,"Y",""),"")</f>
        <v>Y</v>
      </c>
      <c r="K39" s="55" t="str">
        <f>IFERROR(IF(VLOOKUP(TableHandbook[[#This Row],[UDC]],TableAvailabilities[],6,FALSE)&gt;0,"Y",""),"")</f>
        <v/>
      </c>
      <c r="L39" s="55" t="str">
        <f>IFERROR(IF(VLOOKUP(TableHandbook[[#This Row],[UDC]],TableAvailabilities[],7,FALSE)&gt;0,"Y",""),"")</f>
        <v/>
      </c>
      <c r="M39" s="55" t="str">
        <f>IFERROR(IF(VLOOKUP(TableHandbook[[#This Row],[UDC]],TableAvailabilities[],8,FALSE)&gt;0,"Y",""),"")</f>
        <v>Y</v>
      </c>
      <c r="N39" s="55" t="str">
        <f>IFERROR(IF(VLOOKUP(TableHandbook[[#This Row],[UDC]],TableAvailabilities[],9,FALSE)&gt;0,"Y",""),"")</f>
        <v>Y</v>
      </c>
      <c r="O39" s="230" t="s">
        <v>380</v>
      </c>
      <c r="P39" s="232" t="str">
        <f>IFERROR(VLOOKUP(TableHandbook[[#This Row],[UDC]],TableMCTEACH[],7,FALSE),"")</f>
        <v/>
      </c>
      <c r="Q39" s="231" t="str">
        <f>IFERROR(VLOOKUP(TableHandbook[[#This Row],[UDC]],TableMJRPTCHEC[],7,FALSE),"")</f>
        <v/>
      </c>
      <c r="R39" s="231" t="str">
        <f>IFERROR(VLOOKUP(TableHandbook[[#This Row],[UDC]],TableMJRPTCHPR[],7,FALSE),"")</f>
        <v/>
      </c>
      <c r="S39" s="231" t="str">
        <f>IFERROR(VLOOKUP(TableHandbook[[#This Row],[UDC]],TableMJRPTCHSC[],7,FALSE),"")</f>
        <v/>
      </c>
      <c r="T39" s="231" t="str">
        <f>IFERROR(VLOOKUP(TableHandbook[[#This Row],[UDC]],TableSTRPSCART[],7,FALSE),"")</f>
        <v/>
      </c>
      <c r="U39" s="231" t="str">
        <f>IFERROR(VLOOKUP(TableHandbook[[#This Row],[UDC]],TableSTRPSCENG[],7,FALSE),"")</f>
        <v/>
      </c>
      <c r="V39" s="231" t="str">
        <f>IFERROR(VLOOKUP(TableHandbook[[#This Row],[UDC]],TableSTRPSCHLP[],7,FALSE),"")</f>
        <v/>
      </c>
      <c r="W39" s="231" t="str">
        <f>IFERROR(VLOOKUP(TableHandbook[[#This Row],[UDC]],TableSTRPSCHUS[],7,FALSE),"")</f>
        <v/>
      </c>
      <c r="X39" s="231" t="str">
        <f>IFERROR(VLOOKUP(TableHandbook[[#This Row],[UDC]],TableSTRPSCMAT[],7,FALSE),"")</f>
        <v>Core</v>
      </c>
      <c r="Y39" s="231" t="str">
        <f>IFERROR(VLOOKUP(TableHandbook[[#This Row],[UDC]],TableSTRPSCSCI[],7,FALSE),"")</f>
        <v/>
      </c>
      <c r="Z39" s="231" t="str">
        <f>IFERROR(VLOOKUP(TableHandbook[[#This Row],[UDC]],TableSTRPSCFON[],7,FALSE),"")</f>
        <v/>
      </c>
      <c r="AA39" s="232" t="str">
        <f>IFERROR(VLOOKUP(TableHandbook[[#This Row],[UDC]],TableGCTESOL[],7,FALSE),"")</f>
        <v/>
      </c>
      <c r="AB39" s="231" t="str">
        <f>IFERROR(VLOOKUP(TableHandbook[[#This Row],[UDC]],TableMCTESOL[],7,FALSE),"")</f>
        <v/>
      </c>
      <c r="AC39" s="231" t="str">
        <f>IFERROR(VLOOKUP(TableHandbook[[#This Row],[UDC]],TableMCAPLING[],7,FALSE),"")</f>
        <v/>
      </c>
      <c r="AD39" s="232" t="str">
        <f>IFERROR(VLOOKUP(TableHandbook[[#This Row],[UDC]],TableGCEDHE[],7,FALSE),"")</f>
        <v/>
      </c>
      <c r="AE39" s="231" t="str">
        <f>IFERROR(VLOOKUP(TableHandbook[[#This Row],[UDC]],TableGCEDUC[],7,FALSE),"")</f>
        <v/>
      </c>
      <c r="AF39" s="231" t="str">
        <f>IFERROR(VLOOKUP(TableHandbook[[#This Row],[UDC]],TableGDEDUC[],7,FALSE),"")</f>
        <v/>
      </c>
      <c r="AG39" s="231" t="str">
        <f>IFERROR(VLOOKUP(TableHandbook[[#This Row],[UDC]],TableMJRPEDUPR[],7,FALSE),"")</f>
        <v/>
      </c>
      <c r="AH39" s="231" t="str">
        <f>IFERROR(VLOOKUP(TableHandbook[[#This Row],[UDC]],TableMJRPEDUSC[],7,FALSE),"")</f>
        <v/>
      </c>
      <c r="AI39" s="232" t="str">
        <f>IFERROR(VLOOKUP(TableHandbook[[#This Row],[UDC]],TableMCEDUC[],7,FALSE),"")</f>
        <v/>
      </c>
      <c r="AJ39" s="231" t="str">
        <f>IFERROR(VLOOKUP(TableHandbook[[#This Row],[UDC]],TableSPPECULIN[],7,FALSE),"")</f>
        <v/>
      </c>
      <c r="AK39" s="231" t="str">
        <f>IFERROR(VLOOKUP(TableHandbook[[#This Row],[UDC]],TableSPPELNTCH[],7,FALSE),"")</f>
        <v/>
      </c>
      <c r="AL39" s="231" t="str">
        <f>IFERROR(VLOOKUP(TableHandbook[[#This Row],[UDC]],TableSPPESTEME[],7,FALSE),"")</f>
        <v/>
      </c>
    </row>
    <row r="40" spans="1:38" x14ac:dyDescent="0.25">
      <c r="A40" s="2" t="s">
        <v>314</v>
      </c>
      <c r="B40" s="3">
        <v>2</v>
      </c>
      <c r="C40" s="3"/>
      <c r="D40" s="2" t="s">
        <v>383</v>
      </c>
      <c r="E40" s="3">
        <v>25</v>
      </c>
      <c r="F40" s="54" t="s">
        <v>348</v>
      </c>
      <c r="G40" s="55" t="str">
        <f>IFERROR(IF(VLOOKUP(TableHandbook[[#This Row],[UDC]],TableAvailabilities[],2,FALSE)&gt;0,"Y",""),"")</f>
        <v/>
      </c>
      <c r="H40" s="55" t="str">
        <f>IFERROR(IF(VLOOKUP(TableHandbook[[#This Row],[UDC]],TableAvailabilities[],3,FALSE)&gt;0,"Y",""),"")</f>
        <v/>
      </c>
      <c r="I40" s="55" t="str">
        <f>IFERROR(IF(VLOOKUP(TableHandbook[[#This Row],[UDC]],TableAvailabilities[],4,FALSE)&gt;0,"Y",""),"")</f>
        <v>Y</v>
      </c>
      <c r="J40" s="55" t="str">
        <f>IFERROR(IF(VLOOKUP(TableHandbook[[#This Row],[UDC]],TableAvailabilities[],5,FALSE)&gt;0,"Y",""),"")</f>
        <v>Y</v>
      </c>
      <c r="K40" s="55" t="str">
        <f>IFERROR(IF(VLOOKUP(TableHandbook[[#This Row],[UDC]],TableAvailabilities[],6,FALSE)&gt;0,"Y",""),"")</f>
        <v/>
      </c>
      <c r="L40" s="55" t="str">
        <f>IFERROR(IF(VLOOKUP(TableHandbook[[#This Row],[UDC]],TableAvailabilities[],7,FALSE)&gt;0,"Y",""),"")</f>
        <v/>
      </c>
      <c r="M40" s="55" t="str">
        <f>IFERROR(IF(VLOOKUP(TableHandbook[[#This Row],[UDC]],TableAvailabilities[],8,FALSE)&gt;0,"Y",""),"")</f>
        <v>Y</v>
      </c>
      <c r="N40" s="55" t="str">
        <f>IFERROR(IF(VLOOKUP(TableHandbook[[#This Row],[UDC]],TableAvailabilities[],9,FALSE)&gt;0,"Y",""),"")</f>
        <v>Y</v>
      </c>
      <c r="O40" s="230" t="s">
        <v>380</v>
      </c>
      <c r="P40" s="232" t="str">
        <f>IFERROR(VLOOKUP(TableHandbook[[#This Row],[UDC]],TableMCTEACH[],7,FALSE),"")</f>
        <v/>
      </c>
      <c r="Q40" s="231" t="str">
        <f>IFERROR(VLOOKUP(TableHandbook[[#This Row],[UDC]],TableMJRPTCHEC[],7,FALSE),"")</f>
        <v/>
      </c>
      <c r="R40" s="231" t="str">
        <f>IFERROR(VLOOKUP(TableHandbook[[#This Row],[UDC]],TableMJRPTCHPR[],7,FALSE),"")</f>
        <v/>
      </c>
      <c r="S40" s="231" t="str">
        <f>IFERROR(VLOOKUP(TableHandbook[[#This Row],[UDC]],TableMJRPTCHSC[],7,FALSE),"")</f>
        <v/>
      </c>
      <c r="T40" s="231" t="str">
        <f>IFERROR(VLOOKUP(TableHandbook[[#This Row],[UDC]],TableSTRPSCART[],7,FALSE),"")</f>
        <v/>
      </c>
      <c r="U40" s="231" t="str">
        <f>IFERROR(VLOOKUP(TableHandbook[[#This Row],[UDC]],TableSTRPSCENG[],7,FALSE),"")</f>
        <v/>
      </c>
      <c r="V40" s="231" t="str">
        <f>IFERROR(VLOOKUP(TableHandbook[[#This Row],[UDC]],TableSTRPSCHLP[],7,FALSE),"")</f>
        <v/>
      </c>
      <c r="W40" s="231" t="str">
        <f>IFERROR(VLOOKUP(TableHandbook[[#This Row],[UDC]],TableSTRPSCHUS[],7,FALSE),"")</f>
        <v/>
      </c>
      <c r="X40" s="231" t="str">
        <f>IFERROR(VLOOKUP(TableHandbook[[#This Row],[UDC]],TableSTRPSCMAT[],7,FALSE),"")</f>
        <v/>
      </c>
      <c r="Y40" s="231" t="str">
        <f>IFERROR(VLOOKUP(TableHandbook[[#This Row],[UDC]],TableSTRPSCSCI[],7,FALSE),"")</f>
        <v>Core</v>
      </c>
      <c r="Z40" s="231" t="str">
        <f>IFERROR(VLOOKUP(TableHandbook[[#This Row],[UDC]],TableSTRPSCFON[],7,FALSE),"")</f>
        <v/>
      </c>
      <c r="AA40" s="232" t="str">
        <f>IFERROR(VLOOKUP(TableHandbook[[#This Row],[UDC]],TableGCTESOL[],7,FALSE),"")</f>
        <v/>
      </c>
      <c r="AB40" s="231" t="str">
        <f>IFERROR(VLOOKUP(TableHandbook[[#This Row],[UDC]],TableMCTESOL[],7,FALSE),"")</f>
        <v/>
      </c>
      <c r="AC40" s="231" t="str">
        <f>IFERROR(VLOOKUP(TableHandbook[[#This Row],[UDC]],TableMCAPLING[],7,FALSE),"")</f>
        <v/>
      </c>
      <c r="AD40" s="232" t="str">
        <f>IFERROR(VLOOKUP(TableHandbook[[#This Row],[UDC]],TableGCEDHE[],7,FALSE),"")</f>
        <v/>
      </c>
      <c r="AE40" s="231" t="str">
        <f>IFERROR(VLOOKUP(TableHandbook[[#This Row],[UDC]],TableGCEDUC[],7,FALSE),"")</f>
        <v/>
      </c>
      <c r="AF40" s="231" t="str">
        <f>IFERROR(VLOOKUP(TableHandbook[[#This Row],[UDC]],TableGDEDUC[],7,FALSE),"")</f>
        <v/>
      </c>
      <c r="AG40" s="231" t="str">
        <f>IFERROR(VLOOKUP(TableHandbook[[#This Row],[UDC]],TableMJRPEDUPR[],7,FALSE),"")</f>
        <v/>
      </c>
      <c r="AH40" s="231" t="str">
        <f>IFERROR(VLOOKUP(TableHandbook[[#This Row],[UDC]],TableMJRPEDUSC[],7,FALSE),"")</f>
        <v/>
      </c>
      <c r="AI40" s="232" t="str">
        <f>IFERROR(VLOOKUP(TableHandbook[[#This Row],[UDC]],TableMCEDUC[],7,FALSE),"")</f>
        <v/>
      </c>
      <c r="AJ40" s="231" t="str">
        <f>IFERROR(VLOOKUP(TableHandbook[[#This Row],[UDC]],TableSPPECULIN[],7,FALSE),"")</f>
        <v/>
      </c>
      <c r="AK40" s="231" t="str">
        <f>IFERROR(VLOOKUP(TableHandbook[[#This Row],[UDC]],TableSPPELNTCH[],7,FALSE),"")</f>
        <v/>
      </c>
      <c r="AL40" s="231" t="str">
        <f>IFERROR(VLOOKUP(TableHandbook[[#This Row],[UDC]],TableSPPESTEME[],7,FALSE),"")</f>
        <v/>
      </c>
    </row>
    <row r="41" spans="1:38" x14ac:dyDescent="0.25">
      <c r="A41" s="2" t="s">
        <v>269</v>
      </c>
      <c r="B41" s="3">
        <v>1</v>
      </c>
      <c r="C41" s="3"/>
      <c r="D41" s="2" t="s">
        <v>384</v>
      </c>
      <c r="E41" s="3">
        <v>25</v>
      </c>
      <c r="F41" s="54" t="s">
        <v>348</v>
      </c>
      <c r="G41" s="55" t="str">
        <f>IFERROR(IF(VLOOKUP(TableHandbook[[#This Row],[UDC]],TableAvailabilities[],2,FALSE)&gt;0,"Y",""),"")</f>
        <v>Y</v>
      </c>
      <c r="H41" s="55" t="str">
        <f>IFERROR(IF(VLOOKUP(TableHandbook[[#This Row],[UDC]],TableAvailabilities[],3,FALSE)&gt;0,"Y",""),"")</f>
        <v>Y</v>
      </c>
      <c r="I41" s="55" t="str">
        <f>IFERROR(IF(VLOOKUP(TableHandbook[[#This Row],[UDC]],TableAvailabilities[],4,FALSE)&gt;0,"Y",""),"")</f>
        <v>Y</v>
      </c>
      <c r="J41" s="55" t="str">
        <f>IFERROR(IF(VLOOKUP(TableHandbook[[#This Row],[UDC]],TableAvailabilities[],5,FALSE)&gt;0,"Y",""),"")</f>
        <v>Y</v>
      </c>
      <c r="K41" s="55" t="str">
        <f>IFERROR(IF(VLOOKUP(TableHandbook[[#This Row],[UDC]],TableAvailabilities[],6,FALSE)&gt;0,"Y",""),"")</f>
        <v/>
      </c>
      <c r="L41" s="55" t="str">
        <f>IFERROR(IF(VLOOKUP(TableHandbook[[#This Row],[UDC]],TableAvailabilities[],7,FALSE)&gt;0,"Y",""),"")</f>
        <v/>
      </c>
      <c r="M41" s="55" t="str">
        <f>IFERROR(IF(VLOOKUP(TableHandbook[[#This Row],[UDC]],TableAvailabilities[],8,FALSE)&gt;0,"Y",""),"")</f>
        <v/>
      </c>
      <c r="N41" s="55" t="str">
        <f>IFERROR(IF(VLOOKUP(TableHandbook[[#This Row],[UDC]],TableAvailabilities[],9,FALSE)&gt;0,"Y",""),"")</f>
        <v/>
      </c>
      <c r="O41" s="230"/>
      <c r="P41" s="232" t="str">
        <f>IFERROR(VLOOKUP(TableHandbook[[#This Row],[UDC]],TableMCTEACH[],7,FALSE),"")</f>
        <v/>
      </c>
      <c r="Q41" s="231" t="str">
        <f>IFERROR(VLOOKUP(TableHandbook[[#This Row],[UDC]],TableMJRPTCHEC[],7,FALSE),"")</f>
        <v/>
      </c>
      <c r="R41" s="231" t="str">
        <f>IFERROR(VLOOKUP(TableHandbook[[#This Row],[UDC]],TableMJRPTCHPR[],7,FALSE),"")</f>
        <v/>
      </c>
      <c r="S41" s="231" t="str">
        <f>IFERROR(VLOOKUP(TableHandbook[[#This Row],[UDC]],TableMJRPTCHSC[],7,FALSE),"")</f>
        <v>Core</v>
      </c>
      <c r="T41" s="231" t="str">
        <f>IFERROR(VLOOKUP(TableHandbook[[#This Row],[UDC]],TableSTRPSCART[],7,FALSE),"")</f>
        <v/>
      </c>
      <c r="U41" s="231" t="str">
        <f>IFERROR(VLOOKUP(TableHandbook[[#This Row],[UDC]],TableSTRPSCENG[],7,FALSE),"")</f>
        <v/>
      </c>
      <c r="V41" s="231" t="str">
        <f>IFERROR(VLOOKUP(TableHandbook[[#This Row],[UDC]],TableSTRPSCHLP[],7,FALSE),"")</f>
        <v/>
      </c>
      <c r="W41" s="231" t="str">
        <f>IFERROR(VLOOKUP(TableHandbook[[#This Row],[UDC]],TableSTRPSCHUS[],7,FALSE),"")</f>
        <v/>
      </c>
      <c r="X41" s="231" t="str">
        <f>IFERROR(VLOOKUP(TableHandbook[[#This Row],[UDC]],TableSTRPSCMAT[],7,FALSE),"")</f>
        <v/>
      </c>
      <c r="Y41" s="231" t="str">
        <f>IFERROR(VLOOKUP(TableHandbook[[#This Row],[UDC]],TableSTRPSCSCI[],7,FALSE),"")</f>
        <v/>
      </c>
      <c r="Z41" s="231" t="str">
        <f>IFERROR(VLOOKUP(TableHandbook[[#This Row],[UDC]],TableSTRPSCFON[],7,FALSE),"")</f>
        <v/>
      </c>
      <c r="AA41" s="232" t="str">
        <f>IFERROR(VLOOKUP(TableHandbook[[#This Row],[UDC]],TableGCTESOL[],7,FALSE),"")</f>
        <v/>
      </c>
      <c r="AB41" s="231" t="str">
        <f>IFERROR(VLOOKUP(TableHandbook[[#This Row],[UDC]],TableMCTESOL[],7,FALSE),"")</f>
        <v/>
      </c>
      <c r="AC41" s="231" t="str">
        <f>IFERROR(VLOOKUP(TableHandbook[[#This Row],[UDC]],TableMCAPLING[],7,FALSE),"")</f>
        <v/>
      </c>
      <c r="AD41" s="232" t="str">
        <f>IFERROR(VLOOKUP(TableHandbook[[#This Row],[UDC]],TableGCEDHE[],7,FALSE),"")</f>
        <v/>
      </c>
      <c r="AE41" s="231" t="str">
        <f>IFERROR(VLOOKUP(TableHandbook[[#This Row],[UDC]],TableGCEDUC[],7,FALSE),"")</f>
        <v/>
      </c>
      <c r="AF41" s="231" t="str">
        <f>IFERROR(VLOOKUP(TableHandbook[[#This Row],[UDC]],TableGDEDUC[],7,FALSE),"")</f>
        <v/>
      </c>
      <c r="AG41" s="231" t="str">
        <f>IFERROR(VLOOKUP(TableHandbook[[#This Row],[UDC]],TableMJRPEDUPR[],7,FALSE),"")</f>
        <v/>
      </c>
      <c r="AH41" s="231" t="str">
        <f>IFERROR(VLOOKUP(TableHandbook[[#This Row],[UDC]],TableMJRPEDUSC[],7,FALSE),"")</f>
        <v>Core</v>
      </c>
      <c r="AI41" s="232" t="str">
        <f>IFERROR(VLOOKUP(TableHandbook[[#This Row],[UDC]],TableMCEDUC[],7,FALSE),"")</f>
        <v/>
      </c>
      <c r="AJ41" s="231" t="str">
        <f>IFERROR(VLOOKUP(TableHandbook[[#This Row],[UDC]],TableSPPECULIN[],7,FALSE),"")</f>
        <v/>
      </c>
      <c r="AK41" s="231" t="str">
        <f>IFERROR(VLOOKUP(TableHandbook[[#This Row],[UDC]],TableSPPELNTCH[],7,FALSE),"")</f>
        <v/>
      </c>
      <c r="AL41" s="231" t="str">
        <f>IFERROR(VLOOKUP(TableHandbook[[#This Row],[UDC]],TableSPPESTEME[],7,FALSE),"")</f>
        <v/>
      </c>
    </row>
    <row r="42" spans="1:38" x14ac:dyDescent="0.25">
      <c r="A42" s="2" t="s">
        <v>310</v>
      </c>
      <c r="B42" s="3">
        <v>1</v>
      </c>
      <c r="C42" s="3"/>
      <c r="D42" s="2" t="s">
        <v>385</v>
      </c>
      <c r="E42" s="3">
        <v>25</v>
      </c>
      <c r="F42" s="54" t="s">
        <v>348</v>
      </c>
      <c r="G42" s="55" t="str">
        <f>IFERROR(IF(VLOOKUP(TableHandbook[[#This Row],[UDC]],TableAvailabilities[],2,FALSE)&gt;0,"Y",""),"")</f>
        <v/>
      </c>
      <c r="H42" s="55" t="str">
        <f>IFERROR(IF(VLOOKUP(TableHandbook[[#This Row],[UDC]],TableAvailabilities[],3,FALSE)&gt;0,"Y",""),"")</f>
        <v/>
      </c>
      <c r="I42" s="55" t="str">
        <f>IFERROR(IF(VLOOKUP(TableHandbook[[#This Row],[UDC]],TableAvailabilities[],4,FALSE)&gt;0,"Y",""),"")</f>
        <v>Y</v>
      </c>
      <c r="J42" s="55" t="str">
        <f>IFERROR(IF(VLOOKUP(TableHandbook[[#This Row],[UDC]],TableAvailabilities[],5,FALSE)&gt;0,"Y",""),"")</f>
        <v>Y</v>
      </c>
      <c r="K42" s="55" t="str">
        <f>IFERROR(IF(VLOOKUP(TableHandbook[[#This Row],[UDC]],TableAvailabilities[],6,FALSE)&gt;0,"Y",""),"")</f>
        <v/>
      </c>
      <c r="L42" s="55" t="str">
        <f>IFERROR(IF(VLOOKUP(TableHandbook[[#This Row],[UDC]],TableAvailabilities[],7,FALSE)&gt;0,"Y",""),"")</f>
        <v/>
      </c>
      <c r="M42" s="55" t="str">
        <f>IFERROR(IF(VLOOKUP(TableHandbook[[#This Row],[UDC]],TableAvailabilities[],8,FALSE)&gt;0,"Y",""),"")</f>
        <v>Y</v>
      </c>
      <c r="N42" s="55" t="str">
        <f>IFERROR(IF(VLOOKUP(TableHandbook[[#This Row],[UDC]],TableAvailabilities[],9,FALSE)&gt;0,"Y",""),"")</f>
        <v>Y</v>
      </c>
      <c r="O42" s="230" t="s">
        <v>380</v>
      </c>
      <c r="P42" s="232" t="str">
        <f>IFERROR(VLOOKUP(TableHandbook[[#This Row],[UDC]],TableMCTEACH[],7,FALSE),"")</f>
        <v/>
      </c>
      <c r="Q42" s="231" t="str">
        <f>IFERROR(VLOOKUP(TableHandbook[[#This Row],[UDC]],TableMJRPTCHEC[],7,FALSE),"")</f>
        <v/>
      </c>
      <c r="R42" s="231" t="str">
        <f>IFERROR(VLOOKUP(TableHandbook[[#This Row],[UDC]],TableMJRPTCHPR[],7,FALSE),"")</f>
        <v/>
      </c>
      <c r="S42" s="231" t="str">
        <f>IFERROR(VLOOKUP(TableHandbook[[#This Row],[UDC]],TableMJRPTCHSC[],7,FALSE),"")</f>
        <v/>
      </c>
      <c r="T42" s="231" t="str">
        <f>IFERROR(VLOOKUP(TableHandbook[[#This Row],[UDC]],TableSTRPSCART[],7,FALSE),"")</f>
        <v/>
      </c>
      <c r="U42" s="231" t="str">
        <f>IFERROR(VLOOKUP(TableHandbook[[#This Row],[UDC]],TableSTRPSCENG[],7,FALSE),"")</f>
        <v>Core</v>
      </c>
      <c r="V42" s="231" t="str">
        <f>IFERROR(VLOOKUP(TableHandbook[[#This Row],[UDC]],TableSTRPSCHLP[],7,FALSE),"")</f>
        <v/>
      </c>
      <c r="W42" s="231" t="str">
        <f>IFERROR(VLOOKUP(TableHandbook[[#This Row],[UDC]],TableSTRPSCHUS[],7,FALSE),"")</f>
        <v/>
      </c>
      <c r="X42" s="231" t="str">
        <f>IFERROR(VLOOKUP(TableHandbook[[#This Row],[UDC]],TableSTRPSCMAT[],7,FALSE),"")</f>
        <v/>
      </c>
      <c r="Y42" s="231" t="str">
        <f>IFERROR(VLOOKUP(TableHandbook[[#This Row],[UDC]],TableSTRPSCSCI[],7,FALSE),"")</f>
        <v/>
      </c>
      <c r="Z42" s="231" t="str">
        <f>IFERROR(VLOOKUP(TableHandbook[[#This Row],[UDC]],TableSTRPSCFON[],7,FALSE),"")</f>
        <v/>
      </c>
      <c r="AA42" s="232" t="str">
        <f>IFERROR(VLOOKUP(TableHandbook[[#This Row],[UDC]],TableGCTESOL[],7,FALSE),"")</f>
        <v/>
      </c>
      <c r="AB42" s="231" t="str">
        <f>IFERROR(VLOOKUP(TableHandbook[[#This Row],[UDC]],TableMCTESOL[],7,FALSE),"")</f>
        <v/>
      </c>
      <c r="AC42" s="231" t="str">
        <f>IFERROR(VLOOKUP(TableHandbook[[#This Row],[UDC]],TableMCAPLING[],7,FALSE),"")</f>
        <v/>
      </c>
      <c r="AD42" s="232" t="str">
        <f>IFERROR(VLOOKUP(TableHandbook[[#This Row],[UDC]],TableGCEDHE[],7,FALSE),"")</f>
        <v/>
      </c>
      <c r="AE42" s="231" t="str">
        <f>IFERROR(VLOOKUP(TableHandbook[[#This Row],[UDC]],TableGCEDUC[],7,FALSE),"")</f>
        <v/>
      </c>
      <c r="AF42" s="231" t="str">
        <f>IFERROR(VLOOKUP(TableHandbook[[#This Row],[UDC]],TableGDEDUC[],7,FALSE),"")</f>
        <v/>
      </c>
      <c r="AG42" s="231" t="str">
        <f>IFERROR(VLOOKUP(TableHandbook[[#This Row],[UDC]],TableMJRPEDUPR[],7,FALSE),"")</f>
        <v/>
      </c>
      <c r="AH42" s="231" t="str">
        <f>IFERROR(VLOOKUP(TableHandbook[[#This Row],[UDC]],TableMJRPEDUSC[],7,FALSE),"")</f>
        <v/>
      </c>
      <c r="AI42" s="232" t="str">
        <f>IFERROR(VLOOKUP(TableHandbook[[#This Row],[UDC]],TableMCEDUC[],7,FALSE),"")</f>
        <v/>
      </c>
      <c r="AJ42" s="231" t="str">
        <f>IFERROR(VLOOKUP(TableHandbook[[#This Row],[UDC]],TableSPPECULIN[],7,FALSE),"")</f>
        <v/>
      </c>
      <c r="AK42" s="231" t="str">
        <f>IFERROR(VLOOKUP(TableHandbook[[#This Row],[UDC]],TableSPPELNTCH[],7,FALSE),"")</f>
        <v/>
      </c>
      <c r="AL42" s="231" t="str">
        <f>IFERROR(VLOOKUP(TableHandbook[[#This Row],[UDC]],TableSPPESTEME[],7,FALSE),"")</f>
        <v/>
      </c>
    </row>
    <row r="43" spans="1:38" x14ac:dyDescent="0.25">
      <c r="A43" s="2" t="s">
        <v>303</v>
      </c>
      <c r="B43" s="3">
        <v>1</v>
      </c>
      <c r="C43" s="3"/>
      <c r="D43" s="2" t="s">
        <v>386</v>
      </c>
      <c r="E43" s="3">
        <v>25</v>
      </c>
      <c r="F43" s="54" t="s">
        <v>348</v>
      </c>
      <c r="G43" s="55" t="str">
        <f>IFERROR(IF(VLOOKUP(TableHandbook[[#This Row],[UDC]],TableAvailabilities[],2,FALSE)&gt;0,"Y",""),"")</f>
        <v/>
      </c>
      <c r="H43" s="55" t="str">
        <f>IFERROR(IF(VLOOKUP(TableHandbook[[#This Row],[UDC]],TableAvailabilities[],3,FALSE)&gt;0,"Y",""),"")</f>
        <v/>
      </c>
      <c r="I43" s="55" t="str">
        <f>IFERROR(IF(VLOOKUP(TableHandbook[[#This Row],[UDC]],TableAvailabilities[],4,FALSE)&gt;0,"Y",""),"")</f>
        <v>Y</v>
      </c>
      <c r="J43" s="55" t="str">
        <f>IFERROR(IF(VLOOKUP(TableHandbook[[#This Row],[UDC]],TableAvailabilities[],5,FALSE)&gt;0,"Y",""),"")</f>
        <v>Y</v>
      </c>
      <c r="K43" s="55" t="str">
        <f>IFERROR(IF(VLOOKUP(TableHandbook[[#This Row],[UDC]],TableAvailabilities[],6,FALSE)&gt;0,"Y",""),"")</f>
        <v/>
      </c>
      <c r="L43" s="55" t="str">
        <f>IFERROR(IF(VLOOKUP(TableHandbook[[#This Row],[UDC]],TableAvailabilities[],7,FALSE)&gt;0,"Y",""),"")</f>
        <v/>
      </c>
      <c r="M43" s="55" t="str">
        <f>IFERROR(IF(VLOOKUP(TableHandbook[[#This Row],[UDC]],TableAvailabilities[],8,FALSE)&gt;0,"Y",""),"")</f>
        <v>Y</v>
      </c>
      <c r="N43" s="55" t="str">
        <f>IFERROR(IF(VLOOKUP(TableHandbook[[#This Row],[UDC]],TableAvailabilities[],9,FALSE)&gt;0,"Y",""),"")</f>
        <v>Y</v>
      </c>
      <c r="O43" s="230"/>
      <c r="P43" s="232" t="str">
        <f>IFERROR(VLOOKUP(TableHandbook[[#This Row],[UDC]],TableMCTEACH[],7,FALSE),"")</f>
        <v/>
      </c>
      <c r="Q43" s="231" t="str">
        <f>IFERROR(VLOOKUP(TableHandbook[[#This Row],[UDC]],TableMJRPTCHEC[],7,FALSE),"")</f>
        <v/>
      </c>
      <c r="R43" s="231" t="str">
        <f>IFERROR(VLOOKUP(TableHandbook[[#This Row],[UDC]],TableMJRPTCHPR[],7,FALSE),"")</f>
        <v/>
      </c>
      <c r="S43" s="231" t="str">
        <f>IFERROR(VLOOKUP(TableHandbook[[#This Row],[UDC]],TableMJRPTCHSC[],7,FALSE),"")</f>
        <v/>
      </c>
      <c r="T43" s="231" t="str">
        <f>IFERROR(VLOOKUP(TableHandbook[[#This Row],[UDC]],TableSTRPSCART[],7,FALSE),"")</f>
        <v/>
      </c>
      <c r="U43" s="231" t="str">
        <f>IFERROR(VLOOKUP(TableHandbook[[#This Row],[UDC]],TableSTRPSCENG[],7,FALSE),"")</f>
        <v/>
      </c>
      <c r="V43" s="231" t="str">
        <f>IFERROR(VLOOKUP(TableHandbook[[#This Row],[UDC]],TableSTRPSCHLP[],7,FALSE),"")</f>
        <v>Core</v>
      </c>
      <c r="W43" s="231" t="str">
        <f>IFERROR(VLOOKUP(TableHandbook[[#This Row],[UDC]],TableSTRPSCHUS[],7,FALSE),"")</f>
        <v/>
      </c>
      <c r="X43" s="231" t="str">
        <f>IFERROR(VLOOKUP(TableHandbook[[#This Row],[UDC]],TableSTRPSCMAT[],7,FALSE),"")</f>
        <v/>
      </c>
      <c r="Y43" s="231" t="str">
        <f>IFERROR(VLOOKUP(TableHandbook[[#This Row],[UDC]],TableSTRPSCSCI[],7,FALSE),"")</f>
        <v/>
      </c>
      <c r="Z43" s="231" t="str">
        <f>IFERROR(VLOOKUP(TableHandbook[[#This Row],[UDC]],TableSTRPSCFON[],7,FALSE),"")</f>
        <v/>
      </c>
      <c r="AA43" s="232" t="str">
        <f>IFERROR(VLOOKUP(TableHandbook[[#This Row],[UDC]],TableGCTESOL[],7,FALSE),"")</f>
        <v/>
      </c>
      <c r="AB43" s="231" t="str">
        <f>IFERROR(VLOOKUP(TableHandbook[[#This Row],[UDC]],TableMCTESOL[],7,FALSE),"")</f>
        <v/>
      </c>
      <c r="AC43" s="231" t="str">
        <f>IFERROR(VLOOKUP(TableHandbook[[#This Row],[UDC]],TableMCAPLING[],7,FALSE),"")</f>
        <v/>
      </c>
      <c r="AD43" s="232" t="str">
        <f>IFERROR(VLOOKUP(TableHandbook[[#This Row],[UDC]],TableGCEDHE[],7,FALSE),"")</f>
        <v/>
      </c>
      <c r="AE43" s="231" t="str">
        <f>IFERROR(VLOOKUP(TableHandbook[[#This Row],[UDC]],TableGCEDUC[],7,FALSE),"")</f>
        <v/>
      </c>
      <c r="AF43" s="231" t="str">
        <f>IFERROR(VLOOKUP(TableHandbook[[#This Row],[UDC]],TableGDEDUC[],7,FALSE),"")</f>
        <v/>
      </c>
      <c r="AG43" s="231" t="str">
        <f>IFERROR(VLOOKUP(TableHandbook[[#This Row],[UDC]],TableMJRPEDUPR[],7,FALSE),"")</f>
        <v/>
      </c>
      <c r="AH43" s="231" t="str">
        <f>IFERROR(VLOOKUP(TableHandbook[[#This Row],[UDC]],TableMJRPEDUSC[],7,FALSE),"")</f>
        <v/>
      </c>
      <c r="AI43" s="232" t="str">
        <f>IFERROR(VLOOKUP(TableHandbook[[#This Row],[UDC]],TableMCEDUC[],7,FALSE),"")</f>
        <v/>
      </c>
      <c r="AJ43" s="231" t="str">
        <f>IFERROR(VLOOKUP(TableHandbook[[#This Row],[UDC]],TableSPPECULIN[],7,FALSE),"")</f>
        <v/>
      </c>
      <c r="AK43" s="231" t="str">
        <f>IFERROR(VLOOKUP(TableHandbook[[#This Row],[UDC]],TableSPPELNTCH[],7,FALSE),"")</f>
        <v/>
      </c>
      <c r="AL43" s="231" t="str">
        <f>IFERROR(VLOOKUP(TableHandbook[[#This Row],[UDC]],TableSPPESTEME[],7,FALSE),"")</f>
        <v/>
      </c>
    </row>
    <row r="44" spans="1:38" x14ac:dyDescent="0.25">
      <c r="A44" s="2" t="s">
        <v>311</v>
      </c>
      <c r="B44" s="3">
        <v>1</v>
      </c>
      <c r="C44" s="3"/>
      <c r="D44" s="2" t="s">
        <v>387</v>
      </c>
      <c r="E44" s="3">
        <v>25</v>
      </c>
      <c r="F44" s="54" t="s">
        <v>348</v>
      </c>
      <c r="G44" s="55" t="str">
        <f>IFERROR(IF(VLOOKUP(TableHandbook[[#This Row],[UDC]],TableAvailabilities[],2,FALSE)&gt;0,"Y",""),"")</f>
        <v/>
      </c>
      <c r="H44" s="55" t="str">
        <f>IFERROR(IF(VLOOKUP(TableHandbook[[#This Row],[UDC]],TableAvailabilities[],3,FALSE)&gt;0,"Y",""),"")</f>
        <v/>
      </c>
      <c r="I44" s="55" t="str">
        <f>IFERROR(IF(VLOOKUP(TableHandbook[[#This Row],[UDC]],TableAvailabilities[],4,FALSE)&gt;0,"Y",""),"")</f>
        <v>Y</v>
      </c>
      <c r="J44" s="55" t="str">
        <f>IFERROR(IF(VLOOKUP(TableHandbook[[#This Row],[UDC]],TableAvailabilities[],5,FALSE)&gt;0,"Y",""),"")</f>
        <v>Y</v>
      </c>
      <c r="K44" s="55" t="str">
        <f>IFERROR(IF(VLOOKUP(TableHandbook[[#This Row],[UDC]],TableAvailabilities[],6,FALSE)&gt;0,"Y",""),"")</f>
        <v/>
      </c>
      <c r="L44" s="55" t="str">
        <f>IFERROR(IF(VLOOKUP(TableHandbook[[#This Row],[UDC]],TableAvailabilities[],7,FALSE)&gt;0,"Y",""),"")</f>
        <v/>
      </c>
      <c r="M44" s="55" t="str">
        <f>IFERROR(IF(VLOOKUP(TableHandbook[[#This Row],[UDC]],TableAvailabilities[],8,FALSE)&gt;0,"Y",""),"")</f>
        <v>Y</v>
      </c>
      <c r="N44" s="55" t="str">
        <f>IFERROR(IF(VLOOKUP(TableHandbook[[#This Row],[UDC]],TableAvailabilities[],9,FALSE)&gt;0,"Y",""),"")</f>
        <v>Y</v>
      </c>
      <c r="O44" s="230" t="s">
        <v>380</v>
      </c>
      <c r="P44" s="232" t="str">
        <f>IFERROR(VLOOKUP(TableHandbook[[#This Row],[UDC]],TableMCTEACH[],7,FALSE),"")</f>
        <v/>
      </c>
      <c r="Q44" s="231" t="str">
        <f>IFERROR(VLOOKUP(TableHandbook[[#This Row],[UDC]],TableMJRPTCHEC[],7,FALSE),"")</f>
        <v/>
      </c>
      <c r="R44" s="231" t="str">
        <f>IFERROR(VLOOKUP(TableHandbook[[#This Row],[UDC]],TableMJRPTCHPR[],7,FALSE),"")</f>
        <v/>
      </c>
      <c r="S44" s="231" t="str">
        <f>IFERROR(VLOOKUP(TableHandbook[[#This Row],[UDC]],TableMJRPTCHSC[],7,FALSE),"")</f>
        <v/>
      </c>
      <c r="T44" s="231" t="str">
        <f>IFERROR(VLOOKUP(TableHandbook[[#This Row],[UDC]],TableSTRPSCART[],7,FALSE),"")</f>
        <v/>
      </c>
      <c r="U44" s="231" t="str">
        <f>IFERROR(VLOOKUP(TableHandbook[[#This Row],[UDC]],TableSTRPSCENG[],7,FALSE),"")</f>
        <v/>
      </c>
      <c r="V44" s="231" t="str">
        <f>IFERROR(VLOOKUP(TableHandbook[[#This Row],[UDC]],TableSTRPSCHLP[],7,FALSE),"")</f>
        <v>Core</v>
      </c>
      <c r="W44" s="231" t="str">
        <f>IFERROR(VLOOKUP(TableHandbook[[#This Row],[UDC]],TableSTRPSCHUS[],7,FALSE),"")</f>
        <v/>
      </c>
      <c r="X44" s="231" t="str">
        <f>IFERROR(VLOOKUP(TableHandbook[[#This Row],[UDC]],TableSTRPSCMAT[],7,FALSE),"")</f>
        <v/>
      </c>
      <c r="Y44" s="231" t="str">
        <f>IFERROR(VLOOKUP(TableHandbook[[#This Row],[UDC]],TableSTRPSCSCI[],7,FALSE),"")</f>
        <v/>
      </c>
      <c r="Z44" s="231" t="str">
        <f>IFERROR(VLOOKUP(TableHandbook[[#This Row],[UDC]],TableSTRPSCFON[],7,FALSE),"")</f>
        <v/>
      </c>
      <c r="AA44" s="232" t="str">
        <f>IFERROR(VLOOKUP(TableHandbook[[#This Row],[UDC]],TableGCTESOL[],7,FALSE),"")</f>
        <v/>
      </c>
      <c r="AB44" s="231" t="str">
        <f>IFERROR(VLOOKUP(TableHandbook[[#This Row],[UDC]],TableMCTESOL[],7,FALSE),"")</f>
        <v/>
      </c>
      <c r="AC44" s="231" t="str">
        <f>IFERROR(VLOOKUP(TableHandbook[[#This Row],[UDC]],TableMCAPLING[],7,FALSE),"")</f>
        <v/>
      </c>
      <c r="AD44" s="232" t="str">
        <f>IFERROR(VLOOKUP(TableHandbook[[#This Row],[UDC]],TableGCEDHE[],7,FALSE),"")</f>
        <v/>
      </c>
      <c r="AE44" s="231" t="str">
        <f>IFERROR(VLOOKUP(TableHandbook[[#This Row],[UDC]],TableGCEDUC[],7,FALSE),"")</f>
        <v/>
      </c>
      <c r="AF44" s="231" t="str">
        <f>IFERROR(VLOOKUP(TableHandbook[[#This Row],[UDC]],TableGDEDUC[],7,FALSE),"")</f>
        <v/>
      </c>
      <c r="AG44" s="231" t="str">
        <f>IFERROR(VLOOKUP(TableHandbook[[#This Row],[UDC]],TableMJRPEDUPR[],7,FALSE),"")</f>
        <v/>
      </c>
      <c r="AH44" s="231" t="str">
        <f>IFERROR(VLOOKUP(TableHandbook[[#This Row],[UDC]],TableMJRPEDUSC[],7,FALSE),"")</f>
        <v/>
      </c>
      <c r="AI44" s="232" t="str">
        <f>IFERROR(VLOOKUP(TableHandbook[[#This Row],[UDC]],TableMCEDUC[],7,FALSE),"")</f>
        <v/>
      </c>
      <c r="AJ44" s="231" t="str">
        <f>IFERROR(VLOOKUP(TableHandbook[[#This Row],[UDC]],TableSPPECULIN[],7,FALSE),"")</f>
        <v/>
      </c>
      <c r="AK44" s="231" t="str">
        <f>IFERROR(VLOOKUP(TableHandbook[[#This Row],[UDC]],TableSPPELNTCH[],7,FALSE),"")</f>
        <v/>
      </c>
      <c r="AL44" s="231" t="str">
        <f>IFERROR(VLOOKUP(TableHandbook[[#This Row],[UDC]],TableSPPESTEME[],7,FALSE),"")</f>
        <v/>
      </c>
    </row>
    <row r="45" spans="1:38" x14ac:dyDescent="0.25">
      <c r="A45" s="2" t="s">
        <v>320</v>
      </c>
      <c r="B45" s="3">
        <v>1</v>
      </c>
      <c r="C45" s="3"/>
      <c r="D45" s="2" t="s">
        <v>388</v>
      </c>
      <c r="E45" s="3">
        <v>25</v>
      </c>
      <c r="F45" s="54" t="s">
        <v>348</v>
      </c>
      <c r="G45" s="55" t="str">
        <f>IFERROR(IF(VLOOKUP(TableHandbook[[#This Row],[UDC]],TableAvailabilities[],2,FALSE)&gt;0,"Y",""),"")</f>
        <v/>
      </c>
      <c r="H45" s="55" t="str">
        <f>IFERROR(IF(VLOOKUP(TableHandbook[[#This Row],[UDC]],TableAvailabilities[],3,FALSE)&gt;0,"Y",""),"")</f>
        <v/>
      </c>
      <c r="I45" s="55" t="str">
        <f>IFERROR(IF(VLOOKUP(TableHandbook[[#This Row],[UDC]],TableAvailabilities[],4,FALSE)&gt;0,"Y",""),"")</f>
        <v>Y</v>
      </c>
      <c r="J45" s="55" t="str">
        <f>IFERROR(IF(VLOOKUP(TableHandbook[[#This Row],[UDC]],TableAvailabilities[],5,FALSE)&gt;0,"Y",""),"")</f>
        <v>Y</v>
      </c>
      <c r="K45" s="55" t="str">
        <f>IFERROR(IF(VLOOKUP(TableHandbook[[#This Row],[UDC]],TableAvailabilities[],6,FALSE)&gt;0,"Y",""),"")</f>
        <v/>
      </c>
      <c r="L45" s="55" t="str">
        <f>IFERROR(IF(VLOOKUP(TableHandbook[[#This Row],[UDC]],TableAvailabilities[],7,FALSE)&gt;0,"Y",""),"")</f>
        <v/>
      </c>
      <c r="M45" s="55" t="str">
        <f>IFERROR(IF(VLOOKUP(TableHandbook[[#This Row],[UDC]],TableAvailabilities[],8,FALSE)&gt;0,"Y",""),"")</f>
        <v>Y</v>
      </c>
      <c r="N45" s="55" t="str">
        <f>IFERROR(IF(VLOOKUP(TableHandbook[[#This Row],[UDC]],TableAvailabilities[],9,FALSE)&gt;0,"Y",""),"")</f>
        <v>Y</v>
      </c>
      <c r="O45" s="230"/>
      <c r="P45" s="232" t="str">
        <f>IFERROR(VLOOKUP(TableHandbook[[#This Row],[UDC]],TableMCTEACH[],7,FALSE),"")</f>
        <v/>
      </c>
      <c r="Q45" s="231" t="str">
        <f>IFERROR(VLOOKUP(TableHandbook[[#This Row],[UDC]],TableMJRPTCHEC[],7,FALSE),"")</f>
        <v/>
      </c>
      <c r="R45" s="231" t="str">
        <f>IFERROR(VLOOKUP(TableHandbook[[#This Row],[UDC]],TableMJRPTCHPR[],7,FALSE),"")</f>
        <v/>
      </c>
      <c r="S45" s="231" t="str">
        <f>IFERROR(VLOOKUP(TableHandbook[[#This Row],[UDC]],TableMJRPTCHSC[],7,FALSE),"")</f>
        <v/>
      </c>
      <c r="T45" s="231" t="str">
        <f>IFERROR(VLOOKUP(TableHandbook[[#This Row],[UDC]],TableSTRPSCART[],7,FALSE),"")</f>
        <v/>
      </c>
      <c r="U45" s="231" t="str">
        <f>IFERROR(VLOOKUP(TableHandbook[[#This Row],[UDC]],TableSTRPSCENG[],7,FALSE),"")</f>
        <v/>
      </c>
      <c r="V45" s="231" t="str">
        <f>IFERROR(VLOOKUP(TableHandbook[[#This Row],[UDC]],TableSTRPSCHLP[],7,FALSE),"")</f>
        <v/>
      </c>
      <c r="W45" s="231" t="str">
        <f>IFERROR(VLOOKUP(TableHandbook[[#This Row],[UDC]],TableSTRPSCHUS[],7,FALSE),"")</f>
        <v/>
      </c>
      <c r="X45" s="231" t="str">
        <f>IFERROR(VLOOKUP(TableHandbook[[#This Row],[UDC]],TableSTRPSCMAT[],7,FALSE),"")</f>
        <v/>
      </c>
      <c r="Y45" s="231" t="str">
        <f>IFERROR(VLOOKUP(TableHandbook[[#This Row],[UDC]],TableSTRPSCSCI[],7,FALSE),"")</f>
        <v/>
      </c>
      <c r="Z45" s="231" t="str">
        <f>IFERROR(VLOOKUP(TableHandbook[[#This Row],[UDC]],TableSTRPSCFON[],7,FALSE),"")</f>
        <v>Core</v>
      </c>
      <c r="AA45" s="232" t="str">
        <f>IFERROR(VLOOKUP(TableHandbook[[#This Row],[UDC]],TableGCTESOL[],7,FALSE),"")</f>
        <v/>
      </c>
      <c r="AB45" s="231" t="str">
        <f>IFERROR(VLOOKUP(TableHandbook[[#This Row],[UDC]],TableMCTESOL[],7,FALSE),"")</f>
        <v/>
      </c>
      <c r="AC45" s="231" t="str">
        <f>IFERROR(VLOOKUP(TableHandbook[[#This Row],[UDC]],TableMCAPLING[],7,FALSE),"")</f>
        <v/>
      </c>
      <c r="AD45" s="232" t="str">
        <f>IFERROR(VLOOKUP(TableHandbook[[#This Row],[UDC]],TableGCEDHE[],7,FALSE),"")</f>
        <v/>
      </c>
      <c r="AE45" s="231" t="str">
        <f>IFERROR(VLOOKUP(TableHandbook[[#This Row],[UDC]],TableGCEDUC[],7,FALSE),"")</f>
        <v/>
      </c>
      <c r="AF45" s="231" t="str">
        <f>IFERROR(VLOOKUP(TableHandbook[[#This Row],[UDC]],TableGDEDUC[],7,FALSE),"")</f>
        <v/>
      </c>
      <c r="AG45" s="231" t="str">
        <f>IFERROR(VLOOKUP(TableHandbook[[#This Row],[UDC]],TableMJRPEDUPR[],7,FALSE),"")</f>
        <v/>
      </c>
      <c r="AH45" s="231" t="str">
        <f>IFERROR(VLOOKUP(TableHandbook[[#This Row],[UDC]],TableMJRPEDUSC[],7,FALSE),"")</f>
        <v/>
      </c>
      <c r="AI45" s="232" t="str">
        <f>IFERROR(VLOOKUP(TableHandbook[[#This Row],[UDC]],TableMCEDUC[],7,FALSE),"")</f>
        <v/>
      </c>
      <c r="AJ45" s="231" t="str">
        <f>IFERROR(VLOOKUP(TableHandbook[[#This Row],[UDC]],TableSPPECULIN[],7,FALSE),"")</f>
        <v/>
      </c>
      <c r="AK45" s="231" t="str">
        <f>IFERROR(VLOOKUP(TableHandbook[[#This Row],[UDC]],TableSPPELNTCH[],7,FALSE),"")</f>
        <v/>
      </c>
      <c r="AL45" s="231" t="str">
        <f>IFERROR(VLOOKUP(TableHandbook[[#This Row],[UDC]],TableSPPESTEME[],7,FALSE),"")</f>
        <v/>
      </c>
    </row>
    <row r="46" spans="1:38" x14ac:dyDescent="0.25">
      <c r="A46" s="2" t="s">
        <v>291</v>
      </c>
      <c r="B46" s="3">
        <v>1</v>
      </c>
      <c r="C46" s="3"/>
      <c r="D46" s="2" t="s">
        <v>389</v>
      </c>
      <c r="E46" s="3">
        <v>25</v>
      </c>
      <c r="F46" s="54" t="s">
        <v>348</v>
      </c>
      <c r="G46" s="55" t="str">
        <f>IFERROR(IF(VLOOKUP(TableHandbook[[#This Row],[UDC]],TableAvailabilities[],2,FALSE)&gt;0,"Y",""),"")</f>
        <v>Y</v>
      </c>
      <c r="H46" s="55" t="str">
        <f>IFERROR(IF(VLOOKUP(TableHandbook[[#This Row],[UDC]],TableAvailabilities[],3,FALSE)&gt;0,"Y",""),"")</f>
        <v>Y</v>
      </c>
      <c r="I46" s="55" t="str">
        <f>IFERROR(IF(VLOOKUP(TableHandbook[[#This Row],[UDC]],TableAvailabilities[],4,FALSE)&gt;0,"Y",""),"")</f>
        <v/>
      </c>
      <c r="J46" s="55" t="str">
        <f>IFERROR(IF(VLOOKUP(TableHandbook[[#This Row],[UDC]],TableAvailabilities[],5,FALSE)&gt;0,"Y",""),"")</f>
        <v/>
      </c>
      <c r="K46" s="55" t="str">
        <f>IFERROR(IF(VLOOKUP(TableHandbook[[#This Row],[UDC]],TableAvailabilities[],6,FALSE)&gt;0,"Y",""),"")</f>
        <v/>
      </c>
      <c r="L46" s="55" t="str">
        <f>IFERROR(IF(VLOOKUP(TableHandbook[[#This Row],[UDC]],TableAvailabilities[],7,FALSE)&gt;0,"Y",""),"")</f>
        <v/>
      </c>
      <c r="M46" s="55" t="str">
        <f>IFERROR(IF(VLOOKUP(TableHandbook[[#This Row],[UDC]],TableAvailabilities[],8,FALSE)&gt;0,"Y",""),"")</f>
        <v/>
      </c>
      <c r="N46" s="55" t="str">
        <f>IFERROR(IF(VLOOKUP(TableHandbook[[#This Row],[UDC]],TableAvailabilities[],9,FALSE)&gt;0,"Y",""),"")</f>
        <v/>
      </c>
      <c r="O46" s="230"/>
      <c r="P46" s="232" t="str">
        <f>IFERROR(VLOOKUP(TableHandbook[[#This Row],[UDC]],TableMCTEACH[],7,FALSE),"")</f>
        <v/>
      </c>
      <c r="Q46" s="231" t="str">
        <f>IFERROR(VLOOKUP(TableHandbook[[#This Row],[UDC]],TableMJRPTCHEC[],7,FALSE),"")</f>
        <v/>
      </c>
      <c r="R46" s="231" t="str">
        <f>IFERROR(VLOOKUP(TableHandbook[[#This Row],[UDC]],TableMJRPTCHPR[],7,FALSE),"")</f>
        <v/>
      </c>
      <c r="S46" s="231" t="str">
        <f>IFERROR(VLOOKUP(TableHandbook[[#This Row],[UDC]],TableMJRPTCHSC[],7,FALSE),"")</f>
        <v>Core</v>
      </c>
      <c r="T46" s="231" t="str">
        <f>IFERROR(VLOOKUP(TableHandbook[[#This Row],[UDC]],TableSTRPSCART[],7,FALSE),"")</f>
        <v/>
      </c>
      <c r="U46" s="231" t="str">
        <f>IFERROR(VLOOKUP(TableHandbook[[#This Row],[UDC]],TableSTRPSCENG[],7,FALSE),"")</f>
        <v/>
      </c>
      <c r="V46" s="231" t="str">
        <f>IFERROR(VLOOKUP(TableHandbook[[#This Row],[UDC]],TableSTRPSCHLP[],7,FALSE),"")</f>
        <v/>
      </c>
      <c r="W46" s="231" t="str">
        <f>IFERROR(VLOOKUP(TableHandbook[[#This Row],[UDC]],TableSTRPSCHUS[],7,FALSE),"")</f>
        <v/>
      </c>
      <c r="X46" s="231" t="str">
        <f>IFERROR(VLOOKUP(TableHandbook[[#This Row],[UDC]],TableSTRPSCMAT[],7,FALSE),"")</f>
        <v/>
      </c>
      <c r="Y46" s="231" t="str">
        <f>IFERROR(VLOOKUP(TableHandbook[[#This Row],[UDC]],TableSTRPSCSCI[],7,FALSE),"")</f>
        <v/>
      </c>
      <c r="Z46" s="231" t="str">
        <f>IFERROR(VLOOKUP(TableHandbook[[#This Row],[UDC]],TableSTRPSCFON[],7,FALSE),"")</f>
        <v/>
      </c>
      <c r="AA46" s="232" t="str">
        <f>IFERROR(VLOOKUP(TableHandbook[[#This Row],[UDC]],TableGCTESOL[],7,FALSE),"")</f>
        <v/>
      </c>
      <c r="AB46" s="231" t="str">
        <f>IFERROR(VLOOKUP(TableHandbook[[#This Row],[UDC]],TableMCTESOL[],7,FALSE),"")</f>
        <v/>
      </c>
      <c r="AC46" s="231" t="str">
        <f>IFERROR(VLOOKUP(TableHandbook[[#This Row],[UDC]],TableMCAPLING[],7,FALSE),"")</f>
        <v/>
      </c>
      <c r="AD46" s="232" t="str">
        <f>IFERROR(VLOOKUP(TableHandbook[[#This Row],[UDC]],TableGCEDHE[],7,FALSE),"")</f>
        <v/>
      </c>
      <c r="AE46" s="231" t="str">
        <f>IFERROR(VLOOKUP(TableHandbook[[#This Row],[UDC]],TableGCEDUC[],7,FALSE),"")</f>
        <v/>
      </c>
      <c r="AF46" s="231" t="str">
        <f>IFERROR(VLOOKUP(TableHandbook[[#This Row],[UDC]],TableGDEDUC[],7,FALSE),"")</f>
        <v/>
      </c>
      <c r="AG46" s="231" t="str">
        <f>IFERROR(VLOOKUP(TableHandbook[[#This Row],[UDC]],TableMJRPEDUPR[],7,FALSE),"")</f>
        <v/>
      </c>
      <c r="AH46" s="231" t="str">
        <f>IFERROR(VLOOKUP(TableHandbook[[#This Row],[UDC]],TableMJRPEDUSC[],7,FALSE),"")</f>
        <v/>
      </c>
      <c r="AI46" s="232" t="str">
        <f>IFERROR(VLOOKUP(TableHandbook[[#This Row],[UDC]],TableMCEDUC[],7,FALSE),"")</f>
        <v/>
      </c>
      <c r="AJ46" s="231" t="str">
        <f>IFERROR(VLOOKUP(TableHandbook[[#This Row],[UDC]],TableSPPECULIN[],7,FALSE),"")</f>
        <v/>
      </c>
      <c r="AK46" s="231" t="str">
        <f>IFERROR(VLOOKUP(TableHandbook[[#This Row],[UDC]],TableSPPELNTCH[],7,FALSE),"")</f>
        <v/>
      </c>
      <c r="AL46" s="231" t="str">
        <f>IFERROR(VLOOKUP(TableHandbook[[#This Row],[UDC]],TableSPPESTEME[],7,FALSE),"")</f>
        <v/>
      </c>
    </row>
    <row r="47" spans="1:38" x14ac:dyDescent="0.25">
      <c r="A47" s="2" t="s">
        <v>74</v>
      </c>
      <c r="B47" s="3">
        <v>2</v>
      </c>
      <c r="C47" s="3"/>
      <c r="D47" s="2" t="s">
        <v>390</v>
      </c>
      <c r="E47" s="3">
        <v>25</v>
      </c>
      <c r="F47" s="54" t="s">
        <v>348</v>
      </c>
      <c r="G47" s="55" t="str">
        <f>IFERROR(IF(VLOOKUP(TableHandbook[[#This Row],[UDC]],TableAvailabilities[],2,FALSE)&gt;0,"Y",""),"")</f>
        <v>Y</v>
      </c>
      <c r="H47" s="55" t="str">
        <f>IFERROR(IF(VLOOKUP(TableHandbook[[#This Row],[UDC]],TableAvailabilities[],3,FALSE)&gt;0,"Y",""),"")</f>
        <v>Y</v>
      </c>
      <c r="I47" s="55" t="str">
        <f>IFERROR(IF(VLOOKUP(TableHandbook[[#This Row],[UDC]],TableAvailabilities[],4,FALSE)&gt;0,"Y",""),"")</f>
        <v/>
      </c>
      <c r="J47" s="55" t="str">
        <f>IFERROR(IF(VLOOKUP(TableHandbook[[#This Row],[UDC]],TableAvailabilities[],5,FALSE)&gt;0,"Y",""),"")</f>
        <v/>
      </c>
      <c r="K47" s="55" t="str">
        <f>IFERROR(IF(VLOOKUP(TableHandbook[[#This Row],[UDC]],TableAvailabilities[],6,FALSE)&gt;0,"Y",""),"")</f>
        <v>Y</v>
      </c>
      <c r="L47" s="55" t="str">
        <f>IFERROR(IF(VLOOKUP(TableHandbook[[#This Row],[UDC]],TableAvailabilities[],7,FALSE)&gt;0,"Y",""),"")</f>
        <v>Y</v>
      </c>
      <c r="M47" s="55" t="str">
        <f>IFERROR(IF(VLOOKUP(TableHandbook[[#This Row],[UDC]],TableAvailabilities[],8,FALSE)&gt;0,"Y",""),"")</f>
        <v/>
      </c>
      <c r="N47" s="55" t="str">
        <f>IFERROR(IF(VLOOKUP(TableHandbook[[#This Row],[UDC]],TableAvailabilities[],9,FALSE)&gt;0,"Y",""),"")</f>
        <v/>
      </c>
      <c r="O47" s="230"/>
      <c r="P47" s="232" t="str">
        <f>IFERROR(VLOOKUP(TableHandbook[[#This Row],[UDC]],TableMCTEACH[],7,FALSE),"")</f>
        <v/>
      </c>
      <c r="Q47" s="231" t="str">
        <f>IFERROR(VLOOKUP(TableHandbook[[#This Row],[UDC]],TableMJRPTCHEC[],7,FALSE),"")</f>
        <v>Core</v>
      </c>
      <c r="R47" s="231" t="str">
        <f>IFERROR(VLOOKUP(TableHandbook[[#This Row],[UDC]],TableMJRPTCHPR[],7,FALSE),"")</f>
        <v>Core</v>
      </c>
      <c r="S47" s="231" t="str">
        <f>IFERROR(VLOOKUP(TableHandbook[[#This Row],[UDC]],TableMJRPTCHSC[],7,FALSE),"")</f>
        <v>Core</v>
      </c>
      <c r="T47" s="231" t="str">
        <f>IFERROR(VLOOKUP(TableHandbook[[#This Row],[UDC]],TableSTRPSCART[],7,FALSE),"")</f>
        <v/>
      </c>
      <c r="U47" s="231" t="str">
        <f>IFERROR(VLOOKUP(TableHandbook[[#This Row],[UDC]],TableSTRPSCENG[],7,FALSE),"")</f>
        <v/>
      </c>
      <c r="V47" s="231" t="str">
        <f>IFERROR(VLOOKUP(TableHandbook[[#This Row],[UDC]],TableSTRPSCHLP[],7,FALSE),"")</f>
        <v/>
      </c>
      <c r="W47" s="231" t="str">
        <f>IFERROR(VLOOKUP(TableHandbook[[#This Row],[UDC]],TableSTRPSCHUS[],7,FALSE),"")</f>
        <v/>
      </c>
      <c r="X47" s="231" t="str">
        <f>IFERROR(VLOOKUP(TableHandbook[[#This Row],[UDC]],TableSTRPSCMAT[],7,FALSE),"")</f>
        <v/>
      </c>
      <c r="Y47" s="231" t="str">
        <f>IFERROR(VLOOKUP(TableHandbook[[#This Row],[UDC]],TableSTRPSCSCI[],7,FALSE),"")</f>
        <v/>
      </c>
      <c r="Z47" s="231" t="str">
        <f>IFERROR(VLOOKUP(TableHandbook[[#This Row],[UDC]],TableSTRPSCFON[],7,FALSE),"")</f>
        <v/>
      </c>
      <c r="AA47" s="232" t="str">
        <f>IFERROR(VLOOKUP(TableHandbook[[#This Row],[UDC]],TableGCTESOL[],7,FALSE),"")</f>
        <v/>
      </c>
      <c r="AB47" s="231" t="str">
        <f>IFERROR(VLOOKUP(TableHandbook[[#This Row],[UDC]],TableMCTESOL[],7,FALSE),"")</f>
        <v>Core</v>
      </c>
      <c r="AC47" s="231" t="str">
        <f>IFERROR(VLOOKUP(TableHandbook[[#This Row],[UDC]],TableMCAPLING[],7,FALSE),"")</f>
        <v/>
      </c>
      <c r="AD47" s="232" t="str">
        <f>IFERROR(VLOOKUP(TableHandbook[[#This Row],[UDC]],TableGCEDHE[],7,FALSE),"")</f>
        <v/>
      </c>
      <c r="AE47" s="231" t="str">
        <f>IFERROR(VLOOKUP(TableHandbook[[#This Row],[UDC]],TableGCEDUC[],7,FALSE),"")</f>
        <v>Option</v>
      </c>
      <c r="AF47" s="231" t="str">
        <f>IFERROR(VLOOKUP(TableHandbook[[#This Row],[UDC]],TableGDEDUC[],7,FALSE),"")</f>
        <v/>
      </c>
      <c r="AG47" s="231" t="str">
        <f>IFERROR(VLOOKUP(TableHandbook[[#This Row],[UDC]],TableMJRPEDUPR[],7,FALSE),"")</f>
        <v>Core</v>
      </c>
      <c r="AH47" s="231" t="str">
        <f>IFERROR(VLOOKUP(TableHandbook[[#This Row],[UDC]],TableMJRPEDUSC[],7,FALSE),"")</f>
        <v/>
      </c>
      <c r="AI47" s="232" t="str">
        <f>IFERROR(VLOOKUP(TableHandbook[[#This Row],[UDC]],TableMCEDUC[],7,FALSE),"")</f>
        <v/>
      </c>
      <c r="AJ47" s="231" t="str">
        <f>IFERROR(VLOOKUP(TableHandbook[[#This Row],[UDC]],TableSPPECULIN[],7,FALSE),"")</f>
        <v/>
      </c>
      <c r="AK47" s="231" t="str">
        <f>IFERROR(VLOOKUP(TableHandbook[[#This Row],[UDC]],TableSPPELNTCH[],7,FALSE),"")</f>
        <v/>
      </c>
      <c r="AL47" s="231" t="str">
        <f>IFERROR(VLOOKUP(TableHandbook[[#This Row],[UDC]],TableSPPESTEME[],7,FALSE),"")</f>
        <v/>
      </c>
    </row>
    <row r="48" spans="1:38" x14ac:dyDescent="0.25">
      <c r="A48" s="2" t="s">
        <v>97</v>
      </c>
      <c r="B48" s="3">
        <v>1</v>
      </c>
      <c r="C48" s="3"/>
      <c r="D48" s="2" t="s">
        <v>391</v>
      </c>
      <c r="E48" s="3">
        <v>25</v>
      </c>
      <c r="F48" s="54" t="s">
        <v>348</v>
      </c>
      <c r="G48" s="55" t="str">
        <f>IFERROR(IF(VLOOKUP(TableHandbook[[#This Row],[UDC]],TableAvailabilities[],2,FALSE)&gt;0,"Y",""),"")</f>
        <v/>
      </c>
      <c r="H48" s="55" t="str">
        <f>IFERROR(IF(VLOOKUP(TableHandbook[[#This Row],[UDC]],TableAvailabilities[],3,FALSE)&gt;0,"Y",""),"")</f>
        <v/>
      </c>
      <c r="I48" s="55" t="str">
        <f>IFERROR(IF(VLOOKUP(TableHandbook[[#This Row],[UDC]],TableAvailabilities[],4,FALSE)&gt;0,"Y",""),"")</f>
        <v>Y</v>
      </c>
      <c r="J48" s="55" t="str">
        <f>IFERROR(IF(VLOOKUP(TableHandbook[[#This Row],[UDC]],TableAvailabilities[],5,FALSE)&gt;0,"Y",""),"")</f>
        <v>Y</v>
      </c>
      <c r="K48" s="55" t="str">
        <f>IFERROR(IF(VLOOKUP(TableHandbook[[#This Row],[UDC]],TableAvailabilities[],6,FALSE)&gt;0,"Y",""),"")</f>
        <v>Y</v>
      </c>
      <c r="L48" s="55" t="str">
        <f>IFERROR(IF(VLOOKUP(TableHandbook[[#This Row],[UDC]],TableAvailabilities[],7,FALSE)&gt;0,"Y",""),"")</f>
        <v>Y</v>
      </c>
      <c r="M48" s="55" t="str">
        <f>IFERROR(IF(VLOOKUP(TableHandbook[[#This Row],[UDC]],TableAvailabilities[],8,FALSE)&gt;0,"Y",""),"")</f>
        <v>Y</v>
      </c>
      <c r="N48" s="55" t="str">
        <f>IFERROR(IF(VLOOKUP(TableHandbook[[#This Row],[UDC]],TableAvailabilities[],9,FALSE)&gt;0,"Y",""),"")</f>
        <v>Y</v>
      </c>
      <c r="O48" s="230"/>
      <c r="P48" s="232" t="str">
        <f>IFERROR(VLOOKUP(TableHandbook[[#This Row],[UDC]],TableMCTEACH[],7,FALSE),"")</f>
        <v/>
      </c>
      <c r="Q48" s="231" t="str">
        <f>IFERROR(VLOOKUP(TableHandbook[[#This Row],[UDC]],TableMJRPTCHEC[],7,FALSE),"")</f>
        <v>Core</v>
      </c>
      <c r="R48" s="231" t="str">
        <f>IFERROR(VLOOKUP(TableHandbook[[#This Row],[UDC]],TableMJRPTCHPR[],7,FALSE),"")</f>
        <v>Core</v>
      </c>
      <c r="S48" s="231" t="str">
        <f>IFERROR(VLOOKUP(TableHandbook[[#This Row],[UDC]],TableMJRPTCHSC[],7,FALSE),"")</f>
        <v>Core</v>
      </c>
      <c r="T48" s="231" t="str">
        <f>IFERROR(VLOOKUP(TableHandbook[[#This Row],[UDC]],TableSTRPSCART[],7,FALSE),"")</f>
        <v/>
      </c>
      <c r="U48" s="231" t="str">
        <f>IFERROR(VLOOKUP(TableHandbook[[#This Row],[UDC]],TableSTRPSCENG[],7,FALSE),"")</f>
        <v/>
      </c>
      <c r="V48" s="231" t="str">
        <f>IFERROR(VLOOKUP(TableHandbook[[#This Row],[UDC]],TableSTRPSCHLP[],7,FALSE),"")</f>
        <v/>
      </c>
      <c r="W48" s="231" t="str">
        <f>IFERROR(VLOOKUP(TableHandbook[[#This Row],[UDC]],TableSTRPSCHUS[],7,FALSE),"")</f>
        <v/>
      </c>
      <c r="X48" s="231" t="str">
        <f>IFERROR(VLOOKUP(TableHandbook[[#This Row],[UDC]],TableSTRPSCMAT[],7,FALSE),"")</f>
        <v/>
      </c>
      <c r="Y48" s="231" t="str">
        <f>IFERROR(VLOOKUP(TableHandbook[[#This Row],[UDC]],TableSTRPSCSCI[],7,FALSE),"")</f>
        <v/>
      </c>
      <c r="Z48" s="231" t="str">
        <f>IFERROR(VLOOKUP(TableHandbook[[#This Row],[UDC]],TableSTRPSCFON[],7,FALSE),"")</f>
        <v/>
      </c>
      <c r="AA48" s="232" t="str">
        <f>IFERROR(VLOOKUP(TableHandbook[[#This Row],[UDC]],TableGCTESOL[],7,FALSE),"")</f>
        <v/>
      </c>
      <c r="AB48" s="231" t="str">
        <f>IFERROR(VLOOKUP(TableHandbook[[#This Row],[UDC]],TableMCTESOL[],7,FALSE),"")</f>
        <v>Core</v>
      </c>
      <c r="AC48" s="231" t="str">
        <f>IFERROR(VLOOKUP(TableHandbook[[#This Row],[UDC]],TableMCAPLING[],7,FALSE),"")</f>
        <v/>
      </c>
      <c r="AD48" s="232" t="str">
        <f>IFERROR(VLOOKUP(TableHandbook[[#This Row],[UDC]],TableGCEDHE[],7,FALSE),"")</f>
        <v/>
      </c>
      <c r="AE48" s="231" t="str">
        <f>IFERROR(VLOOKUP(TableHandbook[[#This Row],[UDC]],TableGCEDUC[],7,FALSE),"")</f>
        <v>Option</v>
      </c>
      <c r="AF48" s="231" t="str">
        <f>IFERROR(VLOOKUP(TableHandbook[[#This Row],[UDC]],TableGDEDUC[],7,FALSE),"")</f>
        <v/>
      </c>
      <c r="AG48" s="231" t="str">
        <f>IFERROR(VLOOKUP(TableHandbook[[#This Row],[UDC]],TableMJRPEDUPR[],7,FALSE),"")</f>
        <v>Core</v>
      </c>
      <c r="AH48" s="231" t="str">
        <f>IFERROR(VLOOKUP(TableHandbook[[#This Row],[UDC]],TableMJRPEDUSC[],7,FALSE),"")</f>
        <v>Core</v>
      </c>
      <c r="AI48" s="232" t="str">
        <f>IFERROR(VLOOKUP(TableHandbook[[#This Row],[UDC]],TableMCEDUC[],7,FALSE),"")</f>
        <v/>
      </c>
      <c r="AJ48" s="231" t="str">
        <f>IFERROR(VLOOKUP(TableHandbook[[#This Row],[UDC]],TableSPPECULIN[],7,FALSE),"")</f>
        <v/>
      </c>
      <c r="AK48" s="231" t="str">
        <f>IFERROR(VLOOKUP(TableHandbook[[#This Row],[UDC]],TableSPPELNTCH[],7,FALSE),"")</f>
        <v/>
      </c>
      <c r="AL48" s="231" t="str">
        <f>IFERROR(VLOOKUP(TableHandbook[[#This Row],[UDC]],TableSPPESTEME[],7,FALSE),"")</f>
        <v/>
      </c>
    </row>
    <row r="49" spans="1:38" x14ac:dyDescent="0.25">
      <c r="A49" s="2" t="s">
        <v>98</v>
      </c>
      <c r="B49" s="3">
        <v>1</v>
      </c>
      <c r="C49" s="3"/>
      <c r="D49" s="2" t="s">
        <v>392</v>
      </c>
      <c r="E49" s="3">
        <v>25</v>
      </c>
      <c r="F49" s="54" t="s">
        <v>348</v>
      </c>
      <c r="G49" s="55" t="str">
        <f>IFERROR(IF(VLOOKUP(TableHandbook[[#This Row],[UDC]],TableAvailabilities[],2,FALSE)&gt;0,"Y",""),"")</f>
        <v>Y</v>
      </c>
      <c r="H49" s="55" t="str">
        <f>IFERROR(IF(VLOOKUP(TableHandbook[[#This Row],[UDC]],TableAvailabilities[],3,FALSE)&gt;0,"Y",""),"")</f>
        <v>Y</v>
      </c>
      <c r="I49" s="55" t="str">
        <f>IFERROR(IF(VLOOKUP(TableHandbook[[#This Row],[UDC]],TableAvailabilities[],4,FALSE)&gt;0,"Y",""),"")</f>
        <v/>
      </c>
      <c r="J49" s="55" t="str">
        <f>IFERROR(IF(VLOOKUP(TableHandbook[[#This Row],[UDC]],TableAvailabilities[],5,FALSE)&gt;0,"Y",""),"")</f>
        <v/>
      </c>
      <c r="K49" s="55" t="str">
        <f>IFERROR(IF(VLOOKUP(TableHandbook[[#This Row],[UDC]],TableAvailabilities[],6,FALSE)&gt;0,"Y",""),"")</f>
        <v>Y</v>
      </c>
      <c r="L49" s="55" t="str">
        <f>IFERROR(IF(VLOOKUP(TableHandbook[[#This Row],[UDC]],TableAvailabilities[],7,FALSE)&gt;0,"Y",""),"")</f>
        <v>Y</v>
      </c>
      <c r="M49" s="55" t="str">
        <f>IFERROR(IF(VLOOKUP(TableHandbook[[#This Row],[UDC]],TableAvailabilities[],8,FALSE)&gt;0,"Y",""),"")</f>
        <v/>
      </c>
      <c r="N49" s="55" t="str">
        <f>IFERROR(IF(VLOOKUP(TableHandbook[[#This Row],[UDC]],TableAvailabilities[],9,FALSE)&gt;0,"Y",""),"")</f>
        <v/>
      </c>
      <c r="O49" s="230"/>
      <c r="P49" s="232" t="str">
        <f>IFERROR(VLOOKUP(TableHandbook[[#This Row],[UDC]],TableMCTEACH[],7,FALSE),"")</f>
        <v/>
      </c>
      <c r="Q49" s="231" t="str">
        <f>IFERROR(VLOOKUP(TableHandbook[[#This Row],[UDC]],TableMJRPTCHEC[],7,FALSE),"")</f>
        <v/>
      </c>
      <c r="R49" s="231" t="str">
        <f>IFERROR(VLOOKUP(TableHandbook[[#This Row],[UDC]],TableMJRPTCHPR[],7,FALSE),"")</f>
        <v>Core</v>
      </c>
      <c r="S49" s="231" t="str">
        <f>IFERROR(VLOOKUP(TableHandbook[[#This Row],[UDC]],TableMJRPTCHSC[],7,FALSE),"")</f>
        <v>Core</v>
      </c>
      <c r="T49" s="231" t="str">
        <f>IFERROR(VLOOKUP(TableHandbook[[#This Row],[UDC]],TableSTRPSCART[],7,FALSE),"")</f>
        <v/>
      </c>
      <c r="U49" s="231" t="str">
        <f>IFERROR(VLOOKUP(TableHandbook[[#This Row],[UDC]],TableSTRPSCENG[],7,FALSE),"")</f>
        <v/>
      </c>
      <c r="V49" s="231" t="str">
        <f>IFERROR(VLOOKUP(TableHandbook[[#This Row],[UDC]],TableSTRPSCHLP[],7,FALSE),"")</f>
        <v/>
      </c>
      <c r="W49" s="231" t="str">
        <f>IFERROR(VLOOKUP(TableHandbook[[#This Row],[UDC]],TableSTRPSCHUS[],7,FALSE),"")</f>
        <v/>
      </c>
      <c r="X49" s="231" t="str">
        <f>IFERROR(VLOOKUP(TableHandbook[[#This Row],[UDC]],TableSTRPSCMAT[],7,FALSE),"")</f>
        <v/>
      </c>
      <c r="Y49" s="231" t="str">
        <f>IFERROR(VLOOKUP(TableHandbook[[#This Row],[UDC]],TableSTRPSCSCI[],7,FALSE),"")</f>
        <v/>
      </c>
      <c r="Z49" s="231" t="str">
        <f>IFERROR(VLOOKUP(TableHandbook[[#This Row],[UDC]],TableSTRPSCFON[],7,FALSE),"")</f>
        <v/>
      </c>
      <c r="AA49" s="232" t="str">
        <f>IFERROR(VLOOKUP(TableHandbook[[#This Row],[UDC]],TableGCTESOL[],7,FALSE),"")</f>
        <v/>
      </c>
      <c r="AB49" s="231" t="str">
        <f>IFERROR(VLOOKUP(TableHandbook[[#This Row],[UDC]],TableMCTESOL[],7,FALSE),"")</f>
        <v/>
      </c>
      <c r="AC49" s="231" t="str">
        <f>IFERROR(VLOOKUP(TableHandbook[[#This Row],[UDC]],TableMCAPLING[],7,FALSE),"")</f>
        <v/>
      </c>
      <c r="AD49" s="232" t="str">
        <f>IFERROR(VLOOKUP(TableHandbook[[#This Row],[UDC]],TableGCEDHE[],7,FALSE),"")</f>
        <v/>
      </c>
      <c r="AE49" s="231" t="str">
        <f>IFERROR(VLOOKUP(TableHandbook[[#This Row],[UDC]],TableGCEDUC[],7,FALSE),"")</f>
        <v>Option</v>
      </c>
      <c r="AF49" s="231" t="str">
        <f>IFERROR(VLOOKUP(TableHandbook[[#This Row],[UDC]],TableGDEDUC[],7,FALSE),"")</f>
        <v/>
      </c>
      <c r="AG49" s="231" t="str">
        <f>IFERROR(VLOOKUP(TableHandbook[[#This Row],[UDC]],TableMJRPEDUPR[],7,FALSE),"")</f>
        <v/>
      </c>
      <c r="AH49" s="231" t="str">
        <f>IFERROR(VLOOKUP(TableHandbook[[#This Row],[UDC]],TableMJRPEDUSC[],7,FALSE),"")</f>
        <v>Core</v>
      </c>
      <c r="AI49" s="232" t="str">
        <f>IFERROR(VLOOKUP(TableHandbook[[#This Row],[UDC]],TableMCEDUC[],7,FALSE),"")</f>
        <v/>
      </c>
      <c r="AJ49" s="231" t="str">
        <f>IFERROR(VLOOKUP(TableHandbook[[#This Row],[UDC]],TableSPPECULIN[],7,FALSE),"")</f>
        <v/>
      </c>
      <c r="AK49" s="231" t="str">
        <f>IFERROR(VLOOKUP(TableHandbook[[#This Row],[UDC]],TableSPPELNTCH[],7,FALSE),"")</f>
        <v/>
      </c>
      <c r="AL49" s="231" t="str">
        <f>IFERROR(VLOOKUP(TableHandbook[[#This Row],[UDC]],TableSPPESTEME[],7,FALSE),"")</f>
        <v/>
      </c>
    </row>
    <row r="50" spans="1:38" x14ac:dyDescent="0.25">
      <c r="A50" s="2" t="s">
        <v>88</v>
      </c>
      <c r="B50" s="3">
        <v>1</v>
      </c>
      <c r="C50" s="3"/>
      <c r="D50" s="2" t="s">
        <v>393</v>
      </c>
      <c r="E50" s="3">
        <v>25</v>
      </c>
      <c r="F50" s="54" t="s">
        <v>348</v>
      </c>
      <c r="G50" s="55" t="str">
        <f>IFERROR(IF(VLOOKUP(TableHandbook[[#This Row],[UDC]],TableAvailabilities[],2,FALSE)&gt;0,"Y",""),"")</f>
        <v/>
      </c>
      <c r="H50" s="55" t="str">
        <f>IFERROR(IF(VLOOKUP(TableHandbook[[#This Row],[UDC]],TableAvailabilities[],3,FALSE)&gt;0,"Y",""),"")</f>
        <v/>
      </c>
      <c r="I50" s="55" t="str">
        <f>IFERROR(IF(VLOOKUP(TableHandbook[[#This Row],[UDC]],TableAvailabilities[],4,FALSE)&gt;0,"Y",""),"")</f>
        <v>Y</v>
      </c>
      <c r="J50" s="55" t="str">
        <f>IFERROR(IF(VLOOKUP(TableHandbook[[#This Row],[UDC]],TableAvailabilities[],5,FALSE)&gt;0,"Y",""),"")</f>
        <v>Y</v>
      </c>
      <c r="K50" s="55" t="str">
        <f>IFERROR(IF(VLOOKUP(TableHandbook[[#This Row],[UDC]],TableAvailabilities[],6,FALSE)&gt;0,"Y",""),"")</f>
        <v/>
      </c>
      <c r="L50" s="55" t="str">
        <f>IFERROR(IF(VLOOKUP(TableHandbook[[#This Row],[UDC]],TableAvailabilities[],7,FALSE)&gt;0,"Y",""),"")</f>
        <v/>
      </c>
      <c r="M50" s="55" t="str">
        <f>IFERROR(IF(VLOOKUP(TableHandbook[[#This Row],[UDC]],TableAvailabilities[],8,FALSE)&gt;0,"Y",""),"")</f>
        <v>Y</v>
      </c>
      <c r="N50" s="55" t="str">
        <f>IFERROR(IF(VLOOKUP(TableHandbook[[#This Row],[UDC]],TableAvailabilities[],9,FALSE)&gt;0,"Y",""),"")</f>
        <v>Y</v>
      </c>
      <c r="O50" s="230"/>
      <c r="P50" s="232" t="str">
        <f>IFERROR(VLOOKUP(TableHandbook[[#This Row],[UDC]],TableMCTEACH[],7,FALSE),"")</f>
        <v/>
      </c>
      <c r="Q50" s="231" t="str">
        <f>IFERROR(VLOOKUP(TableHandbook[[#This Row],[UDC]],TableMJRPTCHEC[],7,FALSE),"")</f>
        <v>Core</v>
      </c>
      <c r="R50" s="231" t="str">
        <f>IFERROR(VLOOKUP(TableHandbook[[#This Row],[UDC]],TableMJRPTCHPR[],7,FALSE),"")</f>
        <v>Core</v>
      </c>
      <c r="S50" s="231" t="str">
        <f>IFERROR(VLOOKUP(TableHandbook[[#This Row],[UDC]],TableMJRPTCHSC[],7,FALSE),"")</f>
        <v/>
      </c>
      <c r="T50" s="231" t="str">
        <f>IFERROR(VLOOKUP(TableHandbook[[#This Row],[UDC]],TableSTRPSCART[],7,FALSE),"")</f>
        <v/>
      </c>
      <c r="U50" s="231" t="str">
        <f>IFERROR(VLOOKUP(TableHandbook[[#This Row],[UDC]],TableSTRPSCENG[],7,FALSE),"")</f>
        <v/>
      </c>
      <c r="V50" s="231" t="str">
        <f>IFERROR(VLOOKUP(TableHandbook[[#This Row],[UDC]],TableSTRPSCHLP[],7,FALSE),"")</f>
        <v/>
      </c>
      <c r="W50" s="231" t="str">
        <f>IFERROR(VLOOKUP(TableHandbook[[#This Row],[UDC]],TableSTRPSCHUS[],7,FALSE),"")</f>
        <v/>
      </c>
      <c r="X50" s="231" t="str">
        <f>IFERROR(VLOOKUP(TableHandbook[[#This Row],[UDC]],TableSTRPSCMAT[],7,FALSE),"")</f>
        <v/>
      </c>
      <c r="Y50" s="231" t="str">
        <f>IFERROR(VLOOKUP(TableHandbook[[#This Row],[UDC]],TableSTRPSCSCI[],7,FALSE),"")</f>
        <v/>
      </c>
      <c r="Z50" s="231" t="str">
        <f>IFERROR(VLOOKUP(TableHandbook[[#This Row],[UDC]],TableSTRPSCFON[],7,FALSE),"")</f>
        <v/>
      </c>
      <c r="AA50" s="232" t="str">
        <f>IFERROR(VLOOKUP(TableHandbook[[#This Row],[UDC]],TableGCTESOL[],7,FALSE),"")</f>
        <v/>
      </c>
      <c r="AB50" s="231" t="str">
        <f>IFERROR(VLOOKUP(TableHandbook[[#This Row],[UDC]],TableMCTESOL[],7,FALSE),"")</f>
        <v/>
      </c>
      <c r="AC50" s="231" t="str">
        <f>IFERROR(VLOOKUP(TableHandbook[[#This Row],[UDC]],TableMCAPLING[],7,FALSE),"")</f>
        <v/>
      </c>
      <c r="AD50" s="232" t="str">
        <f>IFERROR(VLOOKUP(TableHandbook[[#This Row],[UDC]],TableGCEDHE[],7,FALSE),"")</f>
        <v/>
      </c>
      <c r="AE50" s="231" t="str">
        <f>IFERROR(VLOOKUP(TableHandbook[[#This Row],[UDC]],TableGCEDUC[],7,FALSE),"")</f>
        <v>Option</v>
      </c>
      <c r="AF50" s="231" t="str">
        <f>IFERROR(VLOOKUP(TableHandbook[[#This Row],[UDC]],TableGDEDUC[],7,FALSE),"")</f>
        <v/>
      </c>
      <c r="AG50" s="231" t="str">
        <f>IFERROR(VLOOKUP(TableHandbook[[#This Row],[UDC]],TableMJRPEDUPR[],7,FALSE),"")</f>
        <v/>
      </c>
      <c r="AH50" s="231" t="str">
        <f>IFERROR(VLOOKUP(TableHandbook[[#This Row],[UDC]],TableMJRPEDUSC[],7,FALSE),"")</f>
        <v/>
      </c>
      <c r="AI50" s="232" t="str">
        <f>IFERROR(VLOOKUP(TableHandbook[[#This Row],[UDC]],TableMCEDUC[],7,FALSE),"")</f>
        <v/>
      </c>
      <c r="AJ50" s="231" t="str">
        <f>IFERROR(VLOOKUP(TableHandbook[[#This Row],[UDC]],TableSPPECULIN[],7,FALSE),"")</f>
        <v/>
      </c>
      <c r="AK50" s="231" t="str">
        <f>IFERROR(VLOOKUP(TableHandbook[[#This Row],[UDC]],TableSPPELNTCH[],7,FALSE),"")</f>
        <v/>
      </c>
      <c r="AL50" s="231" t="str">
        <f>IFERROR(VLOOKUP(TableHandbook[[#This Row],[UDC]],TableSPPESTEME[],7,FALSE),"")</f>
        <v/>
      </c>
    </row>
    <row r="51" spans="1:38" x14ac:dyDescent="0.25">
      <c r="A51" s="2" t="s">
        <v>172</v>
      </c>
      <c r="B51" s="3">
        <v>1</v>
      </c>
      <c r="C51" s="3"/>
      <c r="D51" s="2" t="s">
        <v>394</v>
      </c>
      <c r="E51" s="3">
        <v>25</v>
      </c>
      <c r="F51" s="54" t="s">
        <v>348</v>
      </c>
      <c r="G51" s="55" t="str">
        <f>IFERROR(IF(VLOOKUP(TableHandbook[[#This Row],[UDC]],TableAvailabilities[],2,FALSE)&gt;0,"Y",""),"")</f>
        <v/>
      </c>
      <c r="H51" s="55" t="str">
        <f>IFERROR(IF(VLOOKUP(TableHandbook[[#This Row],[UDC]],TableAvailabilities[],3,FALSE)&gt;0,"Y",""),"")</f>
        <v/>
      </c>
      <c r="I51" s="55" t="str">
        <f>IFERROR(IF(VLOOKUP(TableHandbook[[#This Row],[UDC]],TableAvailabilities[],4,FALSE)&gt;0,"Y",""),"")</f>
        <v>Y</v>
      </c>
      <c r="J51" s="55" t="str">
        <f>IFERROR(IF(VLOOKUP(TableHandbook[[#This Row],[UDC]],TableAvailabilities[],5,FALSE)&gt;0,"Y",""),"")</f>
        <v>Y</v>
      </c>
      <c r="K51" s="55" t="str">
        <f>IFERROR(IF(VLOOKUP(TableHandbook[[#This Row],[UDC]],TableAvailabilities[],6,FALSE)&gt;0,"Y",""),"")</f>
        <v/>
      </c>
      <c r="L51" s="55" t="str">
        <f>IFERROR(IF(VLOOKUP(TableHandbook[[#This Row],[UDC]],TableAvailabilities[],7,FALSE)&gt;0,"Y",""),"")</f>
        <v/>
      </c>
      <c r="M51" s="55" t="str">
        <f>IFERROR(IF(VLOOKUP(TableHandbook[[#This Row],[UDC]],TableAvailabilities[],8,FALSE)&gt;0,"Y",""),"")</f>
        <v>Y</v>
      </c>
      <c r="N51" s="55" t="str">
        <f>IFERROR(IF(VLOOKUP(TableHandbook[[#This Row],[UDC]],TableAvailabilities[],9,FALSE)&gt;0,"Y",""),"")</f>
        <v>Y</v>
      </c>
      <c r="O51" s="230"/>
      <c r="P51" s="232" t="str">
        <f>IFERROR(VLOOKUP(TableHandbook[[#This Row],[UDC]],TableMCTEACH[],7,FALSE),"")</f>
        <v/>
      </c>
      <c r="Q51" s="231" t="str">
        <f>IFERROR(VLOOKUP(TableHandbook[[#This Row],[UDC]],TableMJRPTCHEC[],7,FALSE),"")</f>
        <v/>
      </c>
      <c r="R51" s="231" t="str">
        <f>IFERROR(VLOOKUP(TableHandbook[[#This Row],[UDC]],TableMJRPTCHPR[],7,FALSE),"")</f>
        <v/>
      </c>
      <c r="S51" s="231" t="str">
        <f>IFERROR(VLOOKUP(TableHandbook[[#This Row],[UDC]],TableMJRPTCHSC[],7,FALSE),"")</f>
        <v/>
      </c>
      <c r="T51" s="231" t="str">
        <f>IFERROR(VLOOKUP(TableHandbook[[#This Row],[UDC]],TableSTRPSCART[],7,FALSE),"")</f>
        <v/>
      </c>
      <c r="U51" s="231" t="str">
        <f>IFERROR(VLOOKUP(TableHandbook[[#This Row],[UDC]],TableSTRPSCENG[],7,FALSE),"")</f>
        <v/>
      </c>
      <c r="V51" s="231" t="str">
        <f>IFERROR(VLOOKUP(TableHandbook[[#This Row],[UDC]],TableSTRPSCHLP[],7,FALSE),"")</f>
        <v/>
      </c>
      <c r="W51" s="231" t="str">
        <f>IFERROR(VLOOKUP(TableHandbook[[#This Row],[UDC]],TableSTRPSCHUS[],7,FALSE),"")</f>
        <v/>
      </c>
      <c r="X51" s="231" t="str">
        <f>IFERROR(VLOOKUP(TableHandbook[[#This Row],[UDC]],TableSTRPSCMAT[],7,FALSE),"")</f>
        <v/>
      </c>
      <c r="Y51" s="231" t="str">
        <f>IFERROR(VLOOKUP(TableHandbook[[#This Row],[UDC]],TableSTRPSCSCI[],7,FALSE),"")</f>
        <v/>
      </c>
      <c r="Z51" s="231" t="str">
        <f>IFERROR(VLOOKUP(TableHandbook[[#This Row],[UDC]],TableSTRPSCFON[],7,FALSE),"")</f>
        <v/>
      </c>
      <c r="AA51" s="232" t="str">
        <f>IFERROR(VLOOKUP(TableHandbook[[#This Row],[UDC]],TableGCTESOL[],7,FALSE),"")</f>
        <v>Core</v>
      </c>
      <c r="AB51" s="231" t="str">
        <f>IFERROR(VLOOKUP(TableHandbook[[#This Row],[UDC]],TableMCTESOL[],7,FALSE),"")</f>
        <v>Core</v>
      </c>
      <c r="AC51" s="231" t="str">
        <f>IFERROR(VLOOKUP(TableHandbook[[#This Row],[UDC]],TableMCAPLING[],7,FALSE),"")</f>
        <v/>
      </c>
      <c r="AD51" s="232" t="str">
        <f>IFERROR(VLOOKUP(TableHandbook[[#This Row],[UDC]],TableGCEDHE[],7,FALSE),"")</f>
        <v/>
      </c>
      <c r="AE51" s="231" t="str">
        <f>IFERROR(VLOOKUP(TableHandbook[[#This Row],[UDC]],TableGCEDUC[],7,FALSE),"")</f>
        <v/>
      </c>
      <c r="AF51" s="231" t="str">
        <f>IFERROR(VLOOKUP(TableHandbook[[#This Row],[UDC]],TableGDEDUC[],7,FALSE),"")</f>
        <v/>
      </c>
      <c r="AG51" s="231" t="str">
        <f>IFERROR(VLOOKUP(TableHandbook[[#This Row],[UDC]],TableMJRPEDUPR[],7,FALSE),"")</f>
        <v/>
      </c>
      <c r="AH51" s="231" t="str">
        <f>IFERROR(VLOOKUP(TableHandbook[[#This Row],[UDC]],TableMJRPEDUSC[],7,FALSE),"")</f>
        <v/>
      </c>
      <c r="AI51" s="232" t="str">
        <f>IFERROR(VLOOKUP(TableHandbook[[#This Row],[UDC]],TableMCEDUC[],7,FALSE),"")</f>
        <v/>
      </c>
      <c r="AJ51" s="231" t="str">
        <f>IFERROR(VLOOKUP(TableHandbook[[#This Row],[UDC]],TableSPPECULIN[],7,FALSE),"")</f>
        <v/>
      </c>
      <c r="AK51" s="231" t="str">
        <f>IFERROR(VLOOKUP(TableHandbook[[#This Row],[UDC]],TableSPPELNTCH[],7,FALSE),"")</f>
        <v/>
      </c>
      <c r="AL51" s="231" t="str">
        <f>IFERROR(VLOOKUP(TableHandbook[[#This Row],[UDC]],TableSPPESTEME[],7,FALSE),"")</f>
        <v/>
      </c>
    </row>
    <row r="52" spans="1:38" x14ac:dyDescent="0.25">
      <c r="A52" s="2" t="s">
        <v>160</v>
      </c>
      <c r="B52" s="3">
        <v>1</v>
      </c>
      <c r="C52" s="3"/>
      <c r="D52" s="2" t="s">
        <v>395</v>
      </c>
      <c r="E52" s="3">
        <v>25</v>
      </c>
      <c r="F52" s="54" t="s">
        <v>348</v>
      </c>
      <c r="G52" s="55" t="str">
        <f>IFERROR(IF(VLOOKUP(TableHandbook[[#This Row],[UDC]],TableAvailabilities[],2,FALSE)&gt;0,"Y",""),"")</f>
        <v>Y</v>
      </c>
      <c r="H52" s="55" t="str">
        <f>IFERROR(IF(VLOOKUP(TableHandbook[[#This Row],[UDC]],TableAvailabilities[],3,FALSE)&gt;0,"Y",""),"")</f>
        <v>Y</v>
      </c>
      <c r="I52" s="55" t="str">
        <f>IFERROR(IF(VLOOKUP(TableHandbook[[#This Row],[UDC]],TableAvailabilities[],4,FALSE)&gt;0,"Y",""),"")</f>
        <v/>
      </c>
      <c r="J52" s="55" t="str">
        <f>IFERROR(IF(VLOOKUP(TableHandbook[[#This Row],[UDC]],TableAvailabilities[],5,FALSE)&gt;0,"Y",""),"")</f>
        <v/>
      </c>
      <c r="K52" s="55" t="str">
        <f>IFERROR(IF(VLOOKUP(TableHandbook[[#This Row],[UDC]],TableAvailabilities[],6,FALSE)&gt;0,"Y",""),"")</f>
        <v/>
      </c>
      <c r="L52" s="55" t="str">
        <f>IFERROR(IF(VLOOKUP(TableHandbook[[#This Row],[UDC]],TableAvailabilities[],7,FALSE)&gt;0,"Y",""),"")</f>
        <v>Y</v>
      </c>
      <c r="M52" s="55" t="str">
        <f>IFERROR(IF(VLOOKUP(TableHandbook[[#This Row],[UDC]],TableAvailabilities[],8,FALSE)&gt;0,"Y",""),"")</f>
        <v/>
      </c>
      <c r="N52" s="55" t="str">
        <f>IFERROR(IF(VLOOKUP(TableHandbook[[#This Row],[UDC]],TableAvailabilities[],9,FALSE)&gt;0,"Y",""),"")</f>
        <v/>
      </c>
      <c r="O52" s="230"/>
      <c r="P52" s="232" t="str">
        <f>IFERROR(VLOOKUP(TableHandbook[[#This Row],[UDC]],TableMCTEACH[],7,FALSE),"")</f>
        <v/>
      </c>
      <c r="Q52" s="231" t="str">
        <f>IFERROR(VLOOKUP(TableHandbook[[#This Row],[UDC]],TableMJRPTCHEC[],7,FALSE),"")</f>
        <v/>
      </c>
      <c r="R52" s="231" t="str">
        <f>IFERROR(VLOOKUP(TableHandbook[[#This Row],[UDC]],TableMJRPTCHPR[],7,FALSE),"")</f>
        <v/>
      </c>
      <c r="S52" s="231" t="str">
        <f>IFERROR(VLOOKUP(TableHandbook[[#This Row],[UDC]],TableMJRPTCHSC[],7,FALSE),"")</f>
        <v/>
      </c>
      <c r="T52" s="231" t="str">
        <f>IFERROR(VLOOKUP(TableHandbook[[#This Row],[UDC]],TableSTRPSCART[],7,FALSE),"")</f>
        <v/>
      </c>
      <c r="U52" s="231" t="str">
        <f>IFERROR(VLOOKUP(TableHandbook[[#This Row],[UDC]],TableSTRPSCENG[],7,FALSE),"")</f>
        <v/>
      </c>
      <c r="V52" s="231" t="str">
        <f>IFERROR(VLOOKUP(TableHandbook[[#This Row],[UDC]],TableSTRPSCHLP[],7,FALSE),"")</f>
        <v/>
      </c>
      <c r="W52" s="231" t="str">
        <f>IFERROR(VLOOKUP(TableHandbook[[#This Row],[UDC]],TableSTRPSCHUS[],7,FALSE),"")</f>
        <v/>
      </c>
      <c r="X52" s="231" t="str">
        <f>IFERROR(VLOOKUP(TableHandbook[[#This Row],[UDC]],TableSTRPSCMAT[],7,FALSE),"")</f>
        <v/>
      </c>
      <c r="Y52" s="231" t="str">
        <f>IFERROR(VLOOKUP(TableHandbook[[#This Row],[UDC]],TableSTRPSCSCI[],7,FALSE),"")</f>
        <v/>
      </c>
      <c r="Z52" s="231" t="str">
        <f>IFERROR(VLOOKUP(TableHandbook[[#This Row],[UDC]],TableSTRPSCFON[],7,FALSE),"")</f>
        <v/>
      </c>
      <c r="AA52" s="232" t="str">
        <f>IFERROR(VLOOKUP(TableHandbook[[#This Row],[UDC]],TableGCTESOL[],7,FALSE),"")</f>
        <v>Core</v>
      </c>
      <c r="AB52" s="231" t="str">
        <f>IFERROR(VLOOKUP(TableHandbook[[#This Row],[UDC]],TableMCTESOL[],7,FALSE),"")</f>
        <v>Core</v>
      </c>
      <c r="AC52" s="231" t="str">
        <f>IFERROR(VLOOKUP(TableHandbook[[#This Row],[UDC]],TableMCAPLING[],7,FALSE),"")</f>
        <v/>
      </c>
      <c r="AD52" s="232" t="str">
        <f>IFERROR(VLOOKUP(TableHandbook[[#This Row],[UDC]],TableGCEDHE[],7,FALSE),"")</f>
        <v/>
      </c>
      <c r="AE52" s="231" t="str">
        <f>IFERROR(VLOOKUP(TableHandbook[[#This Row],[UDC]],TableGCEDUC[],7,FALSE),"")</f>
        <v/>
      </c>
      <c r="AF52" s="231" t="str">
        <f>IFERROR(VLOOKUP(TableHandbook[[#This Row],[UDC]],TableGDEDUC[],7,FALSE),"")</f>
        <v/>
      </c>
      <c r="AG52" s="231" t="str">
        <f>IFERROR(VLOOKUP(TableHandbook[[#This Row],[UDC]],TableMJRPEDUPR[],7,FALSE),"")</f>
        <v/>
      </c>
      <c r="AH52" s="231" t="str">
        <f>IFERROR(VLOOKUP(TableHandbook[[#This Row],[UDC]],TableMJRPEDUSC[],7,FALSE),"")</f>
        <v/>
      </c>
      <c r="AI52" s="232" t="str">
        <f>IFERROR(VLOOKUP(TableHandbook[[#This Row],[UDC]],TableMCEDUC[],7,FALSE),"")</f>
        <v/>
      </c>
      <c r="AJ52" s="231" t="str">
        <f>IFERROR(VLOOKUP(TableHandbook[[#This Row],[UDC]],TableSPPECULIN[],7,FALSE),"")</f>
        <v/>
      </c>
      <c r="AK52" s="231" t="str">
        <f>IFERROR(VLOOKUP(TableHandbook[[#This Row],[UDC]],TableSPPELNTCH[],7,FALSE),"")</f>
        <v/>
      </c>
      <c r="AL52" s="231" t="str">
        <f>IFERROR(VLOOKUP(TableHandbook[[#This Row],[UDC]],TableSPPESTEME[],7,FALSE),"")</f>
        <v/>
      </c>
    </row>
    <row r="53" spans="1:38" x14ac:dyDescent="0.25">
      <c r="A53" s="2" t="s">
        <v>165</v>
      </c>
      <c r="B53" s="3">
        <v>1</v>
      </c>
      <c r="C53" s="3"/>
      <c r="D53" s="2" t="s">
        <v>396</v>
      </c>
      <c r="E53" s="3">
        <v>25</v>
      </c>
      <c r="F53" s="54" t="s">
        <v>348</v>
      </c>
      <c r="G53" s="55" t="str">
        <f>IFERROR(IF(VLOOKUP(TableHandbook[[#This Row],[UDC]],TableAvailabilities[],2,FALSE)&gt;0,"Y",""),"")</f>
        <v/>
      </c>
      <c r="H53" s="55" t="str">
        <f>IFERROR(IF(VLOOKUP(TableHandbook[[#This Row],[UDC]],TableAvailabilities[],3,FALSE)&gt;0,"Y",""),"")</f>
        <v>Y</v>
      </c>
      <c r="I53" s="55" t="str">
        <f>IFERROR(IF(VLOOKUP(TableHandbook[[#This Row],[UDC]],TableAvailabilities[],4,FALSE)&gt;0,"Y",""),"")</f>
        <v/>
      </c>
      <c r="J53" s="55" t="str">
        <f>IFERROR(IF(VLOOKUP(TableHandbook[[#This Row],[UDC]],TableAvailabilities[],5,FALSE)&gt;0,"Y",""),"")</f>
        <v/>
      </c>
      <c r="K53" s="55" t="str">
        <f>IFERROR(IF(VLOOKUP(TableHandbook[[#This Row],[UDC]],TableAvailabilities[],6,FALSE)&gt;0,"Y",""),"")</f>
        <v>Y</v>
      </c>
      <c r="L53" s="55" t="str">
        <f>IFERROR(IF(VLOOKUP(TableHandbook[[#This Row],[UDC]],TableAvailabilities[],7,FALSE)&gt;0,"Y",""),"")</f>
        <v>Y</v>
      </c>
      <c r="M53" s="55" t="str">
        <f>IFERROR(IF(VLOOKUP(TableHandbook[[#This Row],[UDC]],TableAvailabilities[],8,FALSE)&gt;0,"Y",""),"")</f>
        <v/>
      </c>
      <c r="N53" s="55" t="str">
        <f>IFERROR(IF(VLOOKUP(TableHandbook[[#This Row],[UDC]],TableAvailabilities[],9,FALSE)&gt;0,"Y",""),"")</f>
        <v/>
      </c>
      <c r="O53" s="230"/>
      <c r="P53" s="232" t="str">
        <f>IFERROR(VLOOKUP(TableHandbook[[#This Row],[UDC]],TableMCTEACH[],7,FALSE),"")</f>
        <v/>
      </c>
      <c r="Q53" s="231" t="str">
        <f>IFERROR(VLOOKUP(TableHandbook[[#This Row],[UDC]],TableMJRPTCHEC[],7,FALSE),"")</f>
        <v/>
      </c>
      <c r="R53" s="231" t="str">
        <f>IFERROR(VLOOKUP(TableHandbook[[#This Row],[UDC]],TableMJRPTCHPR[],7,FALSE),"")</f>
        <v/>
      </c>
      <c r="S53" s="231" t="str">
        <f>IFERROR(VLOOKUP(TableHandbook[[#This Row],[UDC]],TableMJRPTCHSC[],7,FALSE),"")</f>
        <v/>
      </c>
      <c r="T53" s="231" t="str">
        <f>IFERROR(VLOOKUP(TableHandbook[[#This Row],[UDC]],TableSTRPSCART[],7,FALSE),"")</f>
        <v/>
      </c>
      <c r="U53" s="231" t="str">
        <f>IFERROR(VLOOKUP(TableHandbook[[#This Row],[UDC]],TableSTRPSCENG[],7,FALSE),"")</f>
        <v/>
      </c>
      <c r="V53" s="231" t="str">
        <f>IFERROR(VLOOKUP(TableHandbook[[#This Row],[UDC]],TableSTRPSCHLP[],7,FALSE),"")</f>
        <v/>
      </c>
      <c r="W53" s="231" t="str">
        <f>IFERROR(VLOOKUP(TableHandbook[[#This Row],[UDC]],TableSTRPSCHUS[],7,FALSE),"")</f>
        <v/>
      </c>
      <c r="X53" s="231" t="str">
        <f>IFERROR(VLOOKUP(TableHandbook[[#This Row],[UDC]],TableSTRPSCMAT[],7,FALSE),"")</f>
        <v/>
      </c>
      <c r="Y53" s="231" t="str">
        <f>IFERROR(VLOOKUP(TableHandbook[[#This Row],[UDC]],TableSTRPSCSCI[],7,FALSE),"")</f>
        <v/>
      </c>
      <c r="Z53" s="231" t="str">
        <f>IFERROR(VLOOKUP(TableHandbook[[#This Row],[UDC]],TableSTRPSCFON[],7,FALSE),"")</f>
        <v/>
      </c>
      <c r="AA53" s="232" t="str">
        <f>IFERROR(VLOOKUP(TableHandbook[[#This Row],[UDC]],TableGCTESOL[],7,FALSE),"")</f>
        <v>Core</v>
      </c>
      <c r="AB53" s="231" t="str">
        <f>IFERROR(VLOOKUP(TableHandbook[[#This Row],[UDC]],TableMCTESOL[],7,FALSE),"")</f>
        <v>Core</v>
      </c>
      <c r="AC53" s="231" t="str">
        <f>IFERROR(VLOOKUP(TableHandbook[[#This Row],[UDC]],TableMCAPLING[],7,FALSE),"")</f>
        <v/>
      </c>
      <c r="AD53" s="232" t="str">
        <f>IFERROR(VLOOKUP(TableHandbook[[#This Row],[UDC]],TableGCEDHE[],7,FALSE),"")</f>
        <v/>
      </c>
      <c r="AE53" s="231" t="str">
        <f>IFERROR(VLOOKUP(TableHandbook[[#This Row],[UDC]],TableGCEDUC[],7,FALSE),"")</f>
        <v/>
      </c>
      <c r="AF53" s="231" t="str">
        <f>IFERROR(VLOOKUP(TableHandbook[[#This Row],[UDC]],TableGDEDUC[],7,FALSE),"")</f>
        <v/>
      </c>
      <c r="AG53" s="231" t="str">
        <f>IFERROR(VLOOKUP(TableHandbook[[#This Row],[UDC]],TableMJRPEDUPR[],7,FALSE),"")</f>
        <v/>
      </c>
      <c r="AH53" s="231" t="str">
        <f>IFERROR(VLOOKUP(TableHandbook[[#This Row],[UDC]],TableMJRPEDUSC[],7,FALSE),"")</f>
        <v/>
      </c>
      <c r="AI53" s="232" t="str">
        <f>IFERROR(VLOOKUP(TableHandbook[[#This Row],[UDC]],TableMCEDUC[],7,FALSE),"")</f>
        <v/>
      </c>
      <c r="AJ53" s="231" t="str">
        <f>IFERROR(VLOOKUP(TableHandbook[[#This Row],[UDC]],TableSPPECULIN[],7,FALSE),"")</f>
        <v/>
      </c>
      <c r="AK53" s="231" t="str">
        <f>IFERROR(VLOOKUP(TableHandbook[[#This Row],[UDC]],TableSPPELNTCH[],7,FALSE),"")</f>
        <v/>
      </c>
      <c r="AL53" s="231" t="str">
        <f>IFERROR(VLOOKUP(TableHandbook[[#This Row],[UDC]],TableSPPESTEME[],7,FALSE),"")</f>
        <v/>
      </c>
    </row>
    <row r="54" spans="1:38" x14ac:dyDescent="0.25">
      <c r="A54" s="2" t="s">
        <v>179</v>
      </c>
      <c r="B54" s="3">
        <v>1</v>
      </c>
      <c r="C54" s="3"/>
      <c r="D54" s="2" t="s">
        <v>397</v>
      </c>
      <c r="E54" s="3">
        <v>25</v>
      </c>
      <c r="F54" s="54" t="s">
        <v>348</v>
      </c>
      <c r="G54" s="55" t="str">
        <f>IFERROR(IF(VLOOKUP(TableHandbook[[#This Row],[UDC]],TableAvailabilities[],2,FALSE)&gt;0,"Y",""),"")</f>
        <v/>
      </c>
      <c r="H54" s="55" t="str">
        <f>IFERROR(IF(VLOOKUP(TableHandbook[[#This Row],[UDC]],TableAvailabilities[],3,FALSE)&gt;0,"Y",""),"")</f>
        <v/>
      </c>
      <c r="I54" s="55" t="str">
        <f>IFERROR(IF(VLOOKUP(TableHandbook[[#This Row],[UDC]],TableAvailabilities[],4,FALSE)&gt;0,"Y",""),"")</f>
        <v>Y</v>
      </c>
      <c r="J54" s="55" t="str">
        <f>IFERROR(IF(VLOOKUP(TableHandbook[[#This Row],[UDC]],TableAvailabilities[],5,FALSE)&gt;0,"Y",""),"")</f>
        <v>Y</v>
      </c>
      <c r="K54" s="55" t="str">
        <f>IFERROR(IF(VLOOKUP(TableHandbook[[#This Row],[UDC]],TableAvailabilities[],6,FALSE)&gt;0,"Y",""),"")</f>
        <v/>
      </c>
      <c r="L54" s="55" t="str">
        <f>IFERROR(IF(VLOOKUP(TableHandbook[[#This Row],[UDC]],TableAvailabilities[],7,FALSE)&gt;0,"Y",""),"")</f>
        <v/>
      </c>
      <c r="M54" s="55" t="str">
        <f>IFERROR(IF(VLOOKUP(TableHandbook[[#This Row],[UDC]],TableAvailabilities[],8,FALSE)&gt;0,"Y",""),"")</f>
        <v/>
      </c>
      <c r="N54" s="55" t="str">
        <f>IFERROR(IF(VLOOKUP(TableHandbook[[#This Row],[UDC]],TableAvailabilities[],9,FALSE)&gt;0,"Y",""),"")</f>
        <v>Y</v>
      </c>
      <c r="O54" s="230"/>
      <c r="P54" s="232" t="str">
        <f>IFERROR(VLOOKUP(TableHandbook[[#This Row],[UDC]],TableMCTEACH[],7,FALSE),"")</f>
        <v/>
      </c>
      <c r="Q54" s="231" t="str">
        <f>IFERROR(VLOOKUP(TableHandbook[[#This Row],[UDC]],TableMJRPTCHEC[],7,FALSE),"")</f>
        <v/>
      </c>
      <c r="R54" s="231" t="str">
        <f>IFERROR(VLOOKUP(TableHandbook[[#This Row],[UDC]],TableMJRPTCHPR[],7,FALSE),"")</f>
        <v/>
      </c>
      <c r="S54" s="231" t="str">
        <f>IFERROR(VLOOKUP(TableHandbook[[#This Row],[UDC]],TableMJRPTCHSC[],7,FALSE),"")</f>
        <v/>
      </c>
      <c r="T54" s="231" t="str">
        <f>IFERROR(VLOOKUP(TableHandbook[[#This Row],[UDC]],TableSTRPSCART[],7,FALSE),"")</f>
        <v/>
      </c>
      <c r="U54" s="231" t="str">
        <f>IFERROR(VLOOKUP(TableHandbook[[#This Row],[UDC]],TableSTRPSCENG[],7,FALSE),"")</f>
        <v/>
      </c>
      <c r="V54" s="231" t="str">
        <f>IFERROR(VLOOKUP(TableHandbook[[#This Row],[UDC]],TableSTRPSCHLP[],7,FALSE),"")</f>
        <v/>
      </c>
      <c r="W54" s="231" t="str">
        <f>IFERROR(VLOOKUP(TableHandbook[[#This Row],[UDC]],TableSTRPSCHUS[],7,FALSE),"")</f>
        <v/>
      </c>
      <c r="X54" s="231" t="str">
        <f>IFERROR(VLOOKUP(TableHandbook[[#This Row],[UDC]],TableSTRPSCMAT[],7,FALSE),"")</f>
        <v/>
      </c>
      <c r="Y54" s="231" t="str">
        <f>IFERROR(VLOOKUP(TableHandbook[[#This Row],[UDC]],TableSTRPSCSCI[],7,FALSE),"")</f>
        <v/>
      </c>
      <c r="Z54" s="231" t="str">
        <f>IFERROR(VLOOKUP(TableHandbook[[#This Row],[UDC]],TableSTRPSCFON[],7,FALSE),"")</f>
        <v/>
      </c>
      <c r="AA54" s="232" t="str">
        <f>IFERROR(VLOOKUP(TableHandbook[[#This Row],[UDC]],TableGCTESOL[],7,FALSE),"")</f>
        <v>Core</v>
      </c>
      <c r="AB54" s="231" t="str">
        <f>IFERROR(VLOOKUP(TableHandbook[[#This Row],[UDC]],TableMCTESOL[],7,FALSE),"")</f>
        <v>Core</v>
      </c>
      <c r="AC54" s="231" t="str">
        <f>IFERROR(VLOOKUP(TableHandbook[[#This Row],[UDC]],TableMCAPLING[],7,FALSE),"")</f>
        <v/>
      </c>
      <c r="AD54" s="232" t="str">
        <f>IFERROR(VLOOKUP(TableHandbook[[#This Row],[UDC]],TableGCEDHE[],7,FALSE),"")</f>
        <v/>
      </c>
      <c r="AE54" s="231" t="str">
        <f>IFERROR(VLOOKUP(TableHandbook[[#This Row],[UDC]],TableGCEDUC[],7,FALSE),"")</f>
        <v/>
      </c>
      <c r="AF54" s="231" t="str">
        <f>IFERROR(VLOOKUP(TableHandbook[[#This Row],[UDC]],TableGDEDUC[],7,FALSE),"")</f>
        <v/>
      </c>
      <c r="AG54" s="231" t="str">
        <f>IFERROR(VLOOKUP(TableHandbook[[#This Row],[UDC]],TableMJRPEDUPR[],7,FALSE),"")</f>
        <v/>
      </c>
      <c r="AH54" s="231" t="str">
        <f>IFERROR(VLOOKUP(TableHandbook[[#This Row],[UDC]],TableMJRPEDUSC[],7,FALSE),"")</f>
        <v/>
      </c>
      <c r="AI54" s="232" t="str">
        <f>IFERROR(VLOOKUP(TableHandbook[[#This Row],[UDC]],TableMCEDUC[],7,FALSE),"")</f>
        <v/>
      </c>
      <c r="AJ54" s="231" t="str">
        <f>IFERROR(VLOOKUP(TableHandbook[[#This Row],[UDC]],TableSPPECULIN[],7,FALSE),"")</f>
        <v/>
      </c>
      <c r="AK54" s="231" t="str">
        <f>IFERROR(VLOOKUP(TableHandbook[[#This Row],[UDC]],TableSPPELNTCH[],7,FALSE),"")</f>
        <v/>
      </c>
      <c r="AL54" s="231" t="str">
        <f>IFERROR(VLOOKUP(TableHandbook[[#This Row],[UDC]],TableSPPESTEME[],7,FALSE),"")</f>
        <v/>
      </c>
    </row>
    <row r="55" spans="1:38" x14ac:dyDescent="0.25">
      <c r="A55" s="2" t="s">
        <v>79</v>
      </c>
      <c r="B55" s="3">
        <v>1</v>
      </c>
      <c r="C55" s="3"/>
      <c r="D55" s="2" t="s">
        <v>398</v>
      </c>
      <c r="E55" s="3">
        <v>25</v>
      </c>
      <c r="F55" s="54" t="s">
        <v>348</v>
      </c>
      <c r="G55" s="55" t="str">
        <f>IFERROR(IF(VLOOKUP(TableHandbook[[#This Row],[UDC]],TableAvailabilities[],2,FALSE)&gt;0,"Y",""),"")</f>
        <v>Y</v>
      </c>
      <c r="H55" s="55" t="str">
        <f>IFERROR(IF(VLOOKUP(TableHandbook[[#This Row],[UDC]],TableAvailabilities[],3,FALSE)&gt;0,"Y",""),"")</f>
        <v>Y</v>
      </c>
      <c r="I55" s="55" t="str">
        <f>IFERROR(IF(VLOOKUP(TableHandbook[[#This Row],[UDC]],TableAvailabilities[],4,FALSE)&gt;0,"Y",""),"")</f>
        <v/>
      </c>
      <c r="J55" s="55" t="str">
        <f>IFERROR(IF(VLOOKUP(TableHandbook[[#This Row],[UDC]],TableAvailabilities[],5,FALSE)&gt;0,"Y",""),"")</f>
        <v/>
      </c>
      <c r="K55" s="55" t="str">
        <f>IFERROR(IF(VLOOKUP(TableHandbook[[#This Row],[UDC]],TableAvailabilities[],6,FALSE)&gt;0,"Y",""),"")</f>
        <v>Y</v>
      </c>
      <c r="L55" s="55" t="str">
        <f>IFERROR(IF(VLOOKUP(TableHandbook[[#This Row],[UDC]],TableAvailabilities[],7,FALSE)&gt;0,"Y",""),"")</f>
        <v>Y</v>
      </c>
      <c r="M55" s="55" t="str">
        <f>IFERROR(IF(VLOOKUP(TableHandbook[[#This Row],[UDC]],TableAvailabilities[],8,FALSE)&gt;0,"Y",""),"")</f>
        <v/>
      </c>
      <c r="N55" s="55" t="str">
        <f>IFERROR(IF(VLOOKUP(TableHandbook[[#This Row],[UDC]],TableAvailabilities[],9,FALSE)&gt;0,"Y",""),"")</f>
        <v/>
      </c>
      <c r="O55" s="230"/>
      <c r="P55" s="232" t="str">
        <f>IFERROR(VLOOKUP(TableHandbook[[#This Row],[UDC]],TableMCTEACH[],7,FALSE),"")</f>
        <v/>
      </c>
      <c r="Q55" s="231" t="str">
        <f>IFERROR(VLOOKUP(TableHandbook[[#This Row],[UDC]],TableMJRPTCHEC[],7,FALSE),"")</f>
        <v>Core</v>
      </c>
      <c r="R55" s="231" t="str">
        <f>IFERROR(VLOOKUP(TableHandbook[[#This Row],[UDC]],TableMJRPTCHPR[],7,FALSE),"")</f>
        <v>Core</v>
      </c>
      <c r="S55" s="231" t="str">
        <f>IFERROR(VLOOKUP(TableHandbook[[#This Row],[UDC]],TableMJRPTCHSC[],7,FALSE),"")</f>
        <v/>
      </c>
      <c r="T55" s="231" t="str">
        <f>IFERROR(VLOOKUP(TableHandbook[[#This Row],[UDC]],TableSTRPSCART[],7,FALSE),"")</f>
        <v/>
      </c>
      <c r="U55" s="231" t="str">
        <f>IFERROR(VLOOKUP(TableHandbook[[#This Row],[UDC]],TableSTRPSCENG[],7,FALSE),"")</f>
        <v/>
      </c>
      <c r="V55" s="231" t="str">
        <f>IFERROR(VLOOKUP(TableHandbook[[#This Row],[UDC]],TableSTRPSCHLP[],7,FALSE),"")</f>
        <v/>
      </c>
      <c r="W55" s="231" t="str">
        <f>IFERROR(VLOOKUP(TableHandbook[[#This Row],[UDC]],TableSTRPSCHUS[],7,FALSE),"")</f>
        <v/>
      </c>
      <c r="X55" s="231" t="str">
        <f>IFERROR(VLOOKUP(TableHandbook[[#This Row],[UDC]],TableSTRPSCMAT[],7,FALSE),"")</f>
        <v/>
      </c>
      <c r="Y55" s="231" t="str">
        <f>IFERROR(VLOOKUP(TableHandbook[[#This Row],[UDC]],TableSTRPSCSCI[],7,FALSE),"")</f>
        <v/>
      </c>
      <c r="Z55" s="231" t="str">
        <f>IFERROR(VLOOKUP(TableHandbook[[#This Row],[UDC]],TableSTRPSCFON[],7,FALSE),"")</f>
        <v/>
      </c>
      <c r="AA55" s="232" t="str">
        <f>IFERROR(VLOOKUP(TableHandbook[[#This Row],[UDC]],TableGCTESOL[],7,FALSE),"")</f>
        <v/>
      </c>
      <c r="AB55" s="231" t="str">
        <f>IFERROR(VLOOKUP(TableHandbook[[#This Row],[UDC]],TableMCTESOL[],7,FALSE),"")</f>
        <v/>
      </c>
      <c r="AC55" s="231" t="str">
        <f>IFERROR(VLOOKUP(TableHandbook[[#This Row],[UDC]],TableMCAPLING[],7,FALSE),"")</f>
        <v/>
      </c>
      <c r="AD55" s="232" t="str">
        <f>IFERROR(VLOOKUP(TableHandbook[[#This Row],[UDC]],TableGCEDHE[],7,FALSE),"")</f>
        <v/>
      </c>
      <c r="AE55" s="231" t="str">
        <f>IFERROR(VLOOKUP(TableHandbook[[#This Row],[UDC]],TableGCEDUC[],7,FALSE),"")</f>
        <v/>
      </c>
      <c r="AF55" s="231" t="str">
        <f>IFERROR(VLOOKUP(TableHandbook[[#This Row],[UDC]],TableGDEDUC[],7,FALSE),"")</f>
        <v/>
      </c>
      <c r="AG55" s="231" t="str">
        <f>IFERROR(VLOOKUP(TableHandbook[[#This Row],[UDC]],TableMJRPEDUPR[],7,FALSE),"")</f>
        <v>Core</v>
      </c>
      <c r="AH55" s="231" t="str">
        <f>IFERROR(VLOOKUP(TableHandbook[[#This Row],[UDC]],TableMJRPEDUSC[],7,FALSE),"")</f>
        <v/>
      </c>
      <c r="AI55" s="232" t="str">
        <f>IFERROR(VLOOKUP(TableHandbook[[#This Row],[UDC]],TableMCEDUC[],7,FALSE),"")</f>
        <v/>
      </c>
      <c r="AJ55" s="231" t="str">
        <f>IFERROR(VLOOKUP(TableHandbook[[#This Row],[UDC]],TableSPPECULIN[],7,FALSE),"")</f>
        <v/>
      </c>
      <c r="AK55" s="231" t="str">
        <f>IFERROR(VLOOKUP(TableHandbook[[#This Row],[UDC]],TableSPPELNTCH[],7,FALSE),"")</f>
        <v/>
      </c>
      <c r="AL55" s="231" t="str">
        <f>IFERROR(VLOOKUP(TableHandbook[[#This Row],[UDC]],TableSPPESTEME[],7,FALSE),"")</f>
        <v/>
      </c>
    </row>
    <row r="56" spans="1:38" x14ac:dyDescent="0.25">
      <c r="A56" s="2" t="s">
        <v>182</v>
      </c>
      <c r="B56" s="3">
        <v>1</v>
      </c>
      <c r="C56" s="3"/>
      <c r="D56" s="2" t="s">
        <v>399</v>
      </c>
      <c r="E56" s="3">
        <v>25</v>
      </c>
      <c r="F56" s="54" t="s">
        <v>348</v>
      </c>
      <c r="G56" s="55" t="str">
        <f>IFERROR(IF(VLOOKUP(TableHandbook[[#This Row],[UDC]],TableAvailabilities[],2,FALSE)&gt;0,"Y",""),"")</f>
        <v/>
      </c>
      <c r="H56" s="55" t="str">
        <f>IFERROR(IF(VLOOKUP(TableHandbook[[#This Row],[UDC]],TableAvailabilities[],3,FALSE)&gt;0,"Y",""),"")</f>
        <v/>
      </c>
      <c r="I56" s="55" t="str">
        <f>IFERROR(IF(VLOOKUP(TableHandbook[[#This Row],[UDC]],TableAvailabilities[],4,FALSE)&gt;0,"Y",""),"")</f>
        <v>Y</v>
      </c>
      <c r="J56" s="55" t="str">
        <f>IFERROR(IF(VLOOKUP(TableHandbook[[#This Row],[UDC]],TableAvailabilities[],5,FALSE)&gt;0,"Y",""),"")</f>
        <v>Y</v>
      </c>
      <c r="K56" s="55" t="str">
        <f>IFERROR(IF(VLOOKUP(TableHandbook[[#This Row],[UDC]],TableAvailabilities[],6,FALSE)&gt;0,"Y",""),"")</f>
        <v/>
      </c>
      <c r="L56" s="55" t="str">
        <f>IFERROR(IF(VLOOKUP(TableHandbook[[#This Row],[UDC]],TableAvailabilities[],7,FALSE)&gt;0,"Y",""),"")</f>
        <v/>
      </c>
      <c r="M56" s="55" t="str">
        <f>IFERROR(IF(VLOOKUP(TableHandbook[[#This Row],[UDC]],TableAvailabilities[],8,FALSE)&gt;0,"Y",""),"")</f>
        <v>Y</v>
      </c>
      <c r="N56" s="55" t="str">
        <f>IFERROR(IF(VLOOKUP(TableHandbook[[#This Row],[UDC]],TableAvailabilities[],9,FALSE)&gt;0,"Y",""),"")</f>
        <v>Y</v>
      </c>
      <c r="O56" s="230"/>
      <c r="P56" s="232" t="str">
        <f>IFERROR(VLOOKUP(TableHandbook[[#This Row],[UDC]],TableMCTEACH[],7,FALSE),"")</f>
        <v/>
      </c>
      <c r="Q56" s="231" t="str">
        <f>IFERROR(VLOOKUP(TableHandbook[[#This Row],[UDC]],TableMJRPTCHEC[],7,FALSE),"")</f>
        <v/>
      </c>
      <c r="R56" s="231" t="str">
        <f>IFERROR(VLOOKUP(TableHandbook[[#This Row],[UDC]],TableMJRPTCHPR[],7,FALSE),"")</f>
        <v/>
      </c>
      <c r="S56" s="231" t="str">
        <f>IFERROR(VLOOKUP(TableHandbook[[#This Row],[UDC]],TableMJRPTCHSC[],7,FALSE),"")</f>
        <v/>
      </c>
      <c r="T56" s="231" t="str">
        <f>IFERROR(VLOOKUP(TableHandbook[[#This Row],[UDC]],TableSTRPSCART[],7,FALSE),"")</f>
        <v/>
      </c>
      <c r="U56" s="231" t="str">
        <f>IFERROR(VLOOKUP(TableHandbook[[#This Row],[UDC]],TableSTRPSCENG[],7,FALSE),"")</f>
        <v/>
      </c>
      <c r="V56" s="231" t="str">
        <f>IFERROR(VLOOKUP(TableHandbook[[#This Row],[UDC]],TableSTRPSCHLP[],7,FALSE),"")</f>
        <v/>
      </c>
      <c r="W56" s="231" t="str">
        <f>IFERROR(VLOOKUP(TableHandbook[[#This Row],[UDC]],TableSTRPSCHUS[],7,FALSE),"")</f>
        <v/>
      </c>
      <c r="X56" s="231" t="str">
        <f>IFERROR(VLOOKUP(TableHandbook[[#This Row],[UDC]],TableSTRPSCMAT[],7,FALSE),"")</f>
        <v/>
      </c>
      <c r="Y56" s="231" t="str">
        <f>IFERROR(VLOOKUP(TableHandbook[[#This Row],[UDC]],TableSTRPSCSCI[],7,FALSE),"")</f>
        <v/>
      </c>
      <c r="Z56" s="231" t="str">
        <f>IFERROR(VLOOKUP(TableHandbook[[#This Row],[UDC]],TableSTRPSCFON[],7,FALSE),"")</f>
        <v>Core</v>
      </c>
      <c r="AA56" s="232" t="str">
        <f>IFERROR(VLOOKUP(TableHandbook[[#This Row],[UDC]],TableGCTESOL[],7,FALSE),"")</f>
        <v/>
      </c>
      <c r="AB56" s="231" t="str">
        <f>IFERROR(VLOOKUP(TableHandbook[[#This Row],[UDC]],TableMCTESOL[],7,FALSE),"")</f>
        <v>Core</v>
      </c>
      <c r="AC56" s="231" t="str">
        <f>IFERROR(VLOOKUP(TableHandbook[[#This Row],[UDC]],TableMCAPLING[],7,FALSE),"")</f>
        <v/>
      </c>
      <c r="AD56" s="232" t="str">
        <f>IFERROR(VLOOKUP(TableHandbook[[#This Row],[UDC]],TableGCEDHE[],7,FALSE),"")</f>
        <v/>
      </c>
      <c r="AE56" s="231" t="str">
        <f>IFERROR(VLOOKUP(TableHandbook[[#This Row],[UDC]],TableGCEDUC[],7,FALSE),"")</f>
        <v>Option</v>
      </c>
      <c r="AF56" s="231" t="str">
        <f>IFERROR(VLOOKUP(TableHandbook[[#This Row],[UDC]],TableGDEDUC[],7,FALSE),"")</f>
        <v/>
      </c>
      <c r="AG56" s="231" t="str">
        <f>IFERROR(VLOOKUP(TableHandbook[[#This Row],[UDC]],TableMJRPEDUPR[],7,FALSE),"")</f>
        <v/>
      </c>
      <c r="AH56" s="231" t="str">
        <f>IFERROR(VLOOKUP(TableHandbook[[#This Row],[UDC]],TableMJRPEDUSC[],7,FALSE),"")</f>
        <v/>
      </c>
      <c r="AI56" s="232" t="str">
        <f>IFERROR(VLOOKUP(TableHandbook[[#This Row],[UDC]],TableMCEDUC[],7,FALSE),"")</f>
        <v/>
      </c>
      <c r="AJ56" s="231" t="str">
        <f>IFERROR(VLOOKUP(TableHandbook[[#This Row],[UDC]],TableSPPECULIN[],7,FALSE),"")</f>
        <v/>
      </c>
      <c r="AK56" s="231" t="str">
        <f>IFERROR(VLOOKUP(TableHandbook[[#This Row],[UDC]],TableSPPELNTCH[],7,FALSE),"")</f>
        <v/>
      </c>
      <c r="AL56" s="231" t="str">
        <f>IFERROR(VLOOKUP(TableHandbook[[#This Row],[UDC]],TableSPPESTEME[],7,FALSE),"")</f>
        <v/>
      </c>
    </row>
    <row r="57" spans="1:38" x14ac:dyDescent="0.25">
      <c r="A57" s="2" t="s">
        <v>208</v>
      </c>
      <c r="B57" s="3">
        <v>3</v>
      </c>
      <c r="C57" s="3"/>
      <c r="D57" s="2" t="s">
        <v>400</v>
      </c>
      <c r="E57" s="3">
        <v>25</v>
      </c>
      <c r="F57" s="54" t="s">
        <v>348</v>
      </c>
      <c r="G57" s="55" t="str">
        <f>IFERROR(IF(VLOOKUP(TableHandbook[[#This Row],[UDC]],TableAvailabilities[],2,FALSE)&gt;0,"Y",""),"")</f>
        <v>Y</v>
      </c>
      <c r="H57" s="55" t="str">
        <f>IFERROR(IF(VLOOKUP(TableHandbook[[#This Row],[UDC]],TableAvailabilities[],3,FALSE)&gt;0,"Y",""),"")</f>
        <v>Y</v>
      </c>
      <c r="I57" s="55" t="str">
        <f>IFERROR(IF(VLOOKUP(TableHandbook[[#This Row],[UDC]],TableAvailabilities[],4,FALSE)&gt;0,"Y",""),"")</f>
        <v/>
      </c>
      <c r="J57" s="55" t="str">
        <f>IFERROR(IF(VLOOKUP(TableHandbook[[#This Row],[UDC]],TableAvailabilities[],5,FALSE)&gt;0,"Y",""),"")</f>
        <v/>
      </c>
      <c r="K57" s="55" t="str">
        <f>IFERROR(IF(VLOOKUP(TableHandbook[[#This Row],[UDC]],TableAvailabilities[],6,FALSE)&gt;0,"Y",""),"")</f>
        <v>Y</v>
      </c>
      <c r="L57" s="55" t="str">
        <f>IFERROR(IF(VLOOKUP(TableHandbook[[#This Row],[UDC]],TableAvailabilities[],7,FALSE)&gt;0,"Y",""),"")</f>
        <v>Y</v>
      </c>
      <c r="M57" s="55" t="str">
        <f>IFERROR(IF(VLOOKUP(TableHandbook[[#This Row],[UDC]],TableAvailabilities[],8,FALSE)&gt;0,"Y",""),"")</f>
        <v/>
      </c>
      <c r="N57" s="55" t="str">
        <f>IFERROR(IF(VLOOKUP(TableHandbook[[#This Row],[UDC]],TableAvailabilities[],9,FALSE)&gt;0,"Y",""),"")</f>
        <v/>
      </c>
      <c r="O57" s="230"/>
      <c r="P57" s="232" t="str">
        <f>IFERROR(VLOOKUP(TableHandbook[[#This Row],[UDC]],TableMCTEACH[],7,FALSE),"")</f>
        <v/>
      </c>
      <c r="Q57" s="231" t="str">
        <f>IFERROR(VLOOKUP(TableHandbook[[#This Row],[UDC]],TableMJRPTCHEC[],7,FALSE),"")</f>
        <v/>
      </c>
      <c r="R57" s="231" t="str">
        <f>IFERROR(VLOOKUP(TableHandbook[[#This Row],[UDC]],TableMJRPTCHPR[],7,FALSE),"")</f>
        <v/>
      </c>
      <c r="S57" s="231" t="str">
        <f>IFERROR(VLOOKUP(TableHandbook[[#This Row],[UDC]],TableMJRPTCHSC[],7,FALSE),"")</f>
        <v/>
      </c>
      <c r="T57" s="231" t="str">
        <f>IFERROR(VLOOKUP(TableHandbook[[#This Row],[UDC]],TableSTRPSCART[],7,FALSE),"")</f>
        <v/>
      </c>
      <c r="U57" s="231" t="str">
        <f>IFERROR(VLOOKUP(TableHandbook[[#This Row],[UDC]],TableSTRPSCENG[],7,FALSE),"")</f>
        <v/>
      </c>
      <c r="V57" s="231" t="str">
        <f>IFERROR(VLOOKUP(TableHandbook[[#This Row],[UDC]],TableSTRPSCHLP[],7,FALSE),"")</f>
        <v/>
      </c>
      <c r="W57" s="231" t="str">
        <f>IFERROR(VLOOKUP(TableHandbook[[#This Row],[UDC]],TableSTRPSCHUS[],7,FALSE),"")</f>
        <v/>
      </c>
      <c r="X57" s="231" t="str">
        <f>IFERROR(VLOOKUP(TableHandbook[[#This Row],[UDC]],TableSTRPSCMAT[],7,FALSE),"")</f>
        <v/>
      </c>
      <c r="Y57" s="231" t="str">
        <f>IFERROR(VLOOKUP(TableHandbook[[#This Row],[UDC]],TableSTRPSCSCI[],7,FALSE),"")</f>
        <v/>
      </c>
      <c r="Z57" s="231" t="str">
        <f>IFERROR(VLOOKUP(TableHandbook[[#This Row],[UDC]],TableSTRPSCFON[],7,FALSE),"")</f>
        <v/>
      </c>
      <c r="AA57" s="232" t="str">
        <f>IFERROR(VLOOKUP(TableHandbook[[#This Row],[UDC]],TableGCTESOL[],7,FALSE),"")</f>
        <v/>
      </c>
      <c r="AB57" s="231" t="str">
        <f>IFERROR(VLOOKUP(TableHandbook[[#This Row],[UDC]],TableMCTESOL[],7,FALSE),"")</f>
        <v/>
      </c>
      <c r="AC57" s="231" t="str">
        <f>IFERROR(VLOOKUP(TableHandbook[[#This Row],[UDC]],TableMCAPLING[],7,FALSE),"")</f>
        <v/>
      </c>
      <c r="AD57" s="232" t="str">
        <f>IFERROR(VLOOKUP(TableHandbook[[#This Row],[UDC]],TableGCEDHE[],7,FALSE),"")</f>
        <v/>
      </c>
      <c r="AE57" s="231" t="str">
        <f>IFERROR(VLOOKUP(TableHandbook[[#This Row],[UDC]],TableGCEDUC[],7,FALSE),"")</f>
        <v/>
      </c>
      <c r="AF57" s="231" t="str">
        <f>IFERROR(VLOOKUP(TableHandbook[[#This Row],[UDC]],TableGDEDUC[],7,FALSE),"")</f>
        <v/>
      </c>
      <c r="AG57" s="231" t="str">
        <f>IFERROR(VLOOKUP(TableHandbook[[#This Row],[UDC]],TableMJRPEDUPR[],7,FALSE),"")</f>
        <v/>
      </c>
      <c r="AH57" s="231" t="str">
        <f>IFERROR(VLOOKUP(TableHandbook[[#This Row],[UDC]],TableMJRPEDUSC[],7,FALSE),"")</f>
        <v/>
      </c>
      <c r="AI57" s="232" t="str">
        <f>IFERROR(VLOOKUP(TableHandbook[[#This Row],[UDC]],TableMCEDUC[],7,FALSE),"")</f>
        <v>Core</v>
      </c>
      <c r="AJ57" s="231" t="str">
        <f>IFERROR(VLOOKUP(TableHandbook[[#This Row],[UDC]],TableSPPECULIN[],7,FALSE),"")</f>
        <v/>
      </c>
      <c r="AK57" s="231" t="str">
        <f>IFERROR(VLOOKUP(TableHandbook[[#This Row],[UDC]],TableSPPELNTCH[],7,FALSE),"")</f>
        <v/>
      </c>
      <c r="AL57" s="231" t="str">
        <f>IFERROR(VLOOKUP(TableHandbook[[#This Row],[UDC]],TableSPPESTEME[],7,FALSE),"")</f>
        <v/>
      </c>
    </row>
    <row r="58" spans="1:38" x14ac:dyDescent="0.25">
      <c r="A58" s="2" t="s">
        <v>187</v>
      </c>
      <c r="B58" s="3">
        <v>2</v>
      </c>
      <c r="C58" s="3"/>
      <c r="D58" s="2" t="s">
        <v>401</v>
      </c>
      <c r="E58" s="3">
        <v>50</v>
      </c>
      <c r="F58" s="268" t="s">
        <v>402</v>
      </c>
      <c r="G58" s="55" t="str">
        <f>IFERROR(IF(VLOOKUP(TableHandbook[[#This Row],[UDC]],TableAvailabilities[],2,FALSE)&gt;0,"Y",""),"")</f>
        <v/>
      </c>
      <c r="H58" s="55" t="str">
        <f>IFERROR(IF(VLOOKUP(TableHandbook[[#This Row],[UDC]],TableAvailabilities[],3,FALSE)&gt;0,"Y",""),"")</f>
        <v/>
      </c>
      <c r="I58" s="55" t="str">
        <f>IFERROR(IF(VLOOKUP(TableHandbook[[#This Row],[UDC]],TableAvailabilities[],4,FALSE)&gt;0,"Y",""),"")</f>
        <v>Y</v>
      </c>
      <c r="J58" s="55" t="str">
        <f>IFERROR(IF(VLOOKUP(TableHandbook[[#This Row],[UDC]],TableAvailabilities[],5,FALSE)&gt;0,"Y",""),"")</f>
        <v>Y</v>
      </c>
      <c r="K58" s="55" t="str">
        <f>IFERROR(IF(VLOOKUP(TableHandbook[[#This Row],[UDC]],TableAvailabilities[],6,FALSE)&gt;0,"Y",""),"")</f>
        <v/>
      </c>
      <c r="L58" s="55" t="str">
        <f>IFERROR(IF(VLOOKUP(TableHandbook[[#This Row],[UDC]],TableAvailabilities[],7,FALSE)&gt;0,"Y",""),"")</f>
        <v/>
      </c>
      <c r="M58" s="55" t="str">
        <f>IFERROR(IF(VLOOKUP(TableHandbook[[#This Row],[UDC]],TableAvailabilities[],8,FALSE)&gt;0,"Y",""),"")</f>
        <v>Y</v>
      </c>
      <c r="N58" s="55" t="str">
        <f>IFERROR(IF(VLOOKUP(TableHandbook[[#This Row],[UDC]],TableAvailabilities[],9,FALSE)&gt;0,"Y",""),"")</f>
        <v>Y</v>
      </c>
      <c r="O58" s="230"/>
      <c r="P58" s="232" t="str">
        <f>IFERROR(VLOOKUP(TableHandbook[[#This Row],[UDC]],TableMCTEACH[],7,FALSE),"")</f>
        <v/>
      </c>
      <c r="Q58" s="231" t="str">
        <f>IFERROR(VLOOKUP(TableHandbook[[#This Row],[UDC]],TableMJRPTCHEC[],7,FALSE),"")</f>
        <v/>
      </c>
      <c r="R58" s="231" t="str">
        <f>IFERROR(VLOOKUP(TableHandbook[[#This Row],[UDC]],TableMJRPTCHPR[],7,FALSE),"")</f>
        <v/>
      </c>
      <c r="S58" s="231" t="str">
        <f>IFERROR(VLOOKUP(TableHandbook[[#This Row],[UDC]],TableMJRPTCHSC[],7,FALSE),"")</f>
        <v/>
      </c>
      <c r="T58" s="231" t="str">
        <f>IFERROR(VLOOKUP(TableHandbook[[#This Row],[UDC]],TableSTRPSCART[],7,FALSE),"")</f>
        <v/>
      </c>
      <c r="U58" s="231" t="str">
        <f>IFERROR(VLOOKUP(TableHandbook[[#This Row],[UDC]],TableSTRPSCENG[],7,FALSE),"")</f>
        <v/>
      </c>
      <c r="V58" s="231" t="str">
        <f>IFERROR(VLOOKUP(TableHandbook[[#This Row],[UDC]],TableSTRPSCHLP[],7,FALSE),"")</f>
        <v/>
      </c>
      <c r="W58" s="231" t="str">
        <f>IFERROR(VLOOKUP(TableHandbook[[#This Row],[UDC]],TableSTRPSCHUS[],7,FALSE),"")</f>
        <v/>
      </c>
      <c r="X58" s="231" t="str">
        <f>IFERROR(VLOOKUP(TableHandbook[[#This Row],[UDC]],TableSTRPSCMAT[],7,FALSE),"")</f>
        <v/>
      </c>
      <c r="Y58" s="231" t="str">
        <f>IFERROR(VLOOKUP(TableHandbook[[#This Row],[UDC]],TableSTRPSCSCI[],7,FALSE),"")</f>
        <v/>
      </c>
      <c r="Z58" s="231" t="str">
        <f>IFERROR(VLOOKUP(TableHandbook[[#This Row],[UDC]],TableSTRPSCFON[],7,FALSE),"")</f>
        <v/>
      </c>
      <c r="AA58" s="232" t="str">
        <f>IFERROR(VLOOKUP(TableHandbook[[#This Row],[UDC]],TableGCTESOL[],7,FALSE),"")</f>
        <v/>
      </c>
      <c r="AB58" s="231" t="str">
        <f>IFERROR(VLOOKUP(TableHandbook[[#This Row],[UDC]],TableMCTESOL[],7,FALSE),"")</f>
        <v>Core</v>
      </c>
      <c r="AC58" s="231" t="str">
        <f>IFERROR(VLOOKUP(TableHandbook[[#This Row],[UDC]],TableMCAPLING[],7,FALSE),"")</f>
        <v>Core</v>
      </c>
      <c r="AD58" s="232" t="str">
        <f>IFERROR(VLOOKUP(TableHandbook[[#This Row],[UDC]],TableGCEDHE[],7,FALSE),"")</f>
        <v/>
      </c>
      <c r="AE58" s="231" t="str">
        <f>IFERROR(VLOOKUP(TableHandbook[[#This Row],[UDC]],TableGCEDUC[],7,FALSE),"")</f>
        <v/>
      </c>
      <c r="AF58" s="231" t="str">
        <f>IFERROR(VLOOKUP(TableHandbook[[#This Row],[UDC]],TableGDEDUC[],7,FALSE),"")</f>
        <v/>
      </c>
      <c r="AG58" s="231" t="str">
        <f>IFERROR(VLOOKUP(TableHandbook[[#This Row],[UDC]],TableMJRPEDUPR[],7,FALSE),"")</f>
        <v/>
      </c>
      <c r="AH58" s="231" t="str">
        <f>IFERROR(VLOOKUP(TableHandbook[[#This Row],[UDC]],TableMJRPEDUSC[],7,FALSE),"")</f>
        <v/>
      </c>
      <c r="AI58" s="232" t="str">
        <f>IFERROR(VLOOKUP(TableHandbook[[#This Row],[UDC]],TableMCEDUC[],7,FALSE),"")</f>
        <v>Core</v>
      </c>
      <c r="AJ58" s="231" t="str">
        <f>IFERROR(VLOOKUP(TableHandbook[[#This Row],[UDC]],TableSPPECULIN[],7,FALSE),"")</f>
        <v/>
      </c>
      <c r="AK58" s="231" t="str">
        <f>IFERROR(VLOOKUP(TableHandbook[[#This Row],[UDC]],TableSPPELNTCH[],7,FALSE),"")</f>
        <v/>
      </c>
      <c r="AL58" s="231" t="str">
        <f>IFERROR(VLOOKUP(TableHandbook[[#This Row],[UDC]],TableSPPESTEME[],7,FALSE),"")</f>
        <v/>
      </c>
    </row>
    <row r="59" spans="1:38" x14ac:dyDescent="0.25">
      <c r="A59" s="2" t="s">
        <v>167</v>
      </c>
      <c r="B59" s="3">
        <v>2</v>
      </c>
      <c r="C59" s="3"/>
      <c r="D59" s="2" t="s">
        <v>403</v>
      </c>
      <c r="E59" s="3">
        <v>25</v>
      </c>
      <c r="F59" s="54" t="s">
        <v>348</v>
      </c>
      <c r="G59" s="55" t="str">
        <f>IFERROR(IF(VLOOKUP(TableHandbook[[#This Row],[UDC]],TableAvailabilities[],2,FALSE)&gt;0,"Y",""),"")</f>
        <v/>
      </c>
      <c r="H59" s="55" t="str">
        <f>IFERROR(IF(VLOOKUP(TableHandbook[[#This Row],[UDC]],TableAvailabilities[],3,FALSE)&gt;0,"Y",""),"")</f>
        <v/>
      </c>
      <c r="I59" s="55" t="str">
        <f>IFERROR(IF(VLOOKUP(TableHandbook[[#This Row],[UDC]],TableAvailabilities[],4,FALSE)&gt;0,"Y",""),"")</f>
        <v/>
      </c>
      <c r="J59" s="55" t="str">
        <f>IFERROR(IF(VLOOKUP(TableHandbook[[#This Row],[UDC]],TableAvailabilities[],5,FALSE)&gt;0,"Y",""),"")</f>
        <v/>
      </c>
      <c r="K59" s="55" t="str">
        <f>IFERROR(IF(VLOOKUP(TableHandbook[[#This Row],[UDC]],TableAvailabilities[],6,FALSE)&gt;0,"Y",""),"")</f>
        <v>Y</v>
      </c>
      <c r="L59" s="55" t="str">
        <f>IFERROR(IF(VLOOKUP(TableHandbook[[#This Row],[UDC]],TableAvailabilities[],7,FALSE)&gt;0,"Y",""),"")</f>
        <v>Y</v>
      </c>
      <c r="M59" s="55" t="str">
        <f>IFERROR(IF(VLOOKUP(TableHandbook[[#This Row],[UDC]],TableAvailabilities[],8,FALSE)&gt;0,"Y",""),"")</f>
        <v/>
      </c>
      <c r="N59" s="55" t="str">
        <f>IFERROR(IF(VLOOKUP(TableHandbook[[#This Row],[UDC]],TableAvailabilities[],9,FALSE)&gt;0,"Y",""),"")</f>
        <v/>
      </c>
      <c r="O59" s="230"/>
      <c r="P59" s="232" t="str">
        <f>IFERROR(VLOOKUP(TableHandbook[[#This Row],[UDC]],TableMCTEACH[],7,FALSE),"")</f>
        <v/>
      </c>
      <c r="Q59" s="231" t="str">
        <f>IFERROR(VLOOKUP(TableHandbook[[#This Row],[UDC]],TableMJRPTCHEC[],7,FALSE),"")</f>
        <v/>
      </c>
      <c r="R59" s="231" t="str">
        <f>IFERROR(VLOOKUP(TableHandbook[[#This Row],[UDC]],TableMJRPTCHPR[],7,FALSE),"")</f>
        <v/>
      </c>
      <c r="S59" s="231" t="str">
        <f>IFERROR(VLOOKUP(TableHandbook[[#This Row],[UDC]],TableMJRPTCHSC[],7,FALSE),"")</f>
        <v/>
      </c>
      <c r="T59" s="231" t="str">
        <f>IFERROR(VLOOKUP(TableHandbook[[#This Row],[UDC]],TableSTRPSCART[],7,FALSE),"")</f>
        <v/>
      </c>
      <c r="U59" s="231" t="str">
        <f>IFERROR(VLOOKUP(TableHandbook[[#This Row],[UDC]],TableSTRPSCENG[],7,FALSE),"")</f>
        <v/>
      </c>
      <c r="V59" s="231" t="str">
        <f>IFERROR(VLOOKUP(TableHandbook[[#This Row],[UDC]],TableSTRPSCHLP[],7,FALSE),"")</f>
        <v/>
      </c>
      <c r="W59" s="231" t="str">
        <f>IFERROR(VLOOKUP(TableHandbook[[#This Row],[UDC]],TableSTRPSCHUS[],7,FALSE),"")</f>
        <v/>
      </c>
      <c r="X59" s="231" t="str">
        <f>IFERROR(VLOOKUP(TableHandbook[[#This Row],[UDC]],TableSTRPSCMAT[],7,FALSE),"")</f>
        <v/>
      </c>
      <c r="Y59" s="231" t="str">
        <f>IFERROR(VLOOKUP(TableHandbook[[#This Row],[UDC]],TableSTRPSCSCI[],7,FALSE),"")</f>
        <v/>
      </c>
      <c r="Z59" s="231" t="str">
        <f>IFERROR(VLOOKUP(TableHandbook[[#This Row],[UDC]],TableSTRPSCFON[],7,FALSE),"")</f>
        <v/>
      </c>
      <c r="AA59" s="232" t="str">
        <f>IFERROR(VLOOKUP(TableHandbook[[#This Row],[UDC]],TableGCTESOL[],7,FALSE),"")</f>
        <v/>
      </c>
      <c r="AB59" s="231" t="str">
        <f>IFERROR(VLOOKUP(TableHandbook[[#This Row],[UDC]],TableMCTESOL[],7,FALSE),"")</f>
        <v>Core</v>
      </c>
      <c r="AC59" s="231" t="str">
        <f>IFERROR(VLOOKUP(TableHandbook[[#This Row],[UDC]],TableMCAPLING[],7,FALSE),"")</f>
        <v>Core</v>
      </c>
      <c r="AD59" s="232" t="str">
        <f>IFERROR(VLOOKUP(TableHandbook[[#This Row],[UDC]],TableGCEDHE[],7,FALSE),"")</f>
        <v/>
      </c>
      <c r="AE59" s="231" t="str">
        <f>IFERROR(VLOOKUP(TableHandbook[[#This Row],[UDC]],TableGCEDUC[],7,FALSE),"")</f>
        <v/>
      </c>
      <c r="AF59" s="231" t="str">
        <f>IFERROR(VLOOKUP(TableHandbook[[#This Row],[UDC]],TableGDEDUC[],7,FALSE),"")</f>
        <v/>
      </c>
      <c r="AG59" s="231" t="str">
        <f>IFERROR(VLOOKUP(TableHandbook[[#This Row],[UDC]],TableMJRPEDUPR[],7,FALSE),"")</f>
        <v/>
      </c>
      <c r="AH59" s="231" t="str">
        <f>IFERROR(VLOOKUP(TableHandbook[[#This Row],[UDC]],TableMJRPEDUSC[],7,FALSE),"")</f>
        <v/>
      </c>
      <c r="AI59" s="232" t="str">
        <f>IFERROR(VLOOKUP(TableHandbook[[#This Row],[UDC]],TableMCEDUC[],7,FALSE),"")</f>
        <v>Option</v>
      </c>
      <c r="AJ59" s="231" t="str">
        <f>IFERROR(VLOOKUP(TableHandbook[[#This Row],[UDC]],TableSPPECULIN[],7,FALSE),"")</f>
        <v>Core</v>
      </c>
      <c r="AK59" s="231" t="str">
        <f>IFERROR(VLOOKUP(TableHandbook[[#This Row],[UDC]],TableSPPELNTCH[],7,FALSE),"")</f>
        <v/>
      </c>
      <c r="AL59" s="231" t="str">
        <f>IFERROR(VLOOKUP(TableHandbook[[#This Row],[UDC]],TableSPPESTEME[],7,FALSE),"")</f>
        <v/>
      </c>
    </row>
    <row r="60" spans="1:38" x14ac:dyDescent="0.25">
      <c r="A60" s="2" t="s">
        <v>181</v>
      </c>
      <c r="B60" s="3">
        <v>1</v>
      </c>
      <c r="C60" s="3"/>
      <c r="D60" s="2" t="s">
        <v>404</v>
      </c>
      <c r="E60" s="3">
        <v>25</v>
      </c>
      <c r="F60" s="54" t="s">
        <v>348</v>
      </c>
      <c r="G60" s="55" t="str">
        <f>IFERROR(IF(VLOOKUP(TableHandbook[[#This Row],[UDC]],TableAvailabilities[],2,FALSE)&gt;0,"Y",""),"")</f>
        <v/>
      </c>
      <c r="H60" s="55" t="str">
        <f>IFERROR(IF(VLOOKUP(TableHandbook[[#This Row],[UDC]],TableAvailabilities[],3,FALSE)&gt;0,"Y",""),"")</f>
        <v/>
      </c>
      <c r="I60" s="55" t="str">
        <f>IFERROR(IF(VLOOKUP(TableHandbook[[#This Row],[UDC]],TableAvailabilities[],4,FALSE)&gt;0,"Y",""),"")</f>
        <v>Y</v>
      </c>
      <c r="J60" s="55" t="str">
        <f>IFERROR(IF(VLOOKUP(TableHandbook[[#This Row],[UDC]],TableAvailabilities[],5,FALSE)&gt;0,"Y",""),"")</f>
        <v>Y</v>
      </c>
      <c r="K60" s="55" t="str">
        <f>IFERROR(IF(VLOOKUP(TableHandbook[[#This Row],[UDC]],TableAvailabilities[],6,FALSE)&gt;0,"Y",""),"")</f>
        <v/>
      </c>
      <c r="L60" s="55" t="str">
        <f>IFERROR(IF(VLOOKUP(TableHandbook[[#This Row],[UDC]],TableAvailabilities[],7,FALSE)&gt;0,"Y",""),"")</f>
        <v/>
      </c>
      <c r="M60" s="55" t="str">
        <f>IFERROR(IF(VLOOKUP(TableHandbook[[#This Row],[UDC]],TableAvailabilities[],8,FALSE)&gt;0,"Y",""),"")</f>
        <v>Y</v>
      </c>
      <c r="N60" s="55" t="str">
        <f>IFERROR(IF(VLOOKUP(TableHandbook[[#This Row],[UDC]],TableAvailabilities[],9,FALSE)&gt;0,"Y",""),"")</f>
        <v>Y</v>
      </c>
      <c r="O60" s="230"/>
      <c r="P60" s="232" t="str">
        <f>IFERROR(VLOOKUP(TableHandbook[[#This Row],[UDC]],TableMCTEACH[],7,FALSE),"")</f>
        <v/>
      </c>
      <c r="Q60" s="231" t="str">
        <f>IFERROR(VLOOKUP(TableHandbook[[#This Row],[UDC]],TableMJRPTCHEC[],7,FALSE),"")</f>
        <v/>
      </c>
      <c r="R60" s="231" t="str">
        <f>IFERROR(VLOOKUP(TableHandbook[[#This Row],[UDC]],TableMJRPTCHPR[],7,FALSE),"")</f>
        <v/>
      </c>
      <c r="S60" s="231" t="str">
        <f>IFERROR(VLOOKUP(TableHandbook[[#This Row],[UDC]],TableMJRPTCHSC[],7,FALSE),"")</f>
        <v/>
      </c>
      <c r="T60" s="231" t="str">
        <f>IFERROR(VLOOKUP(TableHandbook[[#This Row],[UDC]],TableSTRPSCART[],7,FALSE),"")</f>
        <v/>
      </c>
      <c r="U60" s="231" t="str">
        <f>IFERROR(VLOOKUP(TableHandbook[[#This Row],[UDC]],TableSTRPSCENG[],7,FALSE),"")</f>
        <v/>
      </c>
      <c r="V60" s="231" t="str">
        <f>IFERROR(VLOOKUP(TableHandbook[[#This Row],[UDC]],TableSTRPSCHLP[],7,FALSE),"")</f>
        <v/>
      </c>
      <c r="W60" s="231" t="str">
        <f>IFERROR(VLOOKUP(TableHandbook[[#This Row],[UDC]],TableSTRPSCHUS[],7,FALSE),"")</f>
        <v/>
      </c>
      <c r="X60" s="231" t="str">
        <f>IFERROR(VLOOKUP(TableHandbook[[#This Row],[UDC]],TableSTRPSCMAT[],7,FALSE),"")</f>
        <v/>
      </c>
      <c r="Y60" s="231" t="str">
        <f>IFERROR(VLOOKUP(TableHandbook[[#This Row],[UDC]],TableSTRPSCSCI[],7,FALSE),"")</f>
        <v/>
      </c>
      <c r="Z60" s="231" t="str">
        <f>IFERROR(VLOOKUP(TableHandbook[[#This Row],[UDC]],TableSTRPSCFON[],7,FALSE),"")</f>
        <v/>
      </c>
      <c r="AA60" s="232" t="str">
        <f>IFERROR(VLOOKUP(TableHandbook[[#This Row],[UDC]],TableGCTESOL[],7,FALSE),"")</f>
        <v/>
      </c>
      <c r="AB60" s="231" t="str">
        <f>IFERROR(VLOOKUP(TableHandbook[[#This Row],[UDC]],TableMCTESOL[],7,FALSE),"")</f>
        <v>Core</v>
      </c>
      <c r="AC60" s="231" t="str">
        <f>IFERROR(VLOOKUP(TableHandbook[[#This Row],[UDC]],TableMCAPLING[],7,FALSE),"")</f>
        <v>Core</v>
      </c>
      <c r="AD60" s="232" t="str">
        <f>IFERROR(VLOOKUP(TableHandbook[[#This Row],[UDC]],TableGCEDHE[],7,FALSE),"")</f>
        <v/>
      </c>
      <c r="AE60" s="231" t="str">
        <f>IFERROR(VLOOKUP(TableHandbook[[#This Row],[UDC]],TableGCEDUC[],7,FALSE),"")</f>
        <v/>
      </c>
      <c r="AF60" s="231" t="str">
        <f>IFERROR(VLOOKUP(TableHandbook[[#This Row],[UDC]],TableGDEDUC[],7,FALSE),"")</f>
        <v/>
      </c>
      <c r="AG60" s="231" t="str">
        <f>IFERROR(VLOOKUP(TableHandbook[[#This Row],[UDC]],TableMJRPEDUPR[],7,FALSE),"")</f>
        <v/>
      </c>
      <c r="AH60" s="231" t="str">
        <f>IFERROR(VLOOKUP(TableHandbook[[#This Row],[UDC]],TableMJRPEDUSC[],7,FALSE),"")</f>
        <v/>
      </c>
      <c r="AI60" s="232" t="str">
        <f>IFERROR(VLOOKUP(TableHandbook[[#This Row],[UDC]],TableMCEDUC[],7,FALSE),"")</f>
        <v/>
      </c>
      <c r="AJ60" s="231" t="str">
        <f>IFERROR(VLOOKUP(TableHandbook[[#This Row],[UDC]],TableSPPECULIN[],7,FALSE),"")</f>
        <v/>
      </c>
      <c r="AK60" s="231" t="str">
        <f>IFERROR(VLOOKUP(TableHandbook[[#This Row],[UDC]],TableSPPELNTCH[],7,FALSE),"")</f>
        <v/>
      </c>
      <c r="AL60" s="231" t="str">
        <f>IFERROR(VLOOKUP(TableHandbook[[#This Row],[UDC]],TableSPPESTEME[],7,FALSE),"")</f>
        <v/>
      </c>
    </row>
    <row r="61" spans="1:38" x14ac:dyDescent="0.25">
      <c r="A61" s="2" t="s">
        <v>173</v>
      </c>
      <c r="B61" s="3">
        <v>1</v>
      </c>
      <c r="C61" s="3"/>
      <c r="D61" s="2" t="s">
        <v>405</v>
      </c>
      <c r="E61" s="3">
        <v>25</v>
      </c>
      <c r="F61" s="54" t="s">
        <v>348</v>
      </c>
      <c r="G61" s="55" t="str">
        <f>IFERROR(IF(VLOOKUP(TableHandbook[[#This Row],[UDC]],TableAvailabilities[],2,FALSE)&gt;0,"Y",""),"")</f>
        <v/>
      </c>
      <c r="H61" s="55" t="str">
        <f>IFERROR(IF(VLOOKUP(TableHandbook[[#This Row],[UDC]],TableAvailabilities[],3,FALSE)&gt;0,"Y",""),"")</f>
        <v/>
      </c>
      <c r="I61" s="55" t="str">
        <f>IFERROR(IF(VLOOKUP(TableHandbook[[#This Row],[UDC]],TableAvailabilities[],4,FALSE)&gt;0,"Y",""),"")</f>
        <v>Y</v>
      </c>
      <c r="J61" s="55" t="str">
        <f>IFERROR(IF(VLOOKUP(TableHandbook[[#This Row],[UDC]],TableAvailabilities[],5,FALSE)&gt;0,"Y",""),"")</f>
        <v>Y</v>
      </c>
      <c r="K61" s="55" t="str">
        <f>IFERROR(IF(VLOOKUP(TableHandbook[[#This Row],[UDC]],TableAvailabilities[],6,FALSE)&gt;0,"Y",""),"")</f>
        <v/>
      </c>
      <c r="L61" s="55" t="str">
        <f>IFERROR(IF(VLOOKUP(TableHandbook[[#This Row],[UDC]],TableAvailabilities[],7,FALSE)&gt;0,"Y",""),"")</f>
        <v/>
      </c>
      <c r="M61" s="55" t="str">
        <f>IFERROR(IF(VLOOKUP(TableHandbook[[#This Row],[UDC]],TableAvailabilities[],8,FALSE)&gt;0,"Y",""),"")</f>
        <v/>
      </c>
      <c r="N61" s="55" t="str">
        <f>IFERROR(IF(VLOOKUP(TableHandbook[[#This Row],[UDC]],TableAvailabilities[],9,FALSE)&gt;0,"Y",""),"")</f>
        <v>Y</v>
      </c>
      <c r="O61" s="230"/>
      <c r="P61" s="232" t="str">
        <f>IFERROR(VLOOKUP(TableHandbook[[#This Row],[UDC]],TableMCTEACH[],7,FALSE),"")</f>
        <v/>
      </c>
      <c r="Q61" s="231" t="str">
        <f>IFERROR(VLOOKUP(TableHandbook[[#This Row],[UDC]],TableMJRPTCHEC[],7,FALSE),"")</f>
        <v/>
      </c>
      <c r="R61" s="231" t="str">
        <f>IFERROR(VLOOKUP(TableHandbook[[#This Row],[UDC]],TableMJRPTCHPR[],7,FALSE),"")</f>
        <v/>
      </c>
      <c r="S61" s="231" t="str">
        <f>IFERROR(VLOOKUP(TableHandbook[[#This Row],[UDC]],TableMJRPTCHSC[],7,FALSE),"")</f>
        <v/>
      </c>
      <c r="T61" s="231" t="str">
        <f>IFERROR(VLOOKUP(TableHandbook[[#This Row],[UDC]],TableSTRPSCART[],7,FALSE),"")</f>
        <v/>
      </c>
      <c r="U61" s="231" t="str">
        <f>IFERROR(VLOOKUP(TableHandbook[[#This Row],[UDC]],TableSTRPSCENG[],7,FALSE),"")</f>
        <v/>
      </c>
      <c r="V61" s="231" t="str">
        <f>IFERROR(VLOOKUP(TableHandbook[[#This Row],[UDC]],TableSTRPSCHLP[],7,FALSE),"")</f>
        <v/>
      </c>
      <c r="W61" s="231" t="str">
        <f>IFERROR(VLOOKUP(TableHandbook[[#This Row],[UDC]],TableSTRPSCHUS[],7,FALSE),"")</f>
        <v/>
      </c>
      <c r="X61" s="231" t="str">
        <f>IFERROR(VLOOKUP(TableHandbook[[#This Row],[UDC]],TableSTRPSCMAT[],7,FALSE),"")</f>
        <v/>
      </c>
      <c r="Y61" s="231" t="str">
        <f>IFERROR(VLOOKUP(TableHandbook[[#This Row],[UDC]],TableSTRPSCSCI[],7,FALSE),"")</f>
        <v/>
      </c>
      <c r="Z61" s="231" t="str">
        <f>IFERROR(VLOOKUP(TableHandbook[[#This Row],[UDC]],TableSTRPSCFON[],7,FALSE),"")</f>
        <v/>
      </c>
      <c r="AA61" s="232" t="str">
        <f>IFERROR(VLOOKUP(TableHandbook[[#This Row],[UDC]],TableGCTESOL[],7,FALSE),"")</f>
        <v/>
      </c>
      <c r="AB61" s="231" t="str">
        <f>IFERROR(VLOOKUP(TableHandbook[[#This Row],[UDC]],TableMCTESOL[],7,FALSE),"")</f>
        <v>Core</v>
      </c>
      <c r="AC61" s="231" t="str">
        <f>IFERROR(VLOOKUP(TableHandbook[[#This Row],[UDC]],TableMCAPLING[],7,FALSE),"")</f>
        <v>Core</v>
      </c>
      <c r="AD61" s="232" t="str">
        <f>IFERROR(VLOOKUP(TableHandbook[[#This Row],[UDC]],TableGCEDHE[],7,FALSE),"")</f>
        <v/>
      </c>
      <c r="AE61" s="231" t="str">
        <f>IFERROR(VLOOKUP(TableHandbook[[#This Row],[UDC]],TableGCEDUC[],7,FALSE),"")</f>
        <v/>
      </c>
      <c r="AF61" s="231" t="str">
        <f>IFERROR(VLOOKUP(TableHandbook[[#This Row],[UDC]],TableGDEDUC[],7,FALSE),"")</f>
        <v/>
      </c>
      <c r="AG61" s="231" t="str">
        <f>IFERROR(VLOOKUP(TableHandbook[[#This Row],[UDC]],TableMJRPEDUPR[],7,FALSE),"")</f>
        <v/>
      </c>
      <c r="AH61" s="231" t="str">
        <f>IFERROR(VLOOKUP(TableHandbook[[#This Row],[UDC]],TableMJRPEDUSC[],7,FALSE),"")</f>
        <v/>
      </c>
      <c r="AI61" s="232" t="str">
        <f>IFERROR(VLOOKUP(TableHandbook[[#This Row],[UDC]],TableMCEDUC[],7,FALSE),"")</f>
        <v/>
      </c>
      <c r="AJ61" s="231" t="str">
        <f>IFERROR(VLOOKUP(TableHandbook[[#This Row],[UDC]],TableSPPECULIN[],7,FALSE),"")</f>
        <v/>
      </c>
      <c r="AK61" s="231" t="str">
        <f>IFERROR(VLOOKUP(TableHandbook[[#This Row],[UDC]],TableSPPELNTCH[],7,FALSE),"")</f>
        <v/>
      </c>
      <c r="AL61" s="231" t="str">
        <f>IFERROR(VLOOKUP(TableHandbook[[#This Row],[UDC]],TableSPPESTEME[],7,FALSE),"")</f>
        <v/>
      </c>
    </row>
    <row r="62" spans="1:38" x14ac:dyDescent="0.25">
      <c r="A62" s="2" t="s">
        <v>162</v>
      </c>
      <c r="B62" s="3">
        <v>1</v>
      </c>
      <c r="C62" s="3"/>
      <c r="D62" s="2" t="s">
        <v>406</v>
      </c>
      <c r="E62" s="3">
        <v>25</v>
      </c>
      <c r="F62" s="54" t="s">
        <v>348</v>
      </c>
      <c r="G62" s="55" t="str">
        <f>IFERROR(IF(VLOOKUP(TableHandbook[[#This Row],[UDC]],TableAvailabilities[],2,FALSE)&gt;0,"Y",""),"")</f>
        <v>Y</v>
      </c>
      <c r="H62" s="55" t="str">
        <f>IFERROR(IF(VLOOKUP(TableHandbook[[#This Row],[UDC]],TableAvailabilities[],3,FALSE)&gt;0,"Y",""),"")</f>
        <v>Y</v>
      </c>
      <c r="I62" s="55" t="str">
        <f>IFERROR(IF(VLOOKUP(TableHandbook[[#This Row],[UDC]],TableAvailabilities[],4,FALSE)&gt;0,"Y",""),"")</f>
        <v/>
      </c>
      <c r="J62" s="55" t="str">
        <f>IFERROR(IF(VLOOKUP(TableHandbook[[#This Row],[UDC]],TableAvailabilities[],5,FALSE)&gt;0,"Y",""),"")</f>
        <v/>
      </c>
      <c r="K62" s="55" t="str">
        <f>IFERROR(IF(VLOOKUP(TableHandbook[[#This Row],[UDC]],TableAvailabilities[],6,FALSE)&gt;0,"Y",""),"")</f>
        <v>Y</v>
      </c>
      <c r="L62" s="55" t="str">
        <f>IFERROR(IF(VLOOKUP(TableHandbook[[#This Row],[UDC]],TableAvailabilities[],7,FALSE)&gt;0,"Y",""),"")</f>
        <v>Y</v>
      </c>
      <c r="M62" s="55" t="str">
        <f>IFERROR(IF(VLOOKUP(TableHandbook[[#This Row],[UDC]],TableAvailabilities[],8,FALSE)&gt;0,"Y",""),"")</f>
        <v/>
      </c>
      <c r="N62" s="55" t="str">
        <f>IFERROR(IF(VLOOKUP(TableHandbook[[#This Row],[UDC]],TableAvailabilities[],9,FALSE)&gt;0,"Y",""),"")</f>
        <v/>
      </c>
      <c r="O62" s="230"/>
      <c r="P62" s="232" t="str">
        <f>IFERROR(VLOOKUP(TableHandbook[[#This Row],[UDC]],TableMCTEACH[],7,FALSE),"")</f>
        <v/>
      </c>
      <c r="Q62" s="231" t="str">
        <f>IFERROR(VLOOKUP(TableHandbook[[#This Row],[UDC]],TableMJRPTCHEC[],7,FALSE),"")</f>
        <v/>
      </c>
      <c r="R62" s="231" t="str">
        <f>IFERROR(VLOOKUP(TableHandbook[[#This Row],[UDC]],TableMJRPTCHPR[],7,FALSE),"")</f>
        <v/>
      </c>
      <c r="S62" s="231" t="str">
        <f>IFERROR(VLOOKUP(TableHandbook[[#This Row],[UDC]],TableMJRPTCHSC[],7,FALSE),"")</f>
        <v/>
      </c>
      <c r="T62" s="231" t="str">
        <f>IFERROR(VLOOKUP(TableHandbook[[#This Row],[UDC]],TableSTRPSCART[],7,FALSE),"")</f>
        <v/>
      </c>
      <c r="U62" s="231" t="str">
        <f>IFERROR(VLOOKUP(TableHandbook[[#This Row],[UDC]],TableSTRPSCENG[],7,FALSE),"")</f>
        <v/>
      </c>
      <c r="V62" s="231" t="str">
        <f>IFERROR(VLOOKUP(TableHandbook[[#This Row],[UDC]],TableSTRPSCHLP[],7,FALSE),"")</f>
        <v/>
      </c>
      <c r="W62" s="231" t="str">
        <f>IFERROR(VLOOKUP(TableHandbook[[#This Row],[UDC]],TableSTRPSCHUS[],7,FALSE),"")</f>
        <v/>
      </c>
      <c r="X62" s="231" t="str">
        <f>IFERROR(VLOOKUP(TableHandbook[[#This Row],[UDC]],TableSTRPSCMAT[],7,FALSE),"")</f>
        <v/>
      </c>
      <c r="Y62" s="231" t="str">
        <f>IFERROR(VLOOKUP(TableHandbook[[#This Row],[UDC]],TableSTRPSCSCI[],7,FALSE),"")</f>
        <v/>
      </c>
      <c r="Z62" s="231" t="str">
        <f>IFERROR(VLOOKUP(TableHandbook[[#This Row],[UDC]],TableSTRPSCFON[],7,FALSE),"")</f>
        <v/>
      </c>
      <c r="AA62" s="232" t="str">
        <f>IFERROR(VLOOKUP(TableHandbook[[#This Row],[UDC]],TableGCTESOL[],7,FALSE),"")</f>
        <v/>
      </c>
      <c r="AB62" s="231" t="str">
        <f>IFERROR(VLOOKUP(TableHandbook[[#This Row],[UDC]],TableMCTESOL[],7,FALSE),"")</f>
        <v>Core</v>
      </c>
      <c r="AC62" s="231" t="str">
        <f>IFERROR(VLOOKUP(TableHandbook[[#This Row],[UDC]],TableMCAPLING[],7,FALSE),"")</f>
        <v>Core</v>
      </c>
      <c r="AD62" s="232" t="str">
        <f>IFERROR(VLOOKUP(TableHandbook[[#This Row],[UDC]],TableGCEDHE[],7,FALSE),"")</f>
        <v/>
      </c>
      <c r="AE62" s="231" t="str">
        <f>IFERROR(VLOOKUP(TableHandbook[[#This Row],[UDC]],TableGCEDUC[],7,FALSE),"")</f>
        <v/>
      </c>
      <c r="AF62" s="231" t="str">
        <f>IFERROR(VLOOKUP(TableHandbook[[#This Row],[UDC]],TableGDEDUC[],7,FALSE),"")</f>
        <v/>
      </c>
      <c r="AG62" s="231" t="str">
        <f>IFERROR(VLOOKUP(TableHandbook[[#This Row],[UDC]],TableMJRPEDUPR[],7,FALSE),"")</f>
        <v/>
      </c>
      <c r="AH62" s="231" t="str">
        <f>IFERROR(VLOOKUP(TableHandbook[[#This Row],[UDC]],TableMJRPEDUSC[],7,FALSE),"")</f>
        <v/>
      </c>
      <c r="AI62" s="232" t="str">
        <f>IFERROR(VLOOKUP(TableHandbook[[#This Row],[UDC]],TableMCEDUC[],7,FALSE),"")</f>
        <v/>
      </c>
      <c r="AJ62" s="231" t="str">
        <f>IFERROR(VLOOKUP(TableHandbook[[#This Row],[UDC]],TableSPPECULIN[],7,FALSE),"")</f>
        <v/>
      </c>
      <c r="AK62" s="231" t="str">
        <f>IFERROR(VLOOKUP(TableHandbook[[#This Row],[UDC]],TableSPPELNTCH[],7,FALSE),"")</f>
        <v/>
      </c>
      <c r="AL62" s="231" t="str">
        <f>IFERROR(VLOOKUP(TableHandbook[[#This Row],[UDC]],TableSPPESTEME[],7,FALSE),"")</f>
        <v/>
      </c>
    </row>
    <row r="63" spans="1:38" x14ac:dyDescent="0.25">
      <c r="A63" s="2" t="s">
        <v>215</v>
      </c>
      <c r="B63" s="3">
        <v>1</v>
      </c>
      <c r="C63" s="3"/>
      <c r="D63" s="2" t="s">
        <v>407</v>
      </c>
      <c r="E63" s="3">
        <v>25</v>
      </c>
      <c r="F63" s="54" t="s">
        <v>348</v>
      </c>
      <c r="G63" s="55" t="str">
        <f>IFERROR(IF(VLOOKUP(TableHandbook[[#This Row],[UDC]],TableAvailabilities[],2,FALSE)&gt;0,"Y",""),"")</f>
        <v/>
      </c>
      <c r="H63" s="55" t="str">
        <f>IFERROR(IF(VLOOKUP(TableHandbook[[#This Row],[UDC]],TableAvailabilities[],3,FALSE)&gt;0,"Y",""),"")</f>
        <v/>
      </c>
      <c r="I63" s="55" t="str">
        <f>IFERROR(IF(VLOOKUP(TableHandbook[[#This Row],[UDC]],TableAvailabilities[],4,FALSE)&gt;0,"Y",""),"")</f>
        <v>Y</v>
      </c>
      <c r="J63" s="55" t="str">
        <f>IFERROR(IF(VLOOKUP(TableHandbook[[#This Row],[UDC]],TableAvailabilities[],5,FALSE)&gt;0,"Y",""),"")</f>
        <v>Y</v>
      </c>
      <c r="K63" s="55" t="str">
        <f>IFERROR(IF(VLOOKUP(TableHandbook[[#This Row],[UDC]],TableAvailabilities[],6,FALSE)&gt;0,"Y",""),"")</f>
        <v/>
      </c>
      <c r="L63" s="55" t="str">
        <f>IFERROR(IF(VLOOKUP(TableHandbook[[#This Row],[UDC]],TableAvailabilities[],7,FALSE)&gt;0,"Y",""),"")</f>
        <v/>
      </c>
      <c r="M63" s="55" t="str">
        <f>IFERROR(IF(VLOOKUP(TableHandbook[[#This Row],[UDC]],TableAvailabilities[],8,FALSE)&gt;0,"Y",""),"")</f>
        <v>Y</v>
      </c>
      <c r="N63" s="55" t="str">
        <f>IFERROR(IF(VLOOKUP(TableHandbook[[#This Row],[UDC]],TableAvailabilities[],9,FALSE)&gt;0,"Y",""),"")</f>
        <v>Y</v>
      </c>
      <c r="O63" s="230"/>
      <c r="P63" s="232" t="str">
        <f>IFERROR(VLOOKUP(TableHandbook[[#This Row],[UDC]],TableMCTEACH[],7,FALSE),"")</f>
        <v/>
      </c>
      <c r="Q63" s="231" t="str">
        <f>IFERROR(VLOOKUP(TableHandbook[[#This Row],[UDC]],TableMJRPTCHEC[],7,FALSE),"")</f>
        <v/>
      </c>
      <c r="R63" s="231" t="str">
        <f>IFERROR(VLOOKUP(TableHandbook[[#This Row],[UDC]],TableMJRPTCHPR[],7,FALSE),"")</f>
        <v/>
      </c>
      <c r="S63" s="231" t="str">
        <f>IFERROR(VLOOKUP(TableHandbook[[#This Row],[UDC]],TableMJRPTCHSC[],7,FALSE),"")</f>
        <v/>
      </c>
      <c r="T63" s="231" t="str">
        <f>IFERROR(VLOOKUP(TableHandbook[[#This Row],[UDC]],TableSTRPSCART[],7,FALSE),"")</f>
        <v/>
      </c>
      <c r="U63" s="231" t="str">
        <f>IFERROR(VLOOKUP(TableHandbook[[#This Row],[UDC]],TableSTRPSCENG[],7,FALSE),"")</f>
        <v/>
      </c>
      <c r="V63" s="231" t="str">
        <f>IFERROR(VLOOKUP(TableHandbook[[#This Row],[UDC]],TableSTRPSCHLP[],7,FALSE),"")</f>
        <v/>
      </c>
      <c r="W63" s="231" t="str">
        <f>IFERROR(VLOOKUP(TableHandbook[[#This Row],[UDC]],TableSTRPSCHUS[],7,FALSE),"")</f>
        <v/>
      </c>
      <c r="X63" s="231" t="str">
        <f>IFERROR(VLOOKUP(TableHandbook[[#This Row],[UDC]],TableSTRPSCMAT[],7,FALSE),"")</f>
        <v/>
      </c>
      <c r="Y63" s="231" t="str">
        <f>IFERROR(VLOOKUP(TableHandbook[[#This Row],[UDC]],TableSTRPSCSCI[],7,FALSE),"")</f>
        <v/>
      </c>
      <c r="Z63" s="231" t="str">
        <f>IFERROR(VLOOKUP(TableHandbook[[#This Row],[UDC]],TableSTRPSCFON[],7,FALSE),"")</f>
        <v/>
      </c>
      <c r="AA63" s="232" t="str">
        <f>IFERROR(VLOOKUP(TableHandbook[[#This Row],[UDC]],TableGCTESOL[],7,FALSE),"")</f>
        <v/>
      </c>
      <c r="AB63" s="231" t="str">
        <f>IFERROR(VLOOKUP(TableHandbook[[#This Row],[UDC]],TableMCTESOL[],7,FALSE),"")</f>
        <v/>
      </c>
      <c r="AC63" s="231" t="str">
        <f>IFERROR(VLOOKUP(TableHandbook[[#This Row],[UDC]],TableMCAPLING[],7,FALSE),"")</f>
        <v/>
      </c>
      <c r="AD63" s="232" t="str">
        <f>IFERROR(VLOOKUP(TableHandbook[[#This Row],[UDC]],TableGCEDHE[],7,FALSE),"")</f>
        <v/>
      </c>
      <c r="AE63" s="231" t="str">
        <f>IFERROR(VLOOKUP(TableHandbook[[#This Row],[UDC]],TableGCEDUC[],7,FALSE),"")</f>
        <v/>
      </c>
      <c r="AF63" s="231" t="str">
        <f>IFERROR(VLOOKUP(TableHandbook[[#This Row],[UDC]],TableGDEDUC[],7,FALSE),"")</f>
        <v/>
      </c>
      <c r="AG63" s="231" t="str">
        <f>IFERROR(VLOOKUP(TableHandbook[[#This Row],[UDC]],TableMJRPEDUPR[],7,FALSE),"")</f>
        <v/>
      </c>
      <c r="AH63" s="231" t="str">
        <f>IFERROR(VLOOKUP(TableHandbook[[#This Row],[UDC]],TableMJRPEDUSC[],7,FALSE),"")</f>
        <v/>
      </c>
      <c r="AI63" s="232" t="str">
        <f>IFERROR(VLOOKUP(TableHandbook[[#This Row],[UDC]],TableMCEDUC[],7,FALSE),"")</f>
        <v>Core</v>
      </c>
      <c r="AJ63" s="231" t="str">
        <f>IFERROR(VLOOKUP(TableHandbook[[#This Row],[UDC]],TableSPPECULIN[],7,FALSE),"")</f>
        <v/>
      </c>
      <c r="AK63" s="231" t="str">
        <f>IFERROR(VLOOKUP(TableHandbook[[#This Row],[UDC]],TableSPPELNTCH[],7,FALSE),"")</f>
        <v/>
      </c>
      <c r="AL63" s="231" t="str">
        <f>IFERROR(VLOOKUP(TableHandbook[[#This Row],[UDC]],TableSPPESTEME[],7,FALSE),"")</f>
        <v/>
      </c>
    </row>
    <row r="64" spans="1:38" x14ac:dyDescent="0.25">
      <c r="A64" s="2" t="s">
        <v>214</v>
      </c>
      <c r="B64" s="3">
        <v>1</v>
      </c>
      <c r="C64" s="3"/>
      <c r="D64" s="2" t="s">
        <v>408</v>
      </c>
      <c r="E64" s="3">
        <v>25</v>
      </c>
      <c r="F64" s="54" t="s">
        <v>348</v>
      </c>
      <c r="G64" s="55" t="str">
        <f>IFERROR(IF(VLOOKUP(TableHandbook[[#This Row],[UDC]],TableAvailabilities[],2,FALSE)&gt;0,"Y",""),"")</f>
        <v/>
      </c>
      <c r="H64" s="55" t="str">
        <f>IFERROR(IF(VLOOKUP(TableHandbook[[#This Row],[UDC]],TableAvailabilities[],3,FALSE)&gt;0,"Y",""),"")</f>
        <v/>
      </c>
      <c r="I64" s="55" t="str">
        <f>IFERROR(IF(VLOOKUP(TableHandbook[[#This Row],[UDC]],TableAvailabilities[],4,FALSE)&gt;0,"Y",""),"")</f>
        <v/>
      </c>
      <c r="J64" s="55" t="str">
        <f>IFERROR(IF(VLOOKUP(TableHandbook[[#This Row],[UDC]],TableAvailabilities[],5,FALSE)&gt;0,"Y",""),"")</f>
        <v/>
      </c>
      <c r="K64" s="55" t="str">
        <f>IFERROR(IF(VLOOKUP(TableHandbook[[#This Row],[UDC]],TableAvailabilities[],6,FALSE)&gt;0,"Y",""),"")</f>
        <v>Y</v>
      </c>
      <c r="L64" s="55" t="str">
        <f>IFERROR(IF(VLOOKUP(TableHandbook[[#This Row],[UDC]],TableAvailabilities[],7,FALSE)&gt;0,"Y",""),"")</f>
        <v>Y</v>
      </c>
      <c r="M64" s="55" t="str">
        <f>IFERROR(IF(VLOOKUP(TableHandbook[[#This Row],[UDC]],TableAvailabilities[],8,FALSE)&gt;0,"Y",""),"")</f>
        <v/>
      </c>
      <c r="N64" s="55" t="str">
        <f>IFERROR(IF(VLOOKUP(TableHandbook[[#This Row],[UDC]],TableAvailabilities[],9,FALSE)&gt;0,"Y",""),"")</f>
        <v/>
      </c>
      <c r="O64" s="230"/>
      <c r="P64" s="232" t="str">
        <f>IFERROR(VLOOKUP(TableHandbook[[#This Row],[UDC]],TableMCTEACH[],7,FALSE),"")</f>
        <v/>
      </c>
      <c r="Q64" s="231" t="str">
        <f>IFERROR(VLOOKUP(TableHandbook[[#This Row],[UDC]],TableMJRPTCHEC[],7,FALSE),"")</f>
        <v/>
      </c>
      <c r="R64" s="231" t="str">
        <f>IFERROR(VLOOKUP(TableHandbook[[#This Row],[UDC]],TableMJRPTCHPR[],7,FALSE),"")</f>
        <v/>
      </c>
      <c r="S64" s="231" t="str">
        <f>IFERROR(VLOOKUP(TableHandbook[[#This Row],[UDC]],TableMJRPTCHSC[],7,FALSE),"")</f>
        <v/>
      </c>
      <c r="T64" s="231" t="str">
        <f>IFERROR(VLOOKUP(TableHandbook[[#This Row],[UDC]],TableSTRPSCART[],7,FALSE),"")</f>
        <v/>
      </c>
      <c r="U64" s="231" t="str">
        <f>IFERROR(VLOOKUP(TableHandbook[[#This Row],[UDC]],TableSTRPSCENG[],7,FALSE),"")</f>
        <v/>
      </c>
      <c r="V64" s="231" t="str">
        <f>IFERROR(VLOOKUP(TableHandbook[[#This Row],[UDC]],TableSTRPSCHLP[],7,FALSE),"")</f>
        <v/>
      </c>
      <c r="W64" s="231" t="str">
        <f>IFERROR(VLOOKUP(TableHandbook[[#This Row],[UDC]],TableSTRPSCHUS[],7,FALSE),"")</f>
        <v/>
      </c>
      <c r="X64" s="231" t="str">
        <f>IFERROR(VLOOKUP(TableHandbook[[#This Row],[UDC]],TableSTRPSCMAT[],7,FALSE),"")</f>
        <v/>
      </c>
      <c r="Y64" s="231" t="str">
        <f>IFERROR(VLOOKUP(TableHandbook[[#This Row],[UDC]],TableSTRPSCSCI[],7,FALSE),"")</f>
        <v/>
      </c>
      <c r="Z64" s="231" t="str">
        <f>IFERROR(VLOOKUP(TableHandbook[[#This Row],[UDC]],TableSTRPSCFON[],7,FALSE),"")</f>
        <v/>
      </c>
      <c r="AA64" s="232" t="str">
        <f>IFERROR(VLOOKUP(TableHandbook[[#This Row],[UDC]],TableGCTESOL[],7,FALSE),"")</f>
        <v/>
      </c>
      <c r="AB64" s="231" t="str">
        <f>IFERROR(VLOOKUP(TableHandbook[[#This Row],[UDC]],TableMCTESOL[],7,FALSE),"")</f>
        <v/>
      </c>
      <c r="AC64" s="231" t="str">
        <f>IFERROR(VLOOKUP(TableHandbook[[#This Row],[UDC]],TableMCAPLING[],7,FALSE),"")</f>
        <v/>
      </c>
      <c r="AD64" s="232" t="str">
        <f>IFERROR(VLOOKUP(TableHandbook[[#This Row],[UDC]],TableGCEDHE[],7,FALSE),"")</f>
        <v/>
      </c>
      <c r="AE64" s="231" t="str">
        <f>IFERROR(VLOOKUP(TableHandbook[[#This Row],[UDC]],TableGCEDUC[],7,FALSE),"")</f>
        <v/>
      </c>
      <c r="AF64" s="231" t="str">
        <f>IFERROR(VLOOKUP(TableHandbook[[#This Row],[UDC]],TableGDEDUC[],7,FALSE),"")</f>
        <v/>
      </c>
      <c r="AG64" s="231" t="str">
        <f>IFERROR(VLOOKUP(TableHandbook[[#This Row],[UDC]],TableMJRPEDUPR[],7,FALSE),"")</f>
        <v/>
      </c>
      <c r="AH64" s="231" t="str">
        <f>IFERROR(VLOOKUP(TableHandbook[[#This Row],[UDC]],TableMJRPEDUSC[],7,FALSE),"")</f>
        <v/>
      </c>
      <c r="AI64" s="232" t="str">
        <f>IFERROR(VLOOKUP(TableHandbook[[#This Row],[UDC]],TableMCEDUC[],7,FALSE),"")</f>
        <v>Option</v>
      </c>
      <c r="AJ64" s="231" t="str">
        <f>IFERROR(VLOOKUP(TableHandbook[[#This Row],[UDC]],TableSPPECULIN[],7,FALSE),"")</f>
        <v/>
      </c>
      <c r="AK64" s="231" t="str">
        <f>IFERROR(VLOOKUP(TableHandbook[[#This Row],[UDC]],TableSPPELNTCH[],7,FALSE),"")</f>
        <v/>
      </c>
      <c r="AL64" s="231" t="str">
        <f>IFERROR(VLOOKUP(TableHandbook[[#This Row],[UDC]],TableSPPESTEME[],7,FALSE),"")</f>
        <v>Core</v>
      </c>
    </row>
    <row r="65" spans="1:38" x14ac:dyDescent="0.25">
      <c r="A65" s="2" t="s">
        <v>217</v>
      </c>
      <c r="B65" s="3">
        <v>1</v>
      </c>
      <c r="C65" s="3"/>
      <c r="D65" s="2" t="s">
        <v>409</v>
      </c>
      <c r="E65" s="3">
        <v>25</v>
      </c>
      <c r="F65" s="54" t="s">
        <v>348</v>
      </c>
      <c r="G65" s="55" t="str">
        <f>IFERROR(IF(VLOOKUP(TableHandbook[[#This Row],[UDC]],TableAvailabilities[],2,FALSE)&gt;0,"Y",""),"")</f>
        <v>Y</v>
      </c>
      <c r="H65" s="55" t="str">
        <f>IFERROR(IF(VLOOKUP(TableHandbook[[#This Row],[UDC]],TableAvailabilities[],3,FALSE)&gt;0,"Y",""),"")</f>
        <v>Y</v>
      </c>
      <c r="I65" s="55" t="str">
        <f>IFERROR(IF(VLOOKUP(TableHandbook[[#This Row],[UDC]],TableAvailabilities[],4,FALSE)&gt;0,"Y",""),"")</f>
        <v/>
      </c>
      <c r="J65" s="55" t="str">
        <f>IFERROR(IF(VLOOKUP(TableHandbook[[#This Row],[UDC]],TableAvailabilities[],5,FALSE)&gt;0,"Y",""),"")</f>
        <v/>
      </c>
      <c r="K65" s="55" t="str">
        <f>IFERROR(IF(VLOOKUP(TableHandbook[[#This Row],[UDC]],TableAvailabilities[],6,FALSE)&gt;0,"Y",""),"")</f>
        <v>Y</v>
      </c>
      <c r="L65" s="55" t="str">
        <f>IFERROR(IF(VLOOKUP(TableHandbook[[#This Row],[UDC]],TableAvailabilities[],7,FALSE)&gt;0,"Y",""),"")</f>
        <v>Y</v>
      </c>
      <c r="M65" s="55" t="str">
        <f>IFERROR(IF(VLOOKUP(TableHandbook[[#This Row],[UDC]],TableAvailabilities[],8,FALSE)&gt;0,"Y",""),"")</f>
        <v/>
      </c>
      <c r="N65" s="55" t="str">
        <f>IFERROR(IF(VLOOKUP(TableHandbook[[#This Row],[UDC]],TableAvailabilities[],9,FALSE)&gt;0,"Y",""),"")</f>
        <v/>
      </c>
      <c r="O65" s="230"/>
      <c r="P65" s="232" t="str">
        <f>IFERROR(VLOOKUP(TableHandbook[[#This Row],[UDC]],TableMCTEACH[],7,FALSE),"")</f>
        <v/>
      </c>
      <c r="Q65" s="231" t="str">
        <f>IFERROR(VLOOKUP(TableHandbook[[#This Row],[UDC]],TableMJRPTCHEC[],7,FALSE),"")</f>
        <v/>
      </c>
      <c r="R65" s="231" t="str">
        <f>IFERROR(VLOOKUP(TableHandbook[[#This Row],[UDC]],TableMJRPTCHPR[],7,FALSE),"")</f>
        <v/>
      </c>
      <c r="S65" s="231" t="str">
        <f>IFERROR(VLOOKUP(TableHandbook[[#This Row],[UDC]],TableMJRPTCHSC[],7,FALSE),"")</f>
        <v/>
      </c>
      <c r="T65" s="231" t="str">
        <f>IFERROR(VLOOKUP(TableHandbook[[#This Row],[UDC]],TableSTRPSCART[],7,FALSE),"")</f>
        <v/>
      </c>
      <c r="U65" s="231" t="str">
        <f>IFERROR(VLOOKUP(TableHandbook[[#This Row],[UDC]],TableSTRPSCENG[],7,FALSE),"")</f>
        <v/>
      </c>
      <c r="V65" s="231" t="str">
        <f>IFERROR(VLOOKUP(TableHandbook[[#This Row],[UDC]],TableSTRPSCHLP[],7,FALSE),"")</f>
        <v/>
      </c>
      <c r="W65" s="231" t="str">
        <f>IFERROR(VLOOKUP(TableHandbook[[#This Row],[UDC]],TableSTRPSCHUS[],7,FALSE),"")</f>
        <v/>
      </c>
      <c r="X65" s="231" t="str">
        <f>IFERROR(VLOOKUP(TableHandbook[[#This Row],[UDC]],TableSTRPSCMAT[],7,FALSE),"")</f>
        <v/>
      </c>
      <c r="Y65" s="231" t="str">
        <f>IFERROR(VLOOKUP(TableHandbook[[#This Row],[UDC]],TableSTRPSCSCI[],7,FALSE),"")</f>
        <v/>
      </c>
      <c r="Z65" s="231" t="str">
        <f>IFERROR(VLOOKUP(TableHandbook[[#This Row],[UDC]],TableSTRPSCFON[],7,FALSE),"")</f>
        <v/>
      </c>
      <c r="AA65" s="232" t="str">
        <f>IFERROR(VLOOKUP(TableHandbook[[#This Row],[UDC]],TableGCTESOL[],7,FALSE),"")</f>
        <v/>
      </c>
      <c r="AB65" s="231" t="str">
        <f>IFERROR(VLOOKUP(TableHandbook[[#This Row],[UDC]],TableMCTESOL[],7,FALSE),"")</f>
        <v/>
      </c>
      <c r="AC65" s="231" t="str">
        <f>IFERROR(VLOOKUP(TableHandbook[[#This Row],[UDC]],TableMCAPLING[],7,FALSE),"")</f>
        <v/>
      </c>
      <c r="AD65" s="232" t="str">
        <f>IFERROR(VLOOKUP(TableHandbook[[#This Row],[UDC]],TableGCEDHE[],7,FALSE),"")</f>
        <v/>
      </c>
      <c r="AE65" s="231" t="str">
        <f>IFERROR(VLOOKUP(TableHandbook[[#This Row],[UDC]],TableGCEDUC[],7,FALSE),"")</f>
        <v/>
      </c>
      <c r="AF65" s="231" t="str">
        <f>IFERROR(VLOOKUP(TableHandbook[[#This Row],[UDC]],TableGDEDUC[],7,FALSE),"")</f>
        <v/>
      </c>
      <c r="AG65" s="231" t="str">
        <f>IFERROR(VLOOKUP(TableHandbook[[#This Row],[UDC]],TableMJRPEDUPR[],7,FALSE),"")</f>
        <v/>
      </c>
      <c r="AH65" s="231" t="str">
        <f>IFERROR(VLOOKUP(TableHandbook[[#This Row],[UDC]],TableMJRPEDUSC[],7,FALSE),"")</f>
        <v/>
      </c>
      <c r="AI65" s="232" t="str">
        <f>IFERROR(VLOOKUP(TableHandbook[[#This Row],[UDC]],TableMCEDUC[],7,FALSE),"")</f>
        <v>Option</v>
      </c>
      <c r="AJ65" s="231" t="str">
        <f>IFERROR(VLOOKUP(TableHandbook[[#This Row],[UDC]],TableSPPECULIN[],7,FALSE),"")</f>
        <v/>
      </c>
      <c r="AK65" s="231" t="str">
        <f>IFERROR(VLOOKUP(TableHandbook[[#This Row],[UDC]],TableSPPELNTCH[],7,FALSE),"")</f>
        <v>Core</v>
      </c>
      <c r="AL65" s="231" t="str">
        <f>IFERROR(VLOOKUP(TableHandbook[[#This Row],[UDC]],TableSPPESTEME[],7,FALSE),"")</f>
        <v>Core</v>
      </c>
    </row>
    <row r="66" spans="1:38" x14ac:dyDescent="0.25">
      <c r="A66" s="2" t="s">
        <v>216</v>
      </c>
      <c r="B66" s="3">
        <v>1</v>
      </c>
      <c r="C66" s="3"/>
      <c r="D66" s="2" t="s">
        <v>410</v>
      </c>
      <c r="E66" s="3">
        <v>25</v>
      </c>
      <c r="F66" s="54" t="s">
        <v>348</v>
      </c>
      <c r="G66" s="55" t="str">
        <f>IFERROR(IF(VLOOKUP(TableHandbook[[#This Row],[UDC]],TableAvailabilities[],2,FALSE)&gt;0,"Y",""),"")</f>
        <v/>
      </c>
      <c r="H66" s="55" t="str">
        <f>IFERROR(IF(VLOOKUP(TableHandbook[[#This Row],[UDC]],TableAvailabilities[],3,FALSE)&gt;0,"Y",""),"")</f>
        <v/>
      </c>
      <c r="I66" s="55" t="str">
        <f>IFERROR(IF(VLOOKUP(TableHandbook[[#This Row],[UDC]],TableAvailabilities[],4,FALSE)&gt;0,"Y",""),"")</f>
        <v>Y</v>
      </c>
      <c r="J66" s="55" t="str">
        <f>IFERROR(IF(VLOOKUP(TableHandbook[[#This Row],[UDC]],TableAvailabilities[],5,FALSE)&gt;0,"Y",""),"")</f>
        <v>Y</v>
      </c>
      <c r="K66" s="55" t="str">
        <f>IFERROR(IF(VLOOKUP(TableHandbook[[#This Row],[UDC]],TableAvailabilities[],6,FALSE)&gt;0,"Y",""),"")</f>
        <v/>
      </c>
      <c r="L66" s="55" t="str">
        <f>IFERROR(IF(VLOOKUP(TableHandbook[[#This Row],[UDC]],TableAvailabilities[],7,FALSE)&gt;0,"Y",""),"")</f>
        <v/>
      </c>
      <c r="M66" s="55" t="str">
        <f>IFERROR(IF(VLOOKUP(TableHandbook[[#This Row],[UDC]],TableAvailabilities[],8,FALSE)&gt;0,"Y",""),"")</f>
        <v>Y</v>
      </c>
      <c r="N66" s="55" t="str">
        <f>IFERROR(IF(VLOOKUP(TableHandbook[[#This Row],[UDC]],TableAvailabilities[],9,FALSE)&gt;0,"Y",""),"")</f>
        <v>Y</v>
      </c>
      <c r="O66" s="230"/>
      <c r="P66" s="232" t="str">
        <f>IFERROR(VLOOKUP(TableHandbook[[#This Row],[UDC]],TableMCTEACH[],7,FALSE),"")</f>
        <v/>
      </c>
      <c r="Q66" s="231" t="str">
        <f>IFERROR(VLOOKUP(TableHandbook[[#This Row],[UDC]],TableMJRPTCHEC[],7,FALSE),"")</f>
        <v/>
      </c>
      <c r="R66" s="231" t="str">
        <f>IFERROR(VLOOKUP(TableHandbook[[#This Row],[UDC]],TableMJRPTCHPR[],7,FALSE),"")</f>
        <v/>
      </c>
      <c r="S66" s="231" t="str">
        <f>IFERROR(VLOOKUP(TableHandbook[[#This Row],[UDC]],TableMJRPTCHSC[],7,FALSE),"")</f>
        <v/>
      </c>
      <c r="T66" s="231" t="str">
        <f>IFERROR(VLOOKUP(TableHandbook[[#This Row],[UDC]],TableSTRPSCART[],7,FALSE),"")</f>
        <v/>
      </c>
      <c r="U66" s="231" t="str">
        <f>IFERROR(VLOOKUP(TableHandbook[[#This Row],[UDC]],TableSTRPSCENG[],7,FALSE),"")</f>
        <v/>
      </c>
      <c r="V66" s="231" t="str">
        <f>IFERROR(VLOOKUP(TableHandbook[[#This Row],[UDC]],TableSTRPSCHLP[],7,FALSE),"")</f>
        <v/>
      </c>
      <c r="W66" s="231" t="str">
        <f>IFERROR(VLOOKUP(TableHandbook[[#This Row],[UDC]],TableSTRPSCHUS[],7,FALSE),"")</f>
        <v/>
      </c>
      <c r="X66" s="231" t="str">
        <f>IFERROR(VLOOKUP(TableHandbook[[#This Row],[UDC]],TableSTRPSCMAT[],7,FALSE),"")</f>
        <v/>
      </c>
      <c r="Y66" s="231" t="str">
        <f>IFERROR(VLOOKUP(TableHandbook[[#This Row],[UDC]],TableSTRPSCSCI[],7,FALSE),"")</f>
        <v/>
      </c>
      <c r="Z66" s="231" t="str">
        <f>IFERROR(VLOOKUP(TableHandbook[[#This Row],[UDC]],TableSTRPSCFON[],7,FALSE),"")</f>
        <v/>
      </c>
      <c r="AA66" s="232" t="str">
        <f>IFERROR(VLOOKUP(TableHandbook[[#This Row],[UDC]],TableGCTESOL[],7,FALSE),"")</f>
        <v/>
      </c>
      <c r="AB66" s="231" t="str">
        <f>IFERROR(VLOOKUP(TableHandbook[[#This Row],[UDC]],TableMCTESOL[],7,FALSE),"")</f>
        <v/>
      </c>
      <c r="AC66" s="231" t="str">
        <f>IFERROR(VLOOKUP(TableHandbook[[#This Row],[UDC]],TableMCAPLING[],7,FALSE),"")</f>
        <v/>
      </c>
      <c r="AD66" s="232" t="str">
        <f>IFERROR(VLOOKUP(TableHandbook[[#This Row],[UDC]],TableGCEDHE[],7,FALSE),"")</f>
        <v/>
      </c>
      <c r="AE66" s="231" t="str">
        <f>IFERROR(VLOOKUP(TableHandbook[[#This Row],[UDC]],TableGCEDUC[],7,FALSE),"")</f>
        <v/>
      </c>
      <c r="AF66" s="231" t="str">
        <f>IFERROR(VLOOKUP(TableHandbook[[#This Row],[UDC]],TableGDEDUC[],7,FALSE),"")</f>
        <v/>
      </c>
      <c r="AG66" s="231" t="str">
        <f>IFERROR(VLOOKUP(TableHandbook[[#This Row],[UDC]],TableMJRPEDUPR[],7,FALSE),"")</f>
        <v/>
      </c>
      <c r="AH66" s="231" t="str">
        <f>IFERROR(VLOOKUP(TableHandbook[[#This Row],[UDC]],TableMJRPEDUSC[],7,FALSE),"")</f>
        <v/>
      </c>
      <c r="AI66" s="232" t="str">
        <f>IFERROR(VLOOKUP(TableHandbook[[#This Row],[UDC]],TableMCEDUC[],7,FALSE),"")</f>
        <v>Option</v>
      </c>
      <c r="AJ66" s="231" t="str">
        <f>IFERROR(VLOOKUP(TableHandbook[[#This Row],[UDC]],TableSPPECULIN[],7,FALSE),"")</f>
        <v>Core</v>
      </c>
      <c r="AK66" s="231" t="str">
        <f>IFERROR(VLOOKUP(TableHandbook[[#This Row],[UDC]],TableSPPELNTCH[],7,FALSE),"")</f>
        <v>Core</v>
      </c>
      <c r="AL66" s="231" t="str">
        <f>IFERROR(VLOOKUP(TableHandbook[[#This Row],[UDC]],TableSPPESTEME[],7,FALSE),"")</f>
        <v>Core</v>
      </c>
    </row>
    <row r="67" spans="1:38" x14ac:dyDescent="0.25">
      <c r="A67" s="2" t="s">
        <v>211</v>
      </c>
      <c r="B67" s="3">
        <v>1</v>
      </c>
      <c r="C67" s="3"/>
      <c r="D67" s="2" t="s">
        <v>411</v>
      </c>
      <c r="E67" s="3">
        <v>25</v>
      </c>
      <c r="F67" s="54" t="s">
        <v>348</v>
      </c>
      <c r="G67" s="55" t="str">
        <f>IFERROR(IF(VLOOKUP(TableHandbook[[#This Row],[UDC]],TableAvailabilities[],2,FALSE)&gt;0,"Y",""),"")</f>
        <v>Y</v>
      </c>
      <c r="H67" s="55" t="str">
        <f>IFERROR(IF(VLOOKUP(TableHandbook[[#This Row],[UDC]],TableAvailabilities[],3,FALSE)&gt;0,"Y",""),"")</f>
        <v>Y</v>
      </c>
      <c r="I67" s="55" t="str">
        <f>IFERROR(IF(VLOOKUP(TableHandbook[[#This Row],[UDC]],TableAvailabilities[],4,FALSE)&gt;0,"Y",""),"")</f>
        <v/>
      </c>
      <c r="J67" s="55" t="str">
        <f>IFERROR(IF(VLOOKUP(TableHandbook[[#This Row],[UDC]],TableAvailabilities[],5,FALSE)&gt;0,"Y",""),"")</f>
        <v/>
      </c>
      <c r="K67" s="55" t="str">
        <f>IFERROR(IF(VLOOKUP(TableHandbook[[#This Row],[UDC]],TableAvailabilities[],6,FALSE)&gt;0,"Y",""),"")</f>
        <v/>
      </c>
      <c r="L67" s="55" t="str">
        <f>IFERROR(IF(VLOOKUP(TableHandbook[[#This Row],[UDC]],TableAvailabilities[],7,FALSE)&gt;0,"Y",""),"")</f>
        <v/>
      </c>
      <c r="M67" s="55" t="str">
        <f>IFERROR(IF(VLOOKUP(TableHandbook[[#This Row],[UDC]],TableAvailabilities[],8,FALSE)&gt;0,"Y",""),"")</f>
        <v/>
      </c>
      <c r="N67" s="55" t="str">
        <f>IFERROR(IF(VLOOKUP(TableHandbook[[#This Row],[UDC]],TableAvailabilities[],9,FALSE)&gt;0,"Y",""),"")</f>
        <v/>
      </c>
      <c r="O67" s="230"/>
      <c r="P67" s="232" t="str">
        <f>IFERROR(VLOOKUP(TableHandbook[[#This Row],[UDC]],TableMCTEACH[],7,FALSE),"")</f>
        <v/>
      </c>
      <c r="Q67" s="231" t="str">
        <f>IFERROR(VLOOKUP(TableHandbook[[#This Row],[UDC]],TableMJRPTCHEC[],7,FALSE),"")</f>
        <v/>
      </c>
      <c r="R67" s="231" t="str">
        <f>IFERROR(VLOOKUP(TableHandbook[[#This Row],[UDC]],TableMJRPTCHPR[],7,FALSE),"")</f>
        <v/>
      </c>
      <c r="S67" s="231" t="str">
        <f>IFERROR(VLOOKUP(TableHandbook[[#This Row],[UDC]],TableMJRPTCHSC[],7,FALSE),"")</f>
        <v/>
      </c>
      <c r="T67" s="231" t="str">
        <f>IFERROR(VLOOKUP(TableHandbook[[#This Row],[UDC]],TableSTRPSCART[],7,FALSE),"")</f>
        <v/>
      </c>
      <c r="U67" s="231" t="str">
        <f>IFERROR(VLOOKUP(TableHandbook[[#This Row],[UDC]],TableSTRPSCENG[],7,FALSE),"")</f>
        <v/>
      </c>
      <c r="V67" s="231" t="str">
        <f>IFERROR(VLOOKUP(TableHandbook[[#This Row],[UDC]],TableSTRPSCHLP[],7,FALSE),"")</f>
        <v/>
      </c>
      <c r="W67" s="231" t="str">
        <f>IFERROR(VLOOKUP(TableHandbook[[#This Row],[UDC]],TableSTRPSCHUS[],7,FALSE),"")</f>
        <v/>
      </c>
      <c r="X67" s="231" t="str">
        <f>IFERROR(VLOOKUP(TableHandbook[[#This Row],[UDC]],TableSTRPSCMAT[],7,FALSE),"")</f>
        <v/>
      </c>
      <c r="Y67" s="231" t="str">
        <f>IFERROR(VLOOKUP(TableHandbook[[#This Row],[UDC]],TableSTRPSCSCI[],7,FALSE),"")</f>
        <v/>
      </c>
      <c r="Z67" s="231" t="str">
        <f>IFERROR(VLOOKUP(TableHandbook[[#This Row],[UDC]],TableSTRPSCFON[],7,FALSE),"")</f>
        <v/>
      </c>
      <c r="AA67" s="232" t="str">
        <f>IFERROR(VLOOKUP(TableHandbook[[#This Row],[UDC]],TableGCTESOL[],7,FALSE),"")</f>
        <v/>
      </c>
      <c r="AB67" s="231" t="str">
        <f>IFERROR(VLOOKUP(TableHandbook[[#This Row],[UDC]],TableMCTESOL[],7,FALSE),"")</f>
        <v/>
      </c>
      <c r="AC67" s="231" t="str">
        <f>IFERROR(VLOOKUP(TableHandbook[[#This Row],[UDC]],TableMCAPLING[],7,FALSE),"")</f>
        <v/>
      </c>
      <c r="AD67" s="232" t="str">
        <f>IFERROR(VLOOKUP(TableHandbook[[#This Row],[UDC]],TableGCEDHE[],7,FALSE),"")</f>
        <v/>
      </c>
      <c r="AE67" s="231" t="str">
        <f>IFERROR(VLOOKUP(TableHandbook[[#This Row],[UDC]],TableGCEDUC[],7,FALSE),"")</f>
        <v/>
      </c>
      <c r="AF67" s="231" t="str">
        <f>IFERROR(VLOOKUP(TableHandbook[[#This Row],[UDC]],TableGDEDUC[],7,FALSE),"")</f>
        <v/>
      </c>
      <c r="AG67" s="231" t="str">
        <f>IFERROR(VLOOKUP(TableHandbook[[#This Row],[UDC]],TableMJRPEDUPR[],7,FALSE),"")</f>
        <v/>
      </c>
      <c r="AH67" s="231" t="str">
        <f>IFERROR(VLOOKUP(TableHandbook[[#This Row],[UDC]],TableMJRPEDUSC[],7,FALSE),"")</f>
        <v/>
      </c>
      <c r="AI67" s="232" t="str">
        <f>IFERROR(VLOOKUP(TableHandbook[[#This Row],[UDC]],TableMCEDUC[],7,FALSE),"")</f>
        <v>Option</v>
      </c>
      <c r="AJ67" s="231" t="str">
        <f>IFERROR(VLOOKUP(TableHandbook[[#This Row],[UDC]],TableSPPECULIN[],7,FALSE),"")</f>
        <v/>
      </c>
      <c r="AK67" s="231" t="str">
        <f>IFERROR(VLOOKUP(TableHandbook[[#This Row],[UDC]],TableSPPELNTCH[],7,FALSE),"")</f>
        <v>Core</v>
      </c>
      <c r="AL67" s="231" t="str">
        <f>IFERROR(VLOOKUP(TableHandbook[[#This Row],[UDC]],TableSPPESTEME[],7,FALSE),"")</f>
        <v/>
      </c>
    </row>
    <row r="68" spans="1:38" x14ac:dyDescent="0.25">
      <c r="A68" s="2" t="s">
        <v>210</v>
      </c>
      <c r="B68" s="3">
        <v>1</v>
      </c>
      <c r="C68" s="3"/>
      <c r="D68" s="2" t="s">
        <v>412</v>
      </c>
      <c r="E68" s="3">
        <v>25</v>
      </c>
      <c r="F68" s="54" t="s">
        <v>348</v>
      </c>
      <c r="G68" s="55" t="str">
        <f>IFERROR(IF(VLOOKUP(TableHandbook[[#This Row],[UDC]],TableAvailabilities[],2,FALSE)&gt;0,"Y",""),"")</f>
        <v>Y</v>
      </c>
      <c r="H68" s="55" t="str">
        <f>IFERROR(IF(VLOOKUP(TableHandbook[[#This Row],[UDC]],TableAvailabilities[],3,FALSE)&gt;0,"Y",""),"")</f>
        <v>Y</v>
      </c>
      <c r="I68" s="55" t="str">
        <f>IFERROR(IF(VLOOKUP(TableHandbook[[#This Row],[UDC]],TableAvailabilities[],4,FALSE)&gt;0,"Y",""),"")</f>
        <v/>
      </c>
      <c r="J68" s="55" t="str">
        <f>IFERROR(IF(VLOOKUP(TableHandbook[[#This Row],[UDC]],TableAvailabilities[],5,FALSE)&gt;0,"Y",""),"")</f>
        <v/>
      </c>
      <c r="K68" s="55" t="str">
        <f>IFERROR(IF(VLOOKUP(TableHandbook[[#This Row],[UDC]],TableAvailabilities[],6,FALSE)&gt;0,"Y",""),"")</f>
        <v/>
      </c>
      <c r="L68" s="55" t="str">
        <f>IFERROR(IF(VLOOKUP(TableHandbook[[#This Row],[UDC]],TableAvailabilities[],7,FALSE)&gt;0,"Y",""),"")</f>
        <v/>
      </c>
      <c r="M68" s="55" t="str">
        <f>IFERROR(IF(VLOOKUP(TableHandbook[[#This Row],[UDC]],TableAvailabilities[],8,FALSE)&gt;0,"Y",""),"")</f>
        <v/>
      </c>
      <c r="N68" s="55" t="str">
        <f>IFERROR(IF(VLOOKUP(TableHandbook[[#This Row],[UDC]],TableAvailabilities[],9,FALSE)&gt;0,"Y",""),"")</f>
        <v/>
      </c>
      <c r="O68" s="230"/>
      <c r="P68" s="232" t="str">
        <f>IFERROR(VLOOKUP(TableHandbook[[#This Row],[UDC]],TableMCTEACH[],7,FALSE),"")</f>
        <v/>
      </c>
      <c r="Q68" s="231" t="str">
        <f>IFERROR(VLOOKUP(TableHandbook[[#This Row],[UDC]],TableMJRPTCHEC[],7,FALSE),"")</f>
        <v/>
      </c>
      <c r="R68" s="231" t="str">
        <f>IFERROR(VLOOKUP(TableHandbook[[#This Row],[UDC]],TableMJRPTCHPR[],7,FALSE),"")</f>
        <v/>
      </c>
      <c r="S68" s="231" t="str">
        <f>IFERROR(VLOOKUP(TableHandbook[[#This Row],[UDC]],TableMJRPTCHSC[],7,FALSE),"")</f>
        <v/>
      </c>
      <c r="T68" s="231" t="str">
        <f>IFERROR(VLOOKUP(TableHandbook[[#This Row],[UDC]],TableSTRPSCART[],7,FALSE),"")</f>
        <v/>
      </c>
      <c r="U68" s="231" t="str">
        <f>IFERROR(VLOOKUP(TableHandbook[[#This Row],[UDC]],TableSTRPSCENG[],7,FALSE),"")</f>
        <v/>
      </c>
      <c r="V68" s="231" t="str">
        <f>IFERROR(VLOOKUP(TableHandbook[[#This Row],[UDC]],TableSTRPSCHLP[],7,FALSE),"")</f>
        <v/>
      </c>
      <c r="W68" s="231" t="str">
        <f>IFERROR(VLOOKUP(TableHandbook[[#This Row],[UDC]],TableSTRPSCHUS[],7,FALSE),"")</f>
        <v/>
      </c>
      <c r="X68" s="231" t="str">
        <f>IFERROR(VLOOKUP(TableHandbook[[#This Row],[UDC]],TableSTRPSCMAT[],7,FALSE),"")</f>
        <v/>
      </c>
      <c r="Y68" s="231" t="str">
        <f>IFERROR(VLOOKUP(TableHandbook[[#This Row],[UDC]],TableSTRPSCSCI[],7,FALSE),"")</f>
        <v/>
      </c>
      <c r="Z68" s="231" t="str">
        <f>IFERROR(VLOOKUP(TableHandbook[[#This Row],[UDC]],TableSTRPSCFON[],7,FALSE),"")</f>
        <v/>
      </c>
      <c r="AA68" s="232" t="str">
        <f>IFERROR(VLOOKUP(TableHandbook[[#This Row],[UDC]],TableGCTESOL[],7,FALSE),"")</f>
        <v/>
      </c>
      <c r="AB68" s="231" t="str">
        <f>IFERROR(VLOOKUP(TableHandbook[[#This Row],[UDC]],TableMCTESOL[],7,FALSE),"")</f>
        <v/>
      </c>
      <c r="AC68" s="231" t="str">
        <f>IFERROR(VLOOKUP(TableHandbook[[#This Row],[UDC]],TableMCAPLING[],7,FALSE),"")</f>
        <v/>
      </c>
      <c r="AD68" s="232" t="str">
        <f>IFERROR(VLOOKUP(TableHandbook[[#This Row],[UDC]],TableGCEDHE[],7,FALSE),"")</f>
        <v/>
      </c>
      <c r="AE68" s="231" t="str">
        <f>IFERROR(VLOOKUP(TableHandbook[[#This Row],[UDC]],TableGCEDUC[],7,FALSE),"")</f>
        <v/>
      </c>
      <c r="AF68" s="231" t="str">
        <f>IFERROR(VLOOKUP(TableHandbook[[#This Row],[UDC]],TableGDEDUC[],7,FALSE),"")</f>
        <v/>
      </c>
      <c r="AG68" s="231" t="str">
        <f>IFERROR(VLOOKUP(TableHandbook[[#This Row],[UDC]],TableMJRPEDUPR[],7,FALSE),"")</f>
        <v/>
      </c>
      <c r="AH68" s="231" t="str">
        <f>IFERROR(VLOOKUP(TableHandbook[[#This Row],[UDC]],TableMJRPEDUSC[],7,FALSE),"")</f>
        <v/>
      </c>
      <c r="AI68" s="232" t="str">
        <f>IFERROR(VLOOKUP(TableHandbook[[#This Row],[UDC]],TableMCEDUC[],7,FALSE),"")</f>
        <v>Option</v>
      </c>
      <c r="AJ68" s="231" t="str">
        <f>IFERROR(VLOOKUP(TableHandbook[[#This Row],[UDC]],TableSPPECULIN[],7,FALSE),"")</f>
        <v>Core</v>
      </c>
      <c r="AK68" s="231" t="str">
        <f>IFERROR(VLOOKUP(TableHandbook[[#This Row],[UDC]],TableSPPELNTCH[],7,FALSE),"")</f>
        <v/>
      </c>
      <c r="AL68" s="231" t="str">
        <f>IFERROR(VLOOKUP(TableHandbook[[#This Row],[UDC]],TableSPPESTEME[],7,FALSE),"")</f>
        <v/>
      </c>
    </row>
    <row r="69" spans="1:38" x14ac:dyDescent="0.25">
      <c r="A69" s="2" t="s">
        <v>212</v>
      </c>
      <c r="B69" s="3">
        <v>1</v>
      </c>
      <c r="C69" s="3"/>
      <c r="D69" s="2" t="s">
        <v>413</v>
      </c>
      <c r="E69" s="3">
        <v>25</v>
      </c>
      <c r="F69" s="54" t="s">
        <v>348</v>
      </c>
      <c r="G69" s="55" t="str">
        <f>IFERROR(IF(VLOOKUP(TableHandbook[[#This Row],[UDC]],TableAvailabilities[],2,FALSE)&gt;0,"Y",""),"")</f>
        <v/>
      </c>
      <c r="H69" s="55" t="str">
        <f>IFERROR(IF(VLOOKUP(TableHandbook[[#This Row],[UDC]],TableAvailabilities[],3,FALSE)&gt;0,"Y",""),"")</f>
        <v/>
      </c>
      <c r="I69" s="55" t="str">
        <f>IFERROR(IF(VLOOKUP(TableHandbook[[#This Row],[UDC]],TableAvailabilities[],4,FALSE)&gt;0,"Y",""),"")</f>
        <v/>
      </c>
      <c r="J69" s="55" t="str">
        <f>IFERROR(IF(VLOOKUP(TableHandbook[[#This Row],[UDC]],TableAvailabilities[],5,FALSE)&gt;0,"Y",""),"")</f>
        <v/>
      </c>
      <c r="K69" s="55" t="str">
        <f>IFERROR(IF(VLOOKUP(TableHandbook[[#This Row],[UDC]],TableAvailabilities[],6,FALSE)&gt;0,"Y",""),"")</f>
        <v>Y</v>
      </c>
      <c r="L69" s="55" t="str">
        <f>IFERROR(IF(VLOOKUP(TableHandbook[[#This Row],[UDC]],TableAvailabilities[],7,FALSE)&gt;0,"Y",""),"")</f>
        <v>Y</v>
      </c>
      <c r="M69" s="55" t="str">
        <f>IFERROR(IF(VLOOKUP(TableHandbook[[#This Row],[UDC]],TableAvailabilities[],8,FALSE)&gt;0,"Y",""),"")</f>
        <v/>
      </c>
      <c r="N69" s="55" t="str">
        <f>IFERROR(IF(VLOOKUP(TableHandbook[[#This Row],[UDC]],TableAvailabilities[],9,FALSE)&gt;0,"Y",""),"")</f>
        <v/>
      </c>
      <c r="O69" s="230"/>
      <c r="P69" s="232" t="str">
        <f>IFERROR(VLOOKUP(TableHandbook[[#This Row],[UDC]],TableMCTEACH[],7,FALSE),"")</f>
        <v/>
      </c>
      <c r="Q69" s="231" t="str">
        <f>IFERROR(VLOOKUP(TableHandbook[[#This Row],[UDC]],TableMJRPTCHEC[],7,FALSE),"")</f>
        <v/>
      </c>
      <c r="R69" s="231" t="str">
        <f>IFERROR(VLOOKUP(TableHandbook[[#This Row],[UDC]],TableMJRPTCHPR[],7,FALSE),"")</f>
        <v/>
      </c>
      <c r="S69" s="231" t="str">
        <f>IFERROR(VLOOKUP(TableHandbook[[#This Row],[UDC]],TableMJRPTCHSC[],7,FALSE),"")</f>
        <v/>
      </c>
      <c r="T69" s="231" t="str">
        <f>IFERROR(VLOOKUP(TableHandbook[[#This Row],[UDC]],TableSTRPSCART[],7,FALSE),"")</f>
        <v/>
      </c>
      <c r="U69" s="231" t="str">
        <f>IFERROR(VLOOKUP(TableHandbook[[#This Row],[UDC]],TableSTRPSCENG[],7,FALSE),"")</f>
        <v/>
      </c>
      <c r="V69" s="231" t="str">
        <f>IFERROR(VLOOKUP(TableHandbook[[#This Row],[UDC]],TableSTRPSCHLP[],7,FALSE),"")</f>
        <v/>
      </c>
      <c r="W69" s="231" t="str">
        <f>IFERROR(VLOOKUP(TableHandbook[[#This Row],[UDC]],TableSTRPSCHUS[],7,FALSE),"")</f>
        <v/>
      </c>
      <c r="X69" s="231" t="str">
        <f>IFERROR(VLOOKUP(TableHandbook[[#This Row],[UDC]],TableSTRPSCMAT[],7,FALSE),"")</f>
        <v/>
      </c>
      <c r="Y69" s="231" t="str">
        <f>IFERROR(VLOOKUP(TableHandbook[[#This Row],[UDC]],TableSTRPSCSCI[],7,FALSE),"")</f>
        <v/>
      </c>
      <c r="Z69" s="231" t="str">
        <f>IFERROR(VLOOKUP(TableHandbook[[#This Row],[UDC]],TableSTRPSCFON[],7,FALSE),"")</f>
        <v/>
      </c>
      <c r="AA69" s="232" t="str">
        <f>IFERROR(VLOOKUP(TableHandbook[[#This Row],[UDC]],TableGCTESOL[],7,FALSE),"")</f>
        <v/>
      </c>
      <c r="AB69" s="231" t="str">
        <f>IFERROR(VLOOKUP(TableHandbook[[#This Row],[UDC]],TableMCTESOL[],7,FALSE),"")</f>
        <v/>
      </c>
      <c r="AC69" s="231" t="str">
        <f>IFERROR(VLOOKUP(TableHandbook[[#This Row],[UDC]],TableMCAPLING[],7,FALSE),"")</f>
        <v/>
      </c>
      <c r="AD69" s="232" t="str">
        <f>IFERROR(VLOOKUP(TableHandbook[[#This Row],[UDC]],TableGCEDHE[],7,FALSE),"")</f>
        <v/>
      </c>
      <c r="AE69" s="231" t="str">
        <f>IFERROR(VLOOKUP(TableHandbook[[#This Row],[UDC]],TableGCEDUC[],7,FALSE),"")</f>
        <v/>
      </c>
      <c r="AF69" s="231" t="str">
        <f>IFERROR(VLOOKUP(TableHandbook[[#This Row],[UDC]],TableGDEDUC[],7,FALSE),"")</f>
        <v/>
      </c>
      <c r="AG69" s="231" t="str">
        <f>IFERROR(VLOOKUP(TableHandbook[[#This Row],[UDC]],TableMJRPEDUPR[],7,FALSE),"")</f>
        <v/>
      </c>
      <c r="AH69" s="231" t="str">
        <f>IFERROR(VLOOKUP(TableHandbook[[#This Row],[UDC]],TableMJRPEDUSC[],7,FALSE),"")</f>
        <v/>
      </c>
      <c r="AI69" s="232" t="str">
        <f>IFERROR(VLOOKUP(TableHandbook[[#This Row],[UDC]],TableMCEDUC[],7,FALSE),"")</f>
        <v>Option</v>
      </c>
      <c r="AJ69" s="231" t="str">
        <f>IFERROR(VLOOKUP(TableHandbook[[#This Row],[UDC]],TableSPPECULIN[],7,FALSE),"")</f>
        <v/>
      </c>
      <c r="AK69" s="231" t="str">
        <f>IFERROR(VLOOKUP(TableHandbook[[#This Row],[UDC]],TableSPPELNTCH[],7,FALSE),"")</f>
        <v>Core</v>
      </c>
      <c r="AL69" s="231" t="str">
        <f>IFERROR(VLOOKUP(TableHandbook[[#This Row],[UDC]],TableSPPESTEME[],7,FALSE),"")</f>
        <v/>
      </c>
    </row>
    <row r="70" spans="1:38" x14ac:dyDescent="0.25">
      <c r="A70" s="2" t="s">
        <v>213</v>
      </c>
      <c r="B70" s="3">
        <v>1</v>
      </c>
      <c r="C70" s="3"/>
      <c r="D70" s="2" t="s">
        <v>414</v>
      </c>
      <c r="E70" s="3">
        <v>25</v>
      </c>
      <c r="F70" s="54" t="s">
        <v>348</v>
      </c>
      <c r="G70" s="55" t="str">
        <f>IFERROR(IF(VLOOKUP(TableHandbook[[#This Row],[UDC]],TableAvailabilities[],2,FALSE)&gt;0,"Y",""),"")</f>
        <v>Y</v>
      </c>
      <c r="H70" s="55" t="str">
        <f>IFERROR(IF(VLOOKUP(TableHandbook[[#This Row],[UDC]],TableAvailabilities[],3,FALSE)&gt;0,"Y",""),"")</f>
        <v>Y</v>
      </c>
      <c r="I70" s="55" t="str">
        <f>IFERROR(IF(VLOOKUP(TableHandbook[[#This Row],[UDC]],TableAvailabilities[],4,FALSE)&gt;0,"Y",""),"")</f>
        <v/>
      </c>
      <c r="J70" s="55" t="str">
        <f>IFERROR(IF(VLOOKUP(TableHandbook[[#This Row],[UDC]],TableAvailabilities[],5,FALSE)&gt;0,"Y",""),"")</f>
        <v/>
      </c>
      <c r="K70" s="55" t="str">
        <f>IFERROR(IF(VLOOKUP(TableHandbook[[#This Row],[UDC]],TableAvailabilities[],6,FALSE)&gt;0,"Y",""),"")</f>
        <v/>
      </c>
      <c r="L70" s="55" t="str">
        <f>IFERROR(IF(VLOOKUP(TableHandbook[[#This Row],[UDC]],TableAvailabilities[],7,FALSE)&gt;0,"Y",""),"")</f>
        <v/>
      </c>
      <c r="M70" s="55" t="str">
        <f>IFERROR(IF(VLOOKUP(TableHandbook[[#This Row],[UDC]],TableAvailabilities[],8,FALSE)&gt;0,"Y",""),"")</f>
        <v/>
      </c>
      <c r="N70" s="55" t="str">
        <f>IFERROR(IF(VLOOKUP(TableHandbook[[#This Row],[UDC]],TableAvailabilities[],9,FALSE)&gt;0,"Y",""),"")</f>
        <v/>
      </c>
      <c r="O70" s="230"/>
      <c r="P70" s="232" t="str">
        <f>IFERROR(VLOOKUP(TableHandbook[[#This Row],[UDC]],TableMCTEACH[],7,FALSE),"")</f>
        <v/>
      </c>
      <c r="Q70" s="231" t="str">
        <f>IFERROR(VLOOKUP(TableHandbook[[#This Row],[UDC]],TableMJRPTCHEC[],7,FALSE),"")</f>
        <v/>
      </c>
      <c r="R70" s="231" t="str">
        <f>IFERROR(VLOOKUP(TableHandbook[[#This Row],[UDC]],TableMJRPTCHPR[],7,FALSE),"")</f>
        <v/>
      </c>
      <c r="S70" s="231" t="str">
        <f>IFERROR(VLOOKUP(TableHandbook[[#This Row],[UDC]],TableMJRPTCHSC[],7,FALSE),"")</f>
        <v/>
      </c>
      <c r="T70" s="231" t="str">
        <f>IFERROR(VLOOKUP(TableHandbook[[#This Row],[UDC]],TableSTRPSCART[],7,FALSE),"")</f>
        <v/>
      </c>
      <c r="U70" s="231" t="str">
        <f>IFERROR(VLOOKUP(TableHandbook[[#This Row],[UDC]],TableSTRPSCENG[],7,FALSE),"")</f>
        <v/>
      </c>
      <c r="V70" s="231" t="str">
        <f>IFERROR(VLOOKUP(TableHandbook[[#This Row],[UDC]],TableSTRPSCHLP[],7,FALSE),"")</f>
        <v/>
      </c>
      <c r="W70" s="231" t="str">
        <f>IFERROR(VLOOKUP(TableHandbook[[#This Row],[UDC]],TableSTRPSCHUS[],7,FALSE),"")</f>
        <v/>
      </c>
      <c r="X70" s="231" t="str">
        <f>IFERROR(VLOOKUP(TableHandbook[[#This Row],[UDC]],TableSTRPSCMAT[],7,FALSE),"")</f>
        <v/>
      </c>
      <c r="Y70" s="231" t="str">
        <f>IFERROR(VLOOKUP(TableHandbook[[#This Row],[UDC]],TableSTRPSCSCI[],7,FALSE),"")</f>
        <v/>
      </c>
      <c r="Z70" s="231" t="str">
        <f>IFERROR(VLOOKUP(TableHandbook[[#This Row],[UDC]],TableSTRPSCFON[],7,FALSE),"")</f>
        <v/>
      </c>
      <c r="AA70" s="232" t="str">
        <f>IFERROR(VLOOKUP(TableHandbook[[#This Row],[UDC]],TableGCTESOL[],7,FALSE),"")</f>
        <v/>
      </c>
      <c r="AB70" s="231" t="str">
        <f>IFERROR(VLOOKUP(TableHandbook[[#This Row],[UDC]],TableMCTESOL[],7,FALSE),"")</f>
        <v/>
      </c>
      <c r="AC70" s="231" t="str">
        <f>IFERROR(VLOOKUP(TableHandbook[[#This Row],[UDC]],TableMCAPLING[],7,FALSE),"")</f>
        <v/>
      </c>
      <c r="AD70" s="232" t="str">
        <f>IFERROR(VLOOKUP(TableHandbook[[#This Row],[UDC]],TableGCEDHE[],7,FALSE),"")</f>
        <v/>
      </c>
      <c r="AE70" s="231" t="str">
        <f>IFERROR(VLOOKUP(TableHandbook[[#This Row],[UDC]],TableGCEDUC[],7,FALSE),"")</f>
        <v/>
      </c>
      <c r="AF70" s="231" t="str">
        <f>IFERROR(VLOOKUP(TableHandbook[[#This Row],[UDC]],TableGDEDUC[],7,FALSE),"")</f>
        <v/>
      </c>
      <c r="AG70" s="231" t="str">
        <f>IFERROR(VLOOKUP(TableHandbook[[#This Row],[UDC]],TableMJRPEDUPR[],7,FALSE),"")</f>
        <v/>
      </c>
      <c r="AH70" s="231" t="str">
        <f>IFERROR(VLOOKUP(TableHandbook[[#This Row],[UDC]],TableMJRPEDUSC[],7,FALSE),"")</f>
        <v/>
      </c>
      <c r="AI70" s="232" t="str">
        <f>IFERROR(VLOOKUP(TableHandbook[[#This Row],[UDC]],TableMCEDUC[],7,FALSE),"")</f>
        <v>Option</v>
      </c>
      <c r="AJ70" s="231" t="str">
        <f>IFERROR(VLOOKUP(TableHandbook[[#This Row],[UDC]],TableSPPECULIN[],7,FALSE),"")</f>
        <v/>
      </c>
      <c r="AK70" s="231" t="str">
        <f>IFERROR(VLOOKUP(TableHandbook[[#This Row],[UDC]],TableSPPELNTCH[],7,FALSE),"")</f>
        <v/>
      </c>
      <c r="AL70" s="231" t="str">
        <f>IFERROR(VLOOKUP(TableHandbook[[#This Row],[UDC]],TableSPPESTEME[],7,FALSE),"")</f>
        <v>Core</v>
      </c>
    </row>
    <row r="71" spans="1:38" x14ac:dyDescent="0.25">
      <c r="A71" s="2" t="s">
        <v>121</v>
      </c>
      <c r="B71" s="3">
        <v>1</v>
      </c>
      <c r="C71" s="3"/>
      <c r="D71" s="2" t="s">
        <v>415</v>
      </c>
      <c r="E71" s="3">
        <v>25</v>
      </c>
      <c r="F71" s="268" t="s">
        <v>416</v>
      </c>
      <c r="G71" s="55" t="str">
        <f>IFERROR(IF(VLOOKUP(TableHandbook[[#This Row],[UDC]],TableAvailabilities[],2,FALSE)&gt;0,"Y",""),"")</f>
        <v>Y</v>
      </c>
      <c r="H71" s="55" t="str">
        <f>IFERROR(IF(VLOOKUP(TableHandbook[[#This Row],[UDC]],TableAvailabilities[],3,FALSE)&gt;0,"Y",""),"")</f>
        <v>Y</v>
      </c>
      <c r="I71" s="55" t="str">
        <f>IFERROR(IF(VLOOKUP(TableHandbook[[#This Row],[UDC]],TableAvailabilities[],4,FALSE)&gt;0,"Y",""),"")</f>
        <v/>
      </c>
      <c r="J71" s="55" t="str">
        <f>IFERROR(IF(VLOOKUP(TableHandbook[[#This Row],[UDC]],TableAvailabilities[],5,FALSE)&gt;0,"Y",""),"")</f>
        <v/>
      </c>
      <c r="K71" s="55" t="str">
        <f>IFERROR(IF(VLOOKUP(TableHandbook[[#This Row],[UDC]],TableAvailabilities[],6,FALSE)&gt;0,"Y",""),"")</f>
        <v>Y</v>
      </c>
      <c r="L71" s="55" t="str">
        <f>IFERROR(IF(VLOOKUP(TableHandbook[[#This Row],[UDC]],TableAvailabilities[],7,FALSE)&gt;0,"Y",""),"")</f>
        <v>Y</v>
      </c>
      <c r="M71" s="55" t="str">
        <f>IFERROR(IF(VLOOKUP(TableHandbook[[#This Row],[UDC]],TableAvailabilities[],8,FALSE)&gt;0,"Y",""),"")</f>
        <v/>
      </c>
      <c r="N71" s="55" t="str">
        <f>IFERROR(IF(VLOOKUP(TableHandbook[[#This Row],[UDC]],TableAvailabilities[],9,FALSE)&gt;0,"Y",""),"")</f>
        <v/>
      </c>
      <c r="O71" s="230"/>
      <c r="P71" s="232" t="str">
        <f>IFERROR(VLOOKUP(TableHandbook[[#This Row],[UDC]],TableMCTEACH[],7,FALSE),"")</f>
        <v/>
      </c>
      <c r="Q71" s="231" t="str">
        <f>IFERROR(VLOOKUP(TableHandbook[[#This Row],[UDC]],TableMJRPTCHEC[],7,FALSE),"")</f>
        <v>Core</v>
      </c>
      <c r="R71" s="231" t="str">
        <f>IFERROR(VLOOKUP(TableHandbook[[#This Row],[UDC]],TableMJRPTCHPR[],7,FALSE),"")</f>
        <v>Core</v>
      </c>
      <c r="S71" s="231" t="str">
        <f>IFERROR(VLOOKUP(TableHandbook[[#This Row],[UDC]],TableMJRPTCHSC[],7,FALSE),"")</f>
        <v>Core</v>
      </c>
      <c r="T71" s="231" t="str">
        <f>IFERROR(VLOOKUP(TableHandbook[[#This Row],[UDC]],TableSTRPSCART[],7,FALSE),"")</f>
        <v/>
      </c>
      <c r="U71" s="231" t="str">
        <f>IFERROR(VLOOKUP(TableHandbook[[#This Row],[UDC]],TableSTRPSCENG[],7,FALSE),"")</f>
        <v/>
      </c>
      <c r="V71" s="231" t="str">
        <f>IFERROR(VLOOKUP(TableHandbook[[#This Row],[UDC]],TableSTRPSCHLP[],7,FALSE),"")</f>
        <v/>
      </c>
      <c r="W71" s="231" t="str">
        <f>IFERROR(VLOOKUP(TableHandbook[[#This Row],[UDC]],TableSTRPSCHUS[],7,FALSE),"")</f>
        <v/>
      </c>
      <c r="X71" s="231" t="str">
        <f>IFERROR(VLOOKUP(TableHandbook[[#This Row],[UDC]],TableSTRPSCMAT[],7,FALSE),"")</f>
        <v/>
      </c>
      <c r="Y71" s="231" t="str">
        <f>IFERROR(VLOOKUP(TableHandbook[[#This Row],[UDC]],TableSTRPSCSCI[],7,FALSE),"")</f>
        <v/>
      </c>
      <c r="Z71" s="231" t="str">
        <f>IFERROR(VLOOKUP(TableHandbook[[#This Row],[UDC]],TableSTRPSCFON[],7,FALSE),"")</f>
        <v/>
      </c>
      <c r="AA71" s="232" t="str">
        <f>IFERROR(VLOOKUP(TableHandbook[[#This Row],[UDC]],TableGCTESOL[],7,FALSE),"")</f>
        <v/>
      </c>
      <c r="AB71" s="231" t="str">
        <f>IFERROR(VLOOKUP(TableHandbook[[#This Row],[UDC]],TableMCTESOL[],7,FALSE),"")</f>
        <v/>
      </c>
      <c r="AC71" s="231" t="str">
        <f>IFERROR(VLOOKUP(TableHandbook[[#This Row],[UDC]],TableMCAPLING[],7,FALSE),"")</f>
        <v/>
      </c>
      <c r="AD71" s="232" t="str">
        <f>IFERROR(VLOOKUP(TableHandbook[[#This Row],[UDC]],TableGCEDHE[],7,FALSE),"")</f>
        <v/>
      </c>
      <c r="AE71" s="231" t="str">
        <f>IFERROR(VLOOKUP(TableHandbook[[#This Row],[UDC]],TableGCEDUC[],7,FALSE),"")</f>
        <v/>
      </c>
      <c r="AF71" s="231" t="str">
        <f>IFERROR(VLOOKUP(TableHandbook[[#This Row],[UDC]],TableGDEDUC[],7,FALSE),"")</f>
        <v/>
      </c>
      <c r="AG71" s="231" t="str">
        <f>IFERROR(VLOOKUP(TableHandbook[[#This Row],[UDC]],TableMJRPEDUPR[],7,FALSE),"")</f>
        <v>Core</v>
      </c>
      <c r="AH71" s="231" t="str">
        <f>IFERROR(VLOOKUP(TableHandbook[[#This Row],[UDC]],TableMJRPEDUSC[],7,FALSE),"")</f>
        <v>Core</v>
      </c>
      <c r="AI71" s="232" t="str">
        <f>IFERROR(VLOOKUP(TableHandbook[[#This Row],[UDC]],TableMCEDUC[],7,FALSE),"")</f>
        <v/>
      </c>
      <c r="AJ71" s="231" t="str">
        <f>IFERROR(VLOOKUP(TableHandbook[[#This Row],[UDC]],TableSPPECULIN[],7,FALSE),"")</f>
        <v/>
      </c>
      <c r="AK71" s="231" t="str">
        <f>IFERROR(VLOOKUP(TableHandbook[[#This Row],[UDC]],TableSPPELNTCH[],7,FALSE),"")</f>
        <v/>
      </c>
      <c r="AL71" s="231" t="str">
        <f>IFERROR(VLOOKUP(TableHandbook[[#This Row],[UDC]],TableSPPESTEME[],7,FALSE),"")</f>
        <v/>
      </c>
    </row>
    <row r="72" spans="1:38" x14ac:dyDescent="0.25">
      <c r="A72" s="2" t="s">
        <v>133</v>
      </c>
      <c r="B72" s="3">
        <v>1</v>
      </c>
      <c r="C72" s="3"/>
      <c r="D72" s="2" t="s">
        <v>417</v>
      </c>
      <c r="E72" s="3">
        <v>25</v>
      </c>
      <c r="F72" s="268" t="s">
        <v>121</v>
      </c>
      <c r="G72" s="55" t="str">
        <f>IFERROR(IF(VLOOKUP(TableHandbook[[#This Row],[UDC]],TableAvailabilities[],2,FALSE)&gt;0,"Y",""),"")</f>
        <v>Y</v>
      </c>
      <c r="H72" s="55" t="str">
        <f>IFERROR(IF(VLOOKUP(TableHandbook[[#This Row],[UDC]],TableAvailabilities[],3,FALSE)&gt;0,"Y",""),"")</f>
        <v>Y</v>
      </c>
      <c r="I72" s="55" t="str">
        <f>IFERROR(IF(VLOOKUP(TableHandbook[[#This Row],[UDC]],TableAvailabilities[],4,FALSE)&gt;0,"Y",""),"")</f>
        <v>Y</v>
      </c>
      <c r="J72" s="55" t="str">
        <f>IFERROR(IF(VLOOKUP(TableHandbook[[#This Row],[UDC]],TableAvailabilities[],5,FALSE)&gt;0,"Y",""),"")</f>
        <v>Y</v>
      </c>
      <c r="K72" s="55" t="str">
        <f>IFERROR(IF(VLOOKUP(TableHandbook[[#This Row],[UDC]],TableAvailabilities[],6,FALSE)&gt;0,"Y",""),"")</f>
        <v>Y</v>
      </c>
      <c r="L72" s="55" t="str">
        <f>IFERROR(IF(VLOOKUP(TableHandbook[[#This Row],[UDC]],TableAvailabilities[],7,FALSE)&gt;0,"Y",""),"")</f>
        <v>Y</v>
      </c>
      <c r="M72" s="55" t="str">
        <f>IFERROR(IF(VLOOKUP(TableHandbook[[#This Row],[UDC]],TableAvailabilities[],8,FALSE)&gt;0,"Y",""),"")</f>
        <v>Y</v>
      </c>
      <c r="N72" s="55" t="str">
        <f>IFERROR(IF(VLOOKUP(TableHandbook[[#This Row],[UDC]],TableAvailabilities[],9,FALSE)&gt;0,"Y",""),"")</f>
        <v>Y</v>
      </c>
      <c r="O72" s="230"/>
      <c r="P72" s="232" t="str">
        <f>IFERROR(VLOOKUP(TableHandbook[[#This Row],[UDC]],TableMCTEACH[],7,FALSE),"")</f>
        <v/>
      </c>
      <c r="Q72" s="231" t="str">
        <f>IFERROR(VLOOKUP(TableHandbook[[#This Row],[UDC]],TableMJRPTCHEC[],7,FALSE),"")</f>
        <v>Core</v>
      </c>
      <c r="R72" s="231" t="str">
        <f>IFERROR(VLOOKUP(TableHandbook[[#This Row],[UDC]],TableMJRPTCHPR[],7,FALSE),"")</f>
        <v>Core</v>
      </c>
      <c r="S72" s="231" t="str">
        <f>IFERROR(VLOOKUP(TableHandbook[[#This Row],[UDC]],TableMJRPTCHSC[],7,FALSE),"")</f>
        <v>Core</v>
      </c>
      <c r="T72" s="231" t="str">
        <f>IFERROR(VLOOKUP(TableHandbook[[#This Row],[UDC]],TableSTRPSCART[],7,FALSE),"")</f>
        <v/>
      </c>
      <c r="U72" s="231" t="str">
        <f>IFERROR(VLOOKUP(TableHandbook[[#This Row],[UDC]],TableSTRPSCENG[],7,FALSE),"")</f>
        <v/>
      </c>
      <c r="V72" s="231" t="str">
        <f>IFERROR(VLOOKUP(TableHandbook[[#This Row],[UDC]],TableSTRPSCHLP[],7,FALSE),"")</f>
        <v/>
      </c>
      <c r="W72" s="231" t="str">
        <f>IFERROR(VLOOKUP(TableHandbook[[#This Row],[UDC]],TableSTRPSCHUS[],7,FALSE),"")</f>
        <v/>
      </c>
      <c r="X72" s="231" t="str">
        <f>IFERROR(VLOOKUP(TableHandbook[[#This Row],[UDC]],TableSTRPSCMAT[],7,FALSE),"")</f>
        <v/>
      </c>
      <c r="Y72" s="231" t="str">
        <f>IFERROR(VLOOKUP(TableHandbook[[#This Row],[UDC]],TableSTRPSCSCI[],7,FALSE),"")</f>
        <v/>
      </c>
      <c r="Z72" s="231" t="str">
        <f>IFERROR(VLOOKUP(TableHandbook[[#This Row],[UDC]],TableSTRPSCFON[],7,FALSE),"")</f>
        <v/>
      </c>
      <c r="AA72" s="232" t="str">
        <f>IFERROR(VLOOKUP(TableHandbook[[#This Row],[UDC]],TableGCTESOL[],7,FALSE),"")</f>
        <v/>
      </c>
      <c r="AB72" s="231" t="str">
        <f>IFERROR(VLOOKUP(TableHandbook[[#This Row],[UDC]],TableMCTESOL[],7,FALSE),"")</f>
        <v/>
      </c>
      <c r="AC72" s="231" t="str">
        <f>IFERROR(VLOOKUP(TableHandbook[[#This Row],[UDC]],TableMCAPLING[],7,FALSE),"")</f>
        <v/>
      </c>
      <c r="AD72" s="232" t="str">
        <f>IFERROR(VLOOKUP(TableHandbook[[#This Row],[UDC]],TableGCEDHE[],7,FALSE),"")</f>
        <v/>
      </c>
      <c r="AE72" s="231" t="str">
        <f>IFERROR(VLOOKUP(TableHandbook[[#This Row],[UDC]],TableGCEDUC[],7,FALSE),"")</f>
        <v/>
      </c>
      <c r="AF72" s="231" t="str">
        <f>IFERROR(VLOOKUP(TableHandbook[[#This Row],[UDC]],TableGDEDUC[],7,FALSE),"")</f>
        <v/>
      </c>
      <c r="AG72" s="231" t="str">
        <f>IFERROR(VLOOKUP(TableHandbook[[#This Row],[UDC]],TableMJRPEDUPR[],7,FALSE),"")</f>
        <v/>
      </c>
      <c r="AH72" s="231" t="str">
        <f>IFERROR(VLOOKUP(TableHandbook[[#This Row],[UDC]],TableMJRPEDUSC[],7,FALSE),"")</f>
        <v/>
      </c>
      <c r="AI72" s="232" t="str">
        <f>IFERROR(VLOOKUP(TableHandbook[[#This Row],[UDC]],TableMCEDUC[],7,FALSE),"")</f>
        <v/>
      </c>
      <c r="AJ72" s="231" t="str">
        <f>IFERROR(VLOOKUP(TableHandbook[[#This Row],[UDC]],TableSPPECULIN[],7,FALSE),"")</f>
        <v/>
      </c>
      <c r="AK72" s="231" t="str">
        <f>IFERROR(VLOOKUP(TableHandbook[[#This Row],[UDC]],TableSPPELNTCH[],7,FALSE),"")</f>
        <v/>
      </c>
      <c r="AL72" s="231" t="str">
        <f>IFERROR(VLOOKUP(TableHandbook[[#This Row],[UDC]],TableSPPESTEME[],7,FALSE),"")</f>
        <v/>
      </c>
    </row>
    <row r="73" spans="1:38" x14ac:dyDescent="0.25">
      <c r="A73" s="2" t="s">
        <v>128</v>
      </c>
      <c r="B73" s="3">
        <v>1</v>
      </c>
      <c r="C73" s="3"/>
      <c r="D73" s="2" t="s">
        <v>418</v>
      </c>
      <c r="E73" s="3">
        <v>25</v>
      </c>
      <c r="F73" s="54" t="s">
        <v>348</v>
      </c>
      <c r="G73" s="55" t="str">
        <f>IFERROR(IF(VLOOKUP(TableHandbook[[#This Row],[UDC]],TableAvailabilities[],2,FALSE)&gt;0,"Y",""),"")</f>
        <v>Y</v>
      </c>
      <c r="H73" s="55" t="str">
        <f>IFERROR(IF(VLOOKUP(TableHandbook[[#This Row],[UDC]],TableAvailabilities[],3,FALSE)&gt;0,"Y",""),"")</f>
        <v>Y</v>
      </c>
      <c r="I73" s="55" t="str">
        <f>IFERROR(IF(VLOOKUP(TableHandbook[[#This Row],[UDC]],TableAvailabilities[],4,FALSE)&gt;0,"Y",""),"")</f>
        <v/>
      </c>
      <c r="J73" s="55" t="str">
        <f>IFERROR(IF(VLOOKUP(TableHandbook[[#This Row],[UDC]],TableAvailabilities[],5,FALSE)&gt;0,"Y",""),"")</f>
        <v/>
      </c>
      <c r="K73" s="55" t="str">
        <f>IFERROR(IF(VLOOKUP(TableHandbook[[#This Row],[UDC]],TableAvailabilities[],6,FALSE)&gt;0,"Y",""),"")</f>
        <v/>
      </c>
      <c r="L73" s="55" t="str">
        <f>IFERROR(IF(VLOOKUP(TableHandbook[[#This Row],[UDC]],TableAvailabilities[],7,FALSE)&gt;0,"Y",""),"")</f>
        <v/>
      </c>
      <c r="M73" s="55" t="str">
        <f>IFERROR(IF(VLOOKUP(TableHandbook[[#This Row],[UDC]],TableAvailabilities[],8,FALSE)&gt;0,"Y",""),"")</f>
        <v>Y</v>
      </c>
      <c r="N73" s="55" t="str">
        <f>IFERROR(IF(VLOOKUP(TableHandbook[[#This Row],[UDC]],TableAvailabilities[],9,FALSE)&gt;0,"Y",""),"")</f>
        <v>Y</v>
      </c>
      <c r="O73" s="230"/>
      <c r="P73" s="232" t="str">
        <f>IFERROR(VLOOKUP(TableHandbook[[#This Row],[UDC]],TableMCTEACH[],7,FALSE),"")</f>
        <v/>
      </c>
      <c r="Q73" s="231" t="str">
        <f>IFERROR(VLOOKUP(TableHandbook[[#This Row],[UDC]],TableMJRPTCHEC[],7,FALSE),"")</f>
        <v/>
      </c>
      <c r="R73" s="231" t="str">
        <f>IFERROR(VLOOKUP(TableHandbook[[#This Row],[UDC]],TableMJRPTCHPR[],7,FALSE),"")</f>
        <v>Core</v>
      </c>
      <c r="S73" s="231" t="str">
        <f>IFERROR(VLOOKUP(TableHandbook[[#This Row],[UDC]],TableMJRPTCHSC[],7,FALSE),"")</f>
        <v>Core</v>
      </c>
      <c r="T73" s="231" t="str">
        <f>IFERROR(VLOOKUP(TableHandbook[[#This Row],[UDC]],TableSTRPSCART[],7,FALSE),"")</f>
        <v/>
      </c>
      <c r="U73" s="231" t="str">
        <f>IFERROR(VLOOKUP(TableHandbook[[#This Row],[UDC]],TableSTRPSCENG[],7,FALSE),"")</f>
        <v/>
      </c>
      <c r="V73" s="231" t="str">
        <f>IFERROR(VLOOKUP(TableHandbook[[#This Row],[UDC]],TableSTRPSCHLP[],7,FALSE),"")</f>
        <v/>
      </c>
      <c r="W73" s="231" t="str">
        <f>IFERROR(VLOOKUP(TableHandbook[[#This Row],[UDC]],TableSTRPSCHUS[],7,FALSE),"")</f>
        <v/>
      </c>
      <c r="X73" s="231" t="str">
        <f>IFERROR(VLOOKUP(TableHandbook[[#This Row],[UDC]],TableSTRPSCMAT[],7,FALSE),"")</f>
        <v/>
      </c>
      <c r="Y73" s="231" t="str">
        <f>IFERROR(VLOOKUP(TableHandbook[[#This Row],[UDC]],TableSTRPSCSCI[],7,FALSE),"")</f>
        <v/>
      </c>
      <c r="Z73" s="231" t="str">
        <f>IFERROR(VLOOKUP(TableHandbook[[#This Row],[UDC]],TableSTRPSCFON[],7,FALSE),"")</f>
        <v/>
      </c>
      <c r="AA73" s="232" t="str">
        <f>IFERROR(VLOOKUP(TableHandbook[[#This Row],[UDC]],TableGCTESOL[],7,FALSE),"")</f>
        <v/>
      </c>
      <c r="AB73" s="231" t="str">
        <f>IFERROR(VLOOKUP(TableHandbook[[#This Row],[UDC]],TableMCTESOL[],7,FALSE),"")</f>
        <v/>
      </c>
      <c r="AC73" s="231" t="str">
        <f>IFERROR(VLOOKUP(TableHandbook[[#This Row],[UDC]],TableMCAPLING[],7,FALSE),"")</f>
        <v/>
      </c>
      <c r="AD73" s="232" t="str">
        <f>IFERROR(VLOOKUP(TableHandbook[[#This Row],[UDC]],TableGCEDHE[],7,FALSE),"")</f>
        <v/>
      </c>
      <c r="AE73" s="231" t="str">
        <f>IFERROR(VLOOKUP(TableHandbook[[#This Row],[UDC]],TableGCEDUC[],7,FALSE),"")</f>
        <v/>
      </c>
      <c r="AF73" s="231" t="str">
        <f>IFERROR(VLOOKUP(TableHandbook[[#This Row],[UDC]],TableGDEDUC[],7,FALSE),"")</f>
        <v/>
      </c>
      <c r="AG73" s="231" t="str">
        <f>IFERROR(VLOOKUP(TableHandbook[[#This Row],[UDC]],TableMJRPEDUPR[],7,FALSE),"")</f>
        <v/>
      </c>
      <c r="AH73" s="231" t="str">
        <f>IFERROR(VLOOKUP(TableHandbook[[#This Row],[UDC]],TableMJRPEDUSC[],7,FALSE),"")</f>
        <v/>
      </c>
      <c r="AI73" s="232" t="str">
        <f>IFERROR(VLOOKUP(TableHandbook[[#This Row],[UDC]],TableMCEDUC[],7,FALSE),"")</f>
        <v/>
      </c>
      <c r="AJ73" s="231" t="str">
        <f>IFERROR(VLOOKUP(TableHandbook[[#This Row],[UDC]],TableSPPECULIN[],7,FALSE),"")</f>
        <v/>
      </c>
      <c r="AK73" s="231" t="str">
        <f>IFERROR(VLOOKUP(TableHandbook[[#This Row],[UDC]],TableSPPELNTCH[],7,FALSE),"")</f>
        <v/>
      </c>
      <c r="AL73" s="231" t="str">
        <f>IFERROR(VLOOKUP(TableHandbook[[#This Row],[UDC]],TableSPPESTEME[],7,FALSE),"")</f>
        <v/>
      </c>
    </row>
    <row r="74" spans="1:38" x14ac:dyDescent="0.25">
      <c r="A74" s="2" t="s">
        <v>298</v>
      </c>
      <c r="B74" s="3"/>
      <c r="C74" s="3"/>
      <c r="D74" s="2" t="s">
        <v>419</v>
      </c>
      <c r="E74" s="3"/>
      <c r="F74" s="54"/>
      <c r="G74" s="55" t="str">
        <f>IFERROR(IF(VLOOKUP(TableHandbook[[#This Row],[UDC]],TableAvailabilities[],2,FALSE)&gt;0,"Y",""),"")</f>
        <v/>
      </c>
      <c r="H74" s="55" t="str">
        <f>IFERROR(IF(VLOOKUP(TableHandbook[[#This Row],[UDC]],TableAvailabilities[],3,FALSE)&gt;0,"Y",""),"")</f>
        <v/>
      </c>
      <c r="I74" s="55" t="str">
        <f>IFERROR(IF(VLOOKUP(TableHandbook[[#This Row],[UDC]],TableAvailabilities[],4,FALSE)&gt;0,"Y",""),"")</f>
        <v/>
      </c>
      <c r="J74" s="55" t="str">
        <f>IFERROR(IF(VLOOKUP(TableHandbook[[#This Row],[UDC]],TableAvailabilities[],5,FALSE)&gt;0,"Y",""),"")</f>
        <v/>
      </c>
      <c r="K74" s="55" t="str">
        <f>IFERROR(IF(VLOOKUP(TableHandbook[[#This Row],[UDC]],TableAvailabilities[],6,FALSE)&gt;0,"Y",""),"")</f>
        <v/>
      </c>
      <c r="L74" s="55" t="str">
        <f>IFERROR(IF(VLOOKUP(TableHandbook[[#This Row],[UDC]],TableAvailabilities[],7,FALSE)&gt;0,"Y",""),"")</f>
        <v/>
      </c>
      <c r="M74" s="55" t="str">
        <f>IFERROR(IF(VLOOKUP(TableHandbook[[#This Row],[UDC]],TableAvailabilities[],8,FALSE)&gt;0,"Y",""),"")</f>
        <v/>
      </c>
      <c r="N74" s="55" t="str">
        <f>IFERROR(IF(VLOOKUP(TableHandbook[[#This Row],[UDC]],TableAvailabilities[],9,FALSE)&gt;0,"Y",""),"")</f>
        <v/>
      </c>
      <c r="O74" s="230"/>
      <c r="P74" s="232" t="str">
        <f>IFERROR(VLOOKUP(TableHandbook[[#This Row],[UDC]],TableMCTEACH[],7,FALSE),"")</f>
        <v/>
      </c>
      <c r="Q74" s="231" t="str">
        <f>IFERROR(VLOOKUP(TableHandbook[[#This Row],[UDC]],TableMJRPTCHEC[],7,FALSE),"")</f>
        <v/>
      </c>
      <c r="R74" s="231" t="str">
        <f>IFERROR(VLOOKUP(TableHandbook[[#This Row],[UDC]],TableMJRPTCHPR[],7,FALSE),"")</f>
        <v/>
      </c>
      <c r="S74" s="231" t="str">
        <f>IFERROR(VLOOKUP(TableHandbook[[#This Row],[UDC]],TableMJRPTCHSC[],7,FALSE),"")</f>
        <v/>
      </c>
      <c r="T74" s="231" t="str">
        <f>IFERROR(VLOOKUP(TableHandbook[[#This Row],[UDC]],TableSTRPSCART[],7,FALSE),"")</f>
        <v/>
      </c>
      <c r="U74" s="231" t="str">
        <f>IFERROR(VLOOKUP(TableHandbook[[#This Row],[UDC]],TableSTRPSCENG[],7,FALSE),"")</f>
        <v/>
      </c>
      <c r="V74" s="231" t="str">
        <f>IFERROR(VLOOKUP(TableHandbook[[#This Row],[UDC]],TableSTRPSCHLP[],7,FALSE),"")</f>
        <v/>
      </c>
      <c r="W74" s="231" t="str">
        <f>IFERROR(VLOOKUP(TableHandbook[[#This Row],[UDC]],TableSTRPSCHUS[],7,FALSE),"")</f>
        <v/>
      </c>
      <c r="X74" s="231" t="str">
        <f>IFERROR(VLOOKUP(TableHandbook[[#This Row],[UDC]],TableSTRPSCMAT[],7,FALSE),"")</f>
        <v/>
      </c>
      <c r="Y74" s="231" t="str">
        <f>IFERROR(VLOOKUP(TableHandbook[[#This Row],[UDC]],TableSTRPSCSCI[],7,FALSE),"")</f>
        <v/>
      </c>
      <c r="Z74" s="231" t="str">
        <f>IFERROR(VLOOKUP(TableHandbook[[#This Row],[UDC]],TableSTRPSCFON[],7,FALSE),"")</f>
        <v/>
      </c>
      <c r="AA74" s="232" t="str">
        <f>IFERROR(VLOOKUP(TableHandbook[[#This Row],[UDC]],TableGCTESOL[],7,FALSE),"")</f>
        <v/>
      </c>
      <c r="AB74" s="231" t="str">
        <f>IFERROR(VLOOKUP(TableHandbook[[#This Row],[UDC]],TableMCTESOL[],7,FALSE),"")</f>
        <v/>
      </c>
      <c r="AC74" s="231" t="str">
        <f>IFERROR(VLOOKUP(TableHandbook[[#This Row],[UDC]],TableMCAPLING[],7,FALSE),"")</f>
        <v/>
      </c>
      <c r="AD74" s="232" t="str">
        <f>IFERROR(VLOOKUP(TableHandbook[[#This Row],[UDC]],TableGCEDHE[],7,FALSE),"")</f>
        <v/>
      </c>
      <c r="AE74" s="231" t="str">
        <f>IFERROR(VLOOKUP(TableHandbook[[#This Row],[UDC]],TableGCEDUC[],7,FALSE),"")</f>
        <v/>
      </c>
      <c r="AF74" s="231" t="str">
        <f>IFERROR(VLOOKUP(TableHandbook[[#This Row],[UDC]],TableGDEDUC[],7,FALSE),"")</f>
        <v/>
      </c>
      <c r="AG74" s="231" t="str">
        <f>IFERROR(VLOOKUP(TableHandbook[[#This Row],[UDC]],TableMJRPEDUPR[],7,FALSE),"")</f>
        <v/>
      </c>
      <c r="AH74" s="231" t="str">
        <f>IFERROR(VLOOKUP(TableHandbook[[#This Row],[UDC]],TableMJRPEDUSC[],7,FALSE),"")</f>
        <v/>
      </c>
      <c r="AI74" s="232" t="str">
        <f>IFERROR(VLOOKUP(TableHandbook[[#This Row],[UDC]],TableMCEDUC[],7,FALSE),"")</f>
        <v/>
      </c>
      <c r="AJ74" s="231" t="str">
        <f>IFERROR(VLOOKUP(TableHandbook[[#This Row],[UDC]],TableSPPECULIN[],7,FALSE),"")</f>
        <v/>
      </c>
      <c r="AK74" s="231" t="str">
        <f>IFERROR(VLOOKUP(TableHandbook[[#This Row],[UDC]],TableSPPELNTCH[],7,FALSE),"")</f>
        <v/>
      </c>
      <c r="AL74" s="231" t="str">
        <f>IFERROR(VLOOKUP(TableHandbook[[#This Row],[UDC]],TableSPPESTEME[],7,FALSE),"")</f>
        <v/>
      </c>
    </row>
    <row r="75" spans="1:38" x14ac:dyDescent="0.25">
      <c r="A75" s="2" t="s">
        <v>279</v>
      </c>
      <c r="B75" s="3"/>
      <c r="C75" s="3"/>
      <c r="D75" s="2" t="s">
        <v>420</v>
      </c>
      <c r="E75" s="3">
        <v>25</v>
      </c>
      <c r="F75" s="54" t="s">
        <v>421</v>
      </c>
      <c r="G75" s="55" t="str">
        <f>IFERROR(IF(VLOOKUP(TableHandbook[[#This Row],[UDC]],TableAvailabilities[],2,FALSE)&gt;0,"Y",""),"")</f>
        <v/>
      </c>
      <c r="H75" s="55" t="str">
        <f>IFERROR(IF(VLOOKUP(TableHandbook[[#This Row],[UDC]],TableAvailabilities[],3,FALSE)&gt;0,"Y",""),"")</f>
        <v/>
      </c>
      <c r="I75" s="55" t="str">
        <f>IFERROR(IF(VLOOKUP(TableHandbook[[#This Row],[UDC]],TableAvailabilities[],4,FALSE)&gt;0,"Y",""),"")</f>
        <v/>
      </c>
      <c r="J75" s="55" t="str">
        <f>IFERROR(IF(VLOOKUP(TableHandbook[[#This Row],[UDC]],TableAvailabilities[],5,FALSE)&gt;0,"Y",""),"")</f>
        <v/>
      </c>
      <c r="K75" s="55" t="str">
        <f>IFERROR(IF(VLOOKUP(TableHandbook[[#This Row],[UDC]],TableAvailabilities[],6,FALSE)&gt;0,"Y",""),"")</f>
        <v/>
      </c>
      <c r="L75" s="55" t="str">
        <f>IFERROR(IF(VLOOKUP(TableHandbook[[#This Row],[UDC]],TableAvailabilities[],7,FALSE)&gt;0,"Y",""),"")</f>
        <v/>
      </c>
      <c r="M75" s="55" t="str">
        <f>IFERROR(IF(VLOOKUP(TableHandbook[[#This Row],[UDC]],TableAvailabilities[],8,FALSE)&gt;0,"Y",""),"")</f>
        <v/>
      </c>
      <c r="N75" s="55" t="str">
        <f>IFERROR(IF(VLOOKUP(TableHandbook[[#This Row],[UDC]],TableAvailabilities[],9,FALSE)&gt;0,"Y",""),"")</f>
        <v/>
      </c>
      <c r="O75" s="230"/>
      <c r="P75" s="232" t="str">
        <f>IFERROR(VLOOKUP(TableHandbook[[#This Row],[UDC]],TableMCTEACH[],7,FALSE),"")</f>
        <v/>
      </c>
      <c r="Q75" s="231" t="str">
        <f>IFERROR(VLOOKUP(TableHandbook[[#This Row],[UDC]],TableMJRPTCHEC[],7,FALSE),"")</f>
        <v/>
      </c>
      <c r="R75" s="231" t="str">
        <f>IFERROR(VLOOKUP(TableHandbook[[#This Row],[UDC]],TableMJRPTCHPR[],7,FALSE),"")</f>
        <v/>
      </c>
      <c r="S75" s="231" t="str">
        <f>IFERROR(VLOOKUP(TableHandbook[[#This Row],[UDC]],TableMJRPTCHSC[],7,FALSE),"")</f>
        <v/>
      </c>
      <c r="T75" s="231" t="str">
        <f>IFERROR(VLOOKUP(TableHandbook[[#This Row],[UDC]],TableSTRPSCART[],7,FALSE),"")</f>
        <v/>
      </c>
      <c r="U75" s="231" t="str">
        <f>IFERROR(VLOOKUP(TableHandbook[[#This Row],[UDC]],TableSTRPSCENG[],7,FALSE),"")</f>
        <v/>
      </c>
      <c r="V75" s="231" t="str">
        <f>IFERROR(VLOOKUP(TableHandbook[[#This Row],[UDC]],TableSTRPSCHLP[],7,FALSE),"")</f>
        <v/>
      </c>
      <c r="W75" s="231" t="str">
        <f>IFERROR(VLOOKUP(TableHandbook[[#This Row],[UDC]],TableSTRPSCHUS[],7,FALSE),"")</f>
        <v/>
      </c>
      <c r="X75" s="231" t="str">
        <f>IFERROR(VLOOKUP(TableHandbook[[#This Row],[UDC]],TableSTRPSCMAT[],7,FALSE),"")</f>
        <v/>
      </c>
      <c r="Y75" s="231" t="str">
        <f>IFERROR(VLOOKUP(TableHandbook[[#This Row],[UDC]],TableSTRPSCSCI[],7,FALSE),"")</f>
        <v/>
      </c>
      <c r="Z75" s="231" t="str">
        <f>IFERROR(VLOOKUP(TableHandbook[[#This Row],[UDC]],TableSTRPSCFON[],7,FALSE),"")</f>
        <v/>
      </c>
      <c r="AA75" s="232" t="str">
        <f>IFERROR(VLOOKUP(TableHandbook[[#This Row],[UDC]],TableGCTESOL[],7,FALSE),"")</f>
        <v/>
      </c>
      <c r="AB75" s="231" t="str">
        <f>IFERROR(VLOOKUP(TableHandbook[[#This Row],[UDC]],TableMCTESOL[],7,FALSE),"")</f>
        <v/>
      </c>
      <c r="AC75" s="231" t="str">
        <f>IFERROR(VLOOKUP(TableHandbook[[#This Row],[UDC]],TableMCAPLING[],7,FALSE),"")</f>
        <v/>
      </c>
      <c r="AD75" s="232" t="str">
        <f>IFERROR(VLOOKUP(TableHandbook[[#This Row],[UDC]],TableGCEDHE[],7,FALSE),"")</f>
        <v/>
      </c>
      <c r="AE75" s="231" t="str">
        <f>IFERROR(VLOOKUP(TableHandbook[[#This Row],[UDC]],TableGCEDUC[],7,FALSE),"")</f>
        <v/>
      </c>
      <c r="AF75" s="231" t="str">
        <f>IFERROR(VLOOKUP(TableHandbook[[#This Row],[UDC]],TableGDEDUC[],7,FALSE),"")</f>
        <v/>
      </c>
      <c r="AG75" s="231" t="str">
        <f>IFERROR(VLOOKUP(TableHandbook[[#This Row],[UDC]],TableMJRPEDUPR[],7,FALSE),"")</f>
        <v/>
      </c>
      <c r="AH75" s="231" t="str">
        <f>IFERROR(VLOOKUP(TableHandbook[[#This Row],[UDC]],TableMJRPEDUSC[],7,FALSE),"")</f>
        <v/>
      </c>
      <c r="AI75" s="232" t="str">
        <f>IFERROR(VLOOKUP(TableHandbook[[#This Row],[UDC]],TableMCEDUC[],7,FALSE),"")</f>
        <v/>
      </c>
      <c r="AJ75" s="231" t="str">
        <f>IFERROR(VLOOKUP(TableHandbook[[#This Row],[UDC]],TableSPPECULIN[],7,FALSE),"")</f>
        <v/>
      </c>
      <c r="AK75" s="231" t="str">
        <f>IFERROR(VLOOKUP(TableHandbook[[#This Row],[UDC]],TableSPPELNTCH[],7,FALSE),"")</f>
        <v/>
      </c>
      <c r="AL75" s="231" t="str">
        <f>IFERROR(VLOOKUP(TableHandbook[[#This Row],[UDC]],TableSPPESTEME[],7,FALSE),"")</f>
        <v/>
      </c>
    </row>
    <row r="76" spans="1:38" x14ac:dyDescent="0.25">
      <c r="A76" s="2" t="s">
        <v>422</v>
      </c>
      <c r="B76" s="3"/>
      <c r="C76" s="3"/>
      <c r="D76" s="2" t="s">
        <v>423</v>
      </c>
      <c r="E76" s="3">
        <v>50</v>
      </c>
      <c r="F76" s="54" t="s">
        <v>188</v>
      </c>
      <c r="G76" s="55" t="str">
        <f>IFERROR(IF(VLOOKUP(TableHandbook[[#This Row],[UDC]],TableAvailabilities[],2,FALSE)&gt;0,"Y",""),"")</f>
        <v/>
      </c>
      <c r="H76" s="55" t="str">
        <f>IFERROR(IF(VLOOKUP(TableHandbook[[#This Row],[UDC]],TableAvailabilities[],3,FALSE)&gt;0,"Y",""),"")</f>
        <v/>
      </c>
      <c r="I76" s="55" t="str">
        <f>IFERROR(IF(VLOOKUP(TableHandbook[[#This Row],[UDC]],TableAvailabilities[],4,FALSE)&gt;0,"Y",""),"")</f>
        <v/>
      </c>
      <c r="J76" s="55" t="str">
        <f>IFERROR(IF(VLOOKUP(TableHandbook[[#This Row],[UDC]],TableAvailabilities[],5,FALSE)&gt;0,"Y",""),"")</f>
        <v/>
      </c>
      <c r="K76" s="55" t="str">
        <f>IFERROR(IF(VLOOKUP(TableHandbook[[#This Row],[UDC]],TableAvailabilities[],6,FALSE)&gt;0,"Y",""),"")</f>
        <v/>
      </c>
      <c r="L76" s="55" t="str">
        <f>IFERROR(IF(VLOOKUP(TableHandbook[[#This Row],[UDC]],TableAvailabilities[],7,FALSE)&gt;0,"Y",""),"")</f>
        <v/>
      </c>
      <c r="M76" s="55" t="str">
        <f>IFERROR(IF(VLOOKUP(TableHandbook[[#This Row],[UDC]],TableAvailabilities[],8,FALSE)&gt;0,"Y",""),"")</f>
        <v/>
      </c>
      <c r="N76" s="55" t="str">
        <f>IFERROR(IF(VLOOKUP(TableHandbook[[#This Row],[UDC]],TableAvailabilities[],9,FALSE)&gt;0,"Y",""),"")</f>
        <v/>
      </c>
      <c r="O76" s="230"/>
      <c r="P76" s="232" t="str">
        <f>IFERROR(VLOOKUP(TableHandbook[[#This Row],[UDC]],TableMCTEACH[],7,FALSE),"")</f>
        <v/>
      </c>
      <c r="Q76" s="231" t="str">
        <f>IFERROR(VLOOKUP(TableHandbook[[#This Row],[UDC]],TableMJRPTCHEC[],7,FALSE),"")</f>
        <v/>
      </c>
      <c r="R76" s="231" t="str">
        <f>IFERROR(VLOOKUP(TableHandbook[[#This Row],[UDC]],TableMJRPTCHPR[],7,FALSE),"")</f>
        <v/>
      </c>
      <c r="S76" s="231" t="str">
        <f>IFERROR(VLOOKUP(TableHandbook[[#This Row],[UDC]],TableMJRPTCHSC[],7,FALSE),"")</f>
        <v/>
      </c>
      <c r="T76" s="231" t="str">
        <f>IFERROR(VLOOKUP(TableHandbook[[#This Row],[UDC]],TableSTRPSCART[],7,FALSE),"")</f>
        <v/>
      </c>
      <c r="U76" s="231" t="str">
        <f>IFERROR(VLOOKUP(TableHandbook[[#This Row],[UDC]],TableSTRPSCENG[],7,FALSE),"")</f>
        <v/>
      </c>
      <c r="V76" s="231" t="str">
        <f>IFERROR(VLOOKUP(TableHandbook[[#This Row],[UDC]],TableSTRPSCHLP[],7,FALSE),"")</f>
        <v/>
      </c>
      <c r="W76" s="231" t="str">
        <f>IFERROR(VLOOKUP(TableHandbook[[#This Row],[UDC]],TableSTRPSCHUS[],7,FALSE),"")</f>
        <v/>
      </c>
      <c r="X76" s="231" t="str">
        <f>IFERROR(VLOOKUP(TableHandbook[[#This Row],[UDC]],TableSTRPSCMAT[],7,FALSE),"")</f>
        <v/>
      </c>
      <c r="Y76" s="231" t="str">
        <f>IFERROR(VLOOKUP(TableHandbook[[#This Row],[UDC]],TableSTRPSCSCI[],7,FALSE),"")</f>
        <v/>
      </c>
      <c r="Z76" s="231" t="str">
        <f>IFERROR(VLOOKUP(TableHandbook[[#This Row],[UDC]],TableSTRPSCFON[],7,FALSE),"")</f>
        <v/>
      </c>
      <c r="AA76" s="232" t="str">
        <f>IFERROR(VLOOKUP(TableHandbook[[#This Row],[UDC]],TableGCTESOL[],7,FALSE),"")</f>
        <v/>
      </c>
      <c r="AB76" s="231" t="str">
        <f>IFERROR(VLOOKUP(TableHandbook[[#This Row],[UDC]],TableMCTESOL[],7,FALSE),"")</f>
        <v/>
      </c>
      <c r="AC76" s="231" t="str">
        <f>IFERROR(VLOOKUP(TableHandbook[[#This Row],[UDC]],TableMCAPLING[],7,FALSE),"")</f>
        <v/>
      </c>
      <c r="AD76" s="232" t="str">
        <f>IFERROR(VLOOKUP(TableHandbook[[#This Row],[UDC]],TableGCEDHE[],7,FALSE),"")</f>
        <v/>
      </c>
      <c r="AE76" s="231" t="str">
        <f>IFERROR(VLOOKUP(TableHandbook[[#This Row],[UDC]],TableGCEDUC[],7,FALSE),"")</f>
        <v/>
      </c>
      <c r="AF76" s="231" t="str">
        <f>IFERROR(VLOOKUP(TableHandbook[[#This Row],[UDC]],TableGDEDUC[],7,FALSE),"")</f>
        <v/>
      </c>
      <c r="AG76" s="231" t="str">
        <f>IFERROR(VLOOKUP(TableHandbook[[#This Row],[UDC]],TableMJRPEDUPR[],7,FALSE),"")</f>
        <v/>
      </c>
      <c r="AH76" s="231" t="str">
        <f>IFERROR(VLOOKUP(TableHandbook[[#This Row],[UDC]],TableMJRPEDUSC[],7,FALSE),"")</f>
        <v/>
      </c>
      <c r="AI76" s="232" t="str">
        <f>IFERROR(VLOOKUP(TableHandbook[[#This Row],[UDC]],TableMCEDUC[],7,FALSE),"")</f>
        <v/>
      </c>
      <c r="AJ76" s="231" t="str">
        <f>IFERROR(VLOOKUP(TableHandbook[[#This Row],[UDC]],TableSPPECULIN[],7,FALSE),"")</f>
        <v/>
      </c>
      <c r="AK76" s="231" t="str">
        <f>IFERROR(VLOOKUP(TableHandbook[[#This Row],[UDC]],TableSPPELNTCH[],7,FALSE),"")</f>
        <v/>
      </c>
      <c r="AL76" s="231" t="str">
        <f>IFERROR(VLOOKUP(TableHandbook[[#This Row],[UDC]],TableSPPESTEME[],7,FALSE),"")</f>
        <v/>
      </c>
    </row>
    <row r="77" spans="1:38" x14ac:dyDescent="0.25">
      <c r="A77" s="2" t="s">
        <v>293</v>
      </c>
      <c r="B77" s="3"/>
      <c r="C77" s="3"/>
      <c r="D77" s="2" t="s">
        <v>424</v>
      </c>
      <c r="E77" s="3">
        <v>25</v>
      </c>
      <c r="F77" s="54" t="s">
        <v>421</v>
      </c>
      <c r="G77" s="55" t="str">
        <f>IFERROR(IF(VLOOKUP(TableHandbook[[#This Row],[UDC]],TableAvailabilities[],2,FALSE)&gt;0,"Y",""),"")</f>
        <v/>
      </c>
      <c r="H77" s="55" t="str">
        <f>IFERROR(IF(VLOOKUP(TableHandbook[[#This Row],[UDC]],TableAvailabilities[],3,FALSE)&gt;0,"Y",""),"")</f>
        <v/>
      </c>
      <c r="I77" s="55" t="str">
        <f>IFERROR(IF(VLOOKUP(TableHandbook[[#This Row],[UDC]],TableAvailabilities[],4,FALSE)&gt;0,"Y",""),"")</f>
        <v/>
      </c>
      <c r="J77" s="55" t="str">
        <f>IFERROR(IF(VLOOKUP(TableHandbook[[#This Row],[UDC]],TableAvailabilities[],5,FALSE)&gt;0,"Y",""),"")</f>
        <v/>
      </c>
      <c r="K77" s="55" t="str">
        <f>IFERROR(IF(VLOOKUP(TableHandbook[[#This Row],[UDC]],TableAvailabilities[],6,FALSE)&gt;0,"Y",""),"")</f>
        <v/>
      </c>
      <c r="L77" s="55" t="str">
        <f>IFERROR(IF(VLOOKUP(TableHandbook[[#This Row],[UDC]],TableAvailabilities[],7,FALSE)&gt;0,"Y",""),"")</f>
        <v/>
      </c>
      <c r="M77" s="55" t="str">
        <f>IFERROR(IF(VLOOKUP(TableHandbook[[#This Row],[UDC]],TableAvailabilities[],8,FALSE)&gt;0,"Y",""),"")</f>
        <v/>
      </c>
      <c r="N77" s="55" t="str">
        <f>IFERROR(IF(VLOOKUP(TableHandbook[[#This Row],[UDC]],TableAvailabilities[],9,FALSE)&gt;0,"Y",""),"")</f>
        <v/>
      </c>
      <c r="O77" s="230"/>
      <c r="P77" s="232" t="str">
        <f>IFERROR(VLOOKUP(TableHandbook[[#This Row],[UDC]],TableMCTEACH[],7,FALSE),"")</f>
        <v/>
      </c>
      <c r="Q77" s="231" t="str">
        <f>IFERROR(VLOOKUP(TableHandbook[[#This Row],[UDC]],TableMJRPTCHEC[],7,FALSE),"")</f>
        <v/>
      </c>
      <c r="R77" s="231" t="str">
        <f>IFERROR(VLOOKUP(TableHandbook[[#This Row],[UDC]],TableMJRPTCHPR[],7,FALSE),"")</f>
        <v/>
      </c>
      <c r="S77" s="231" t="str">
        <f>IFERROR(VLOOKUP(TableHandbook[[#This Row],[UDC]],TableMJRPTCHSC[],7,FALSE),"")</f>
        <v/>
      </c>
      <c r="T77" s="231" t="str">
        <f>IFERROR(VLOOKUP(TableHandbook[[#This Row],[UDC]],TableSTRPSCART[],7,FALSE),"")</f>
        <v/>
      </c>
      <c r="U77" s="231" t="str">
        <f>IFERROR(VLOOKUP(TableHandbook[[#This Row],[UDC]],TableSTRPSCENG[],7,FALSE),"")</f>
        <v/>
      </c>
      <c r="V77" s="231" t="str">
        <f>IFERROR(VLOOKUP(TableHandbook[[#This Row],[UDC]],TableSTRPSCHLP[],7,FALSE),"")</f>
        <v/>
      </c>
      <c r="W77" s="231" t="str">
        <f>IFERROR(VLOOKUP(TableHandbook[[#This Row],[UDC]],TableSTRPSCHUS[],7,FALSE),"")</f>
        <v/>
      </c>
      <c r="X77" s="231" t="str">
        <f>IFERROR(VLOOKUP(TableHandbook[[#This Row],[UDC]],TableSTRPSCMAT[],7,FALSE),"")</f>
        <v/>
      </c>
      <c r="Y77" s="231" t="str">
        <f>IFERROR(VLOOKUP(TableHandbook[[#This Row],[UDC]],TableSTRPSCSCI[],7,FALSE),"")</f>
        <v/>
      </c>
      <c r="Z77" s="231" t="str">
        <f>IFERROR(VLOOKUP(TableHandbook[[#This Row],[UDC]],TableSTRPSCFON[],7,FALSE),"")</f>
        <v/>
      </c>
      <c r="AA77" s="232" t="str">
        <f>IFERROR(VLOOKUP(TableHandbook[[#This Row],[UDC]],TableGCTESOL[],7,FALSE),"")</f>
        <v/>
      </c>
      <c r="AB77" s="231" t="str">
        <f>IFERROR(VLOOKUP(TableHandbook[[#This Row],[UDC]],TableMCTESOL[],7,FALSE),"")</f>
        <v/>
      </c>
      <c r="AC77" s="231" t="str">
        <f>IFERROR(VLOOKUP(TableHandbook[[#This Row],[UDC]],TableMCAPLING[],7,FALSE),"")</f>
        <v/>
      </c>
      <c r="AD77" s="232" t="str">
        <f>IFERROR(VLOOKUP(TableHandbook[[#This Row],[UDC]],TableGCEDHE[],7,FALSE),"")</f>
        <v/>
      </c>
      <c r="AE77" s="231" t="str">
        <f>IFERROR(VLOOKUP(TableHandbook[[#This Row],[UDC]],TableGCEDUC[],7,FALSE),"")</f>
        <v/>
      </c>
      <c r="AF77" s="231" t="str">
        <f>IFERROR(VLOOKUP(TableHandbook[[#This Row],[UDC]],TableGDEDUC[],7,FALSE),"")</f>
        <v/>
      </c>
      <c r="AG77" s="231" t="str">
        <f>IFERROR(VLOOKUP(TableHandbook[[#This Row],[UDC]],TableMJRPEDUPR[],7,FALSE),"")</f>
        <v/>
      </c>
      <c r="AH77" s="231" t="str">
        <f>IFERROR(VLOOKUP(TableHandbook[[#This Row],[UDC]],TableMJRPEDUSC[],7,FALSE),"")</f>
        <v/>
      </c>
      <c r="AI77" s="232" t="str">
        <f>IFERROR(VLOOKUP(TableHandbook[[#This Row],[UDC]],TableMCEDUC[],7,FALSE),"")</f>
        <v/>
      </c>
      <c r="AJ77" s="231" t="str">
        <f>IFERROR(VLOOKUP(TableHandbook[[#This Row],[UDC]],TableSPPECULIN[],7,FALSE),"")</f>
        <v/>
      </c>
      <c r="AK77" s="231" t="str">
        <f>IFERROR(VLOOKUP(TableHandbook[[#This Row],[UDC]],TableSPPELNTCH[],7,FALSE),"")</f>
        <v/>
      </c>
      <c r="AL77" s="231" t="str">
        <f>IFERROR(VLOOKUP(TableHandbook[[#This Row],[UDC]],TableSPPESTEME[],7,FALSE),"")</f>
        <v/>
      </c>
    </row>
    <row r="78" spans="1:38" x14ac:dyDescent="0.25">
      <c r="A78" s="2" t="s">
        <v>332</v>
      </c>
      <c r="B78" s="3"/>
      <c r="C78" s="3"/>
      <c r="D78" s="2" t="s">
        <v>425</v>
      </c>
      <c r="E78" s="3"/>
      <c r="F78" s="54"/>
      <c r="G78" s="55" t="str">
        <f>IFERROR(IF(VLOOKUP(TableHandbook[[#This Row],[UDC]],TableAvailabilities[],2,FALSE)&gt;0,"Y",""),"")</f>
        <v/>
      </c>
      <c r="H78" s="55" t="str">
        <f>IFERROR(IF(VLOOKUP(TableHandbook[[#This Row],[UDC]],TableAvailabilities[],3,FALSE)&gt;0,"Y",""),"")</f>
        <v/>
      </c>
      <c r="I78" s="55" t="str">
        <f>IFERROR(IF(VLOOKUP(TableHandbook[[#This Row],[UDC]],TableAvailabilities[],4,FALSE)&gt;0,"Y",""),"")</f>
        <v/>
      </c>
      <c r="J78" s="55" t="str">
        <f>IFERROR(IF(VLOOKUP(TableHandbook[[#This Row],[UDC]],TableAvailabilities[],5,FALSE)&gt;0,"Y",""),"")</f>
        <v/>
      </c>
      <c r="K78" s="55" t="str">
        <f>IFERROR(IF(VLOOKUP(TableHandbook[[#This Row],[UDC]],TableAvailabilities[],6,FALSE)&gt;0,"Y",""),"")</f>
        <v/>
      </c>
      <c r="L78" s="55" t="str">
        <f>IFERROR(IF(VLOOKUP(TableHandbook[[#This Row],[UDC]],TableAvailabilities[],7,FALSE)&gt;0,"Y",""),"")</f>
        <v/>
      </c>
      <c r="M78" s="55" t="str">
        <f>IFERROR(IF(VLOOKUP(TableHandbook[[#This Row],[UDC]],TableAvailabilities[],8,FALSE)&gt;0,"Y",""),"")</f>
        <v/>
      </c>
      <c r="N78" s="55" t="str">
        <f>IFERROR(IF(VLOOKUP(TableHandbook[[#This Row],[UDC]],TableAvailabilities[],9,FALSE)&gt;0,"Y",""),"")</f>
        <v/>
      </c>
      <c r="O78" s="230"/>
      <c r="P78" s="232" t="str">
        <f>IFERROR(VLOOKUP(TableHandbook[[#This Row],[UDC]],TableMCTEACH[],7,FALSE),"")</f>
        <v/>
      </c>
      <c r="Q78" s="231" t="str">
        <f>IFERROR(VLOOKUP(TableHandbook[[#This Row],[UDC]],TableMJRPTCHEC[],7,FALSE),"")</f>
        <v/>
      </c>
      <c r="R78" s="231" t="str">
        <f>IFERROR(VLOOKUP(TableHandbook[[#This Row],[UDC]],TableMJRPTCHPR[],7,FALSE),"")</f>
        <v/>
      </c>
      <c r="S78" s="231" t="str">
        <f>IFERROR(VLOOKUP(TableHandbook[[#This Row],[UDC]],TableMJRPTCHSC[],7,FALSE),"")</f>
        <v/>
      </c>
      <c r="T78" s="231" t="str">
        <f>IFERROR(VLOOKUP(TableHandbook[[#This Row],[UDC]],TableSTRPSCART[],7,FALSE),"")</f>
        <v/>
      </c>
      <c r="U78" s="231" t="str">
        <f>IFERROR(VLOOKUP(TableHandbook[[#This Row],[UDC]],TableSTRPSCENG[],7,FALSE),"")</f>
        <v/>
      </c>
      <c r="V78" s="231" t="str">
        <f>IFERROR(VLOOKUP(TableHandbook[[#This Row],[UDC]],TableSTRPSCHLP[],7,FALSE),"")</f>
        <v/>
      </c>
      <c r="W78" s="231" t="str">
        <f>IFERROR(VLOOKUP(TableHandbook[[#This Row],[UDC]],TableSTRPSCHUS[],7,FALSE),"")</f>
        <v/>
      </c>
      <c r="X78" s="231" t="str">
        <f>IFERROR(VLOOKUP(TableHandbook[[#This Row],[UDC]],TableSTRPSCMAT[],7,FALSE),"")</f>
        <v/>
      </c>
      <c r="Y78" s="231" t="str">
        <f>IFERROR(VLOOKUP(TableHandbook[[#This Row],[UDC]],TableSTRPSCSCI[],7,FALSE),"")</f>
        <v/>
      </c>
      <c r="Z78" s="231" t="str">
        <f>IFERROR(VLOOKUP(TableHandbook[[#This Row],[UDC]],TableSTRPSCFON[],7,FALSE),"")</f>
        <v/>
      </c>
      <c r="AA78" s="232" t="str">
        <f>IFERROR(VLOOKUP(TableHandbook[[#This Row],[UDC]],TableGCTESOL[],7,FALSE),"")</f>
        <v/>
      </c>
      <c r="AB78" s="231" t="str">
        <f>IFERROR(VLOOKUP(TableHandbook[[#This Row],[UDC]],TableMCTESOL[],7,FALSE),"")</f>
        <v/>
      </c>
      <c r="AC78" s="231" t="str">
        <f>IFERROR(VLOOKUP(TableHandbook[[#This Row],[UDC]],TableMCAPLING[],7,FALSE),"")</f>
        <v/>
      </c>
      <c r="AD78" s="232" t="str">
        <f>IFERROR(VLOOKUP(TableHandbook[[#This Row],[UDC]],TableGCEDHE[],7,FALSE),"")</f>
        <v/>
      </c>
      <c r="AE78" s="231" t="str">
        <f>IFERROR(VLOOKUP(TableHandbook[[#This Row],[UDC]],TableGCEDUC[],7,FALSE),"")</f>
        <v/>
      </c>
      <c r="AF78" s="231" t="str">
        <f>IFERROR(VLOOKUP(TableHandbook[[#This Row],[UDC]],TableGDEDUC[],7,FALSE),"")</f>
        <v/>
      </c>
      <c r="AG78" s="231" t="str">
        <f>IFERROR(VLOOKUP(TableHandbook[[#This Row],[UDC]],TableMJRPEDUPR[],7,FALSE),"")</f>
        <v/>
      </c>
      <c r="AH78" s="231" t="str">
        <f>IFERROR(VLOOKUP(TableHandbook[[#This Row],[UDC]],TableMJRPEDUSC[],7,FALSE),"")</f>
        <v/>
      </c>
      <c r="AI78" s="232" t="str">
        <f>IFERROR(VLOOKUP(TableHandbook[[#This Row],[UDC]],TableMCEDUC[],7,FALSE),"")</f>
        <v/>
      </c>
      <c r="AJ78" s="231" t="str">
        <f>IFERROR(VLOOKUP(TableHandbook[[#This Row],[UDC]],TableSPPECULIN[],7,FALSE),"")</f>
        <v/>
      </c>
      <c r="AK78" s="231" t="str">
        <f>IFERROR(VLOOKUP(TableHandbook[[#This Row],[UDC]],TableSPPELNTCH[],7,FALSE),"")</f>
        <v/>
      </c>
      <c r="AL78" s="231" t="str">
        <f>IFERROR(VLOOKUP(TableHandbook[[#This Row],[UDC]],TableSPPESTEME[],7,FALSE),"")</f>
        <v/>
      </c>
    </row>
    <row r="79" spans="1:38" x14ac:dyDescent="0.25">
      <c r="A79" s="2" t="s">
        <v>330</v>
      </c>
      <c r="B79" s="3"/>
      <c r="C79" s="3"/>
      <c r="D79" s="2" t="s">
        <v>426</v>
      </c>
      <c r="E79" s="3">
        <v>25</v>
      </c>
      <c r="F79" s="54" t="s">
        <v>421</v>
      </c>
      <c r="G79" s="55" t="str">
        <f>IFERROR(IF(VLOOKUP(TableHandbook[[#This Row],[UDC]],TableAvailabilities[],2,FALSE)&gt;0,"Y",""),"")</f>
        <v/>
      </c>
      <c r="H79" s="55" t="str">
        <f>IFERROR(IF(VLOOKUP(TableHandbook[[#This Row],[UDC]],TableAvailabilities[],3,FALSE)&gt;0,"Y",""),"")</f>
        <v/>
      </c>
      <c r="I79" s="55" t="str">
        <f>IFERROR(IF(VLOOKUP(TableHandbook[[#This Row],[UDC]],TableAvailabilities[],4,FALSE)&gt;0,"Y",""),"")</f>
        <v/>
      </c>
      <c r="J79" s="55" t="str">
        <f>IFERROR(IF(VLOOKUP(TableHandbook[[#This Row],[UDC]],TableAvailabilities[],5,FALSE)&gt;0,"Y",""),"")</f>
        <v/>
      </c>
      <c r="K79" s="55" t="str">
        <f>IFERROR(IF(VLOOKUP(TableHandbook[[#This Row],[UDC]],TableAvailabilities[],6,FALSE)&gt;0,"Y",""),"")</f>
        <v/>
      </c>
      <c r="L79" s="55" t="str">
        <f>IFERROR(IF(VLOOKUP(TableHandbook[[#This Row],[UDC]],TableAvailabilities[],7,FALSE)&gt;0,"Y",""),"")</f>
        <v/>
      </c>
      <c r="M79" s="55" t="str">
        <f>IFERROR(IF(VLOOKUP(TableHandbook[[#This Row],[UDC]],TableAvailabilities[],8,FALSE)&gt;0,"Y",""),"")</f>
        <v/>
      </c>
      <c r="N79" s="55" t="str">
        <f>IFERROR(IF(VLOOKUP(TableHandbook[[#This Row],[UDC]],TableAvailabilities[],9,FALSE)&gt;0,"Y",""),"")</f>
        <v/>
      </c>
      <c r="O79" s="230"/>
      <c r="P79" s="232" t="str">
        <f>IFERROR(VLOOKUP(TableHandbook[[#This Row],[UDC]],TableMCTEACH[],7,FALSE),"")</f>
        <v/>
      </c>
      <c r="Q79" s="231" t="str">
        <f>IFERROR(VLOOKUP(TableHandbook[[#This Row],[UDC]],TableMJRPTCHEC[],7,FALSE),"")</f>
        <v/>
      </c>
      <c r="R79" s="231" t="str">
        <f>IFERROR(VLOOKUP(TableHandbook[[#This Row],[UDC]],TableMJRPTCHPR[],7,FALSE),"")</f>
        <v/>
      </c>
      <c r="S79" s="231" t="str">
        <f>IFERROR(VLOOKUP(TableHandbook[[#This Row],[UDC]],TableMJRPTCHSC[],7,FALSE),"")</f>
        <v/>
      </c>
      <c r="T79" s="231" t="str">
        <f>IFERROR(VLOOKUP(TableHandbook[[#This Row],[UDC]],TableSTRPSCART[],7,FALSE),"")</f>
        <v/>
      </c>
      <c r="U79" s="231" t="str">
        <f>IFERROR(VLOOKUP(TableHandbook[[#This Row],[UDC]],TableSTRPSCENG[],7,FALSE),"")</f>
        <v/>
      </c>
      <c r="V79" s="231" t="str">
        <f>IFERROR(VLOOKUP(TableHandbook[[#This Row],[UDC]],TableSTRPSCHLP[],7,FALSE),"")</f>
        <v/>
      </c>
      <c r="W79" s="231" t="str">
        <f>IFERROR(VLOOKUP(TableHandbook[[#This Row],[UDC]],TableSTRPSCHUS[],7,FALSE),"")</f>
        <v/>
      </c>
      <c r="X79" s="231" t="str">
        <f>IFERROR(VLOOKUP(TableHandbook[[#This Row],[UDC]],TableSTRPSCMAT[],7,FALSE),"")</f>
        <v/>
      </c>
      <c r="Y79" s="231" t="str">
        <f>IFERROR(VLOOKUP(TableHandbook[[#This Row],[UDC]],TableSTRPSCSCI[],7,FALSE),"")</f>
        <v/>
      </c>
      <c r="Z79" s="231" t="str">
        <f>IFERROR(VLOOKUP(TableHandbook[[#This Row],[UDC]],TableSTRPSCFON[],7,FALSE),"")</f>
        <v/>
      </c>
      <c r="AA79" s="232" t="str">
        <f>IFERROR(VLOOKUP(TableHandbook[[#This Row],[UDC]],TableGCTESOL[],7,FALSE),"")</f>
        <v/>
      </c>
      <c r="AB79" s="231" t="str">
        <f>IFERROR(VLOOKUP(TableHandbook[[#This Row],[UDC]],TableMCTESOL[],7,FALSE),"")</f>
        <v/>
      </c>
      <c r="AC79" s="231" t="str">
        <f>IFERROR(VLOOKUP(TableHandbook[[#This Row],[UDC]],TableMCAPLING[],7,FALSE),"")</f>
        <v/>
      </c>
      <c r="AD79" s="232" t="str">
        <f>IFERROR(VLOOKUP(TableHandbook[[#This Row],[UDC]],TableGCEDHE[],7,FALSE),"")</f>
        <v/>
      </c>
      <c r="AE79" s="231" t="str">
        <f>IFERROR(VLOOKUP(TableHandbook[[#This Row],[UDC]],TableGCEDUC[],7,FALSE),"")</f>
        <v/>
      </c>
      <c r="AF79" s="231" t="str">
        <f>IFERROR(VLOOKUP(TableHandbook[[#This Row],[UDC]],TableGDEDUC[],7,FALSE),"")</f>
        <v/>
      </c>
      <c r="AG79" s="231" t="str">
        <f>IFERROR(VLOOKUP(TableHandbook[[#This Row],[UDC]],TableMJRPEDUPR[],7,FALSE),"")</f>
        <v/>
      </c>
      <c r="AH79" s="231" t="str">
        <f>IFERROR(VLOOKUP(TableHandbook[[#This Row],[UDC]],TableMJRPEDUSC[],7,FALSE),"")</f>
        <v/>
      </c>
      <c r="AI79" s="232" t="str">
        <f>IFERROR(VLOOKUP(TableHandbook[[#This Row],[UDC]],TableMCEDUC[],7,FALSE),"")</f>
        <v/>
      </c>
      <c r="AJ79" s="231" t="str">
        <f>IFERROR(VLOOKUP(TableHandbook[[#This Row],[UDC]],TableSPPECULIN[],7,FALSE),"")</f>
        <v/>
      </c>
      <c r="AK79" s="231" t="str">
        <f>IFERROR(VLOOKUP(TableHandbook[[#This Row],[UDC]],TableSPPELNTCH[],7,FALSE),"")</f>
        <v/>
      </c>
      <c r="AL79" s="231" t="str">
        <f>IFERROR(VLOOKUP(TableHandbook[[#This Row],[UDC]],TableSPPESTEME[],7,FALSE),"")</f>
        <v/>
      </c>
    </row>
    <row r="80" spans="1:38" x14ac:dyDescent="0.25">
      <c r="A80" s="2" t="s">
        <v>331</v>
      </c>
      <c r="B80" s="3"/>
      <c r="C80" s="3"/>
      <c r="D80" s="2" t="s">
        <v>427</v>
      </c>
      <c r="E80" s="3">
        <v>25</v>
      </c>
      <c r="F80" s="54" t="s">
        <v>421</v>
      </c>
      <c r="G80" s="55" t="str">
        <f>IFERROR(IF(VLOOKUP(TableHandbook[[#This Row],[UDC]],TableAvailabilities[],2,FALSE)&gt;0,"Y",""),"")</f>
        <v/>
      </c>
      <c r="H80" s="55" t="str">
        <f>IFERROR(IF(VLOOKUP(TableHandbook[[#This Row],[UDC]],TableAvailabilities[],3,FALSE)&gt;0,"Y",""),"")</f>
        <v/>
      </c>
      <c r="I80" s="55" t="str">
        <f>IFERROR(IF(VLOOKUP(TableHandbook[[#This Row],[UDC]],TableAvailabilities[],4,FALSE)&gt;0,"Y",""),"")</f>
        <v/>
      </c>
      <c r="J80" s="55" t="str">
        <f>IFERROR(IF(VLOOKUP(TableHandbook[[#This Row],[UDC]],TableAvailabilities[],5,FALSE)&gt;0,"Y",""),"")</f>
        <v/>
      </c>
      <c r="K80" s="55" t="str">
        <f>IFERROR(IF(VLOOKUP(TableHandbook[[#This Row],[UDC]],TableAvailabilities[],6,FALSE)&gt;0,"Y",""),"")</f>
        <v/>
      </c>
      <c r="L80" s="55" t="str">
        <f>IFERROR(IF(VLOOKUP(TableHandbook[[#This Row],[UDC]],TableAvailabilities[],7,FALSE)&gt;0,"Y",""),"")</f>
        <v/>
      </c>
      <c r="M80" s="55" t="str">
        <f>IFERROR(IF(VLOOKUP(TableHandbook[[#This Row],[UDC]],TableAvailabilities[],8,FALSE)&gt;0,"Y",""),"")</f>
        <v/>
      </c>
      <c r="N80" s="55" t="str">
        <f>IFERROR(IF(VLOOKUP(TableHandbook[[#This Row],[UDC]],TableAvailabilities[],9,FALSE)&gt;0,"Y",""),"")</f>
        <v/>
      </c>
      <c r="O80" s="230"/>
      <c r="P80" s="232" t="str">
        <f>IFERROR(VLOOKUP(TableHandbook[[#This Row],[UDC]],TableMCTEACH[],7,FALSE),"")</f>
        <v/>
      </c>
      <c r="Q80" s="231" t="str">
        <f>IFERROR(VLOOKUP(TableHandbook[[#This Row],[UDC]],TableMJRPTCHEC[],7,FALSE),"")</f>
        <v/>
      </c>
      <c r="R80" s="231" t="str">
        <f>IFERROR(VLOOKUP(TableHandbook[[#This Row],[UDC]],TableMJRPTCHPR[],7,FALSE),"")</f>
        <v/>
      </c>
      <c r="S80" s="231" t="str">
        <f>IFERROR(VLOOKUP(TableHandbook[[#This Row],[UDC]],TableMJRPTCHSC[],7,FALSE),"")</f>
        <v/>
      </c>
      <c r="T80" s="231" t="str">
        <f>IFERROR(VLOOKUP(TableHandbook[[#This Row],[UDC]],TableSTRPSCART[],7,FALSE),"")</f>
        <v/>
      </c>
      <c r="U80" s="231" t="str">
        <f>IFERROR(VLOOKUP(TableHandbook[[#This Row],[UDC]],TableSTRPSCENG[],7,FALSE),"")</f>
        <v/>
      </c>
      <c r="V80" s="231" t="str">
        <f>IFERROR(VLOOKUP(TableHandbook[[#This Row],[UDC]],TableSTRPSCHLP[],7,FALSE),"")</f>
        <v/>
      </c>
      <c r="W80" s="231" t="str">
        <f>IFERROR(VLOOKUP(TableHandbook[[#This Row],[UDC]],TableSTRPSCHUS[],7,FALSE),"")</f>
        <v/>
      </c>
      <c r="X80" s="231" t="str">
        <f>IFERROR(VLOOKUP(TableHandbook[[#This Row],[UDC]],TableSTRPSCMAT[],7,FALSE),"")</f>
        <v/>
      </c>
      <c r="Y80" s="231" t="str">
        <f>IFERROR(VLOOKUP(TableHandbook[[#This Row],[UDC]],TableSTRPSCSCI[],7,FALSE),"")</f>
        <v/>
      </c>
      <c r="Z80" s="231" t="str">
        <f>IFERROR(VLOOKUP(TableHandbook[[#This Row],[UDC]],TableSTRPSCFON[],7,FALSE),"")</f>
        <v/>
      </c>
      <c r="AA80" s="232" t="str">
        <f>IFERROR(VLOOKUP(TableHandbook[[#This Row],[UDC]],TableGCTESOL[],7,FALSE),"")</f>
        <v/>
      </c>
      <c r="AB80" s="231" t="str">
        <f>IFERROR(VLOOKUP(TableHandbook[[#This Row],[UDC]],TableMCTESOL[],7,FALSE),"")</f>
        <v/>
      </c>
      <c r="AC80" s="231" t="str">
        <f>IFERROR(VLOOKUP(TableHandbook[[#This Row],[UDC]],TableMCAPLING[],7,FALSE),"")</f>
        <v/>
      </c>
      <c r="AD80" s="232" t="str">
        <f>IFERROR(VLOOKUP(TableHandbook[[#This Row],[UDC]],TableGCEDHE[],7,FALSE),"")</f>
        <v/>
      </c>
      <c r="AE80" s="231" t="str">
        <f>IFERROR(VLOOKUP(TableHandbook[[#This Row],[UDC]],TableGCEDUC[],7,FALSE),"")</f>
        <v/>
      </c>
      <c r="AF80" s="231" t="str">
        <f>IFERROR(VLOOKUP(TableHandbook[[#This Row],[UDC]],TableGDEDUC[],7,FALSE),"")</f>
        <v/>
      </c>
      <c r="AG80" s="231" t="str">
        <f>IFERROR(VLOOKUP(TableHandbook[[#This Row],[UDC]],TableMJRPEDUPR[],7,FALSE),"")</f>
        <v/>
      </c>
      <c r="AH80" s="231" t="str">
        <f>IFERROR(VLOOKUP(TableHandbook[[#This Row],[UDC]],TableMJRPEDUSC[],7,FALSE),"")</f>
        <v/>
      </c>
      <c r="AI80" s="232" t="str">
        <f>IFERROR(VLOOKUP(TableHandbook[[#This Row],[UDC]],TableMCEDUC[],7,FALSE),"")</f>
        <v/>
      </c>
      <c r="AJ80" s="231" t="str">
        <f>IFERROR(VLOOKUP(TableHandbook[[#This Row],[UDC]],TableSPPECULIN[],7,FALSE),"")</f>
        <v/>
      </c>
      <c r="AK80" s="231" t="str">
        <f>IFERROR(VLOOKUP(TableHandbook[[#This Row],[UDC]],TableSPPELNTCH[],7,FALSE),"")</f>
        <v/>
      </c>
      <c r="AL80" s="231" t="str">
        <f>IFERROR(VLOOKUP(TableHandbook[[#This Row],[UDC]],TableSPPESTEME[],7,FALSE),"")</f>
        <v/>
      </c>
    </row>
    <row r="81" spans="1:38" x14ac:dyDescent="0.25">
      <c r="A81" s="260" t="s">
        <v>238</v>
      </c>
      <c r="B81" s="3">
        <v>1</v>
      </c>
      <c r="C81" s="3"/>
      <c r="D81" s="2" t="s">
        <v>428</v>
      </c>
      <c r="E81" s="3">
        <v>25</v>
      </c>
      <c r="F81" s="54" t="s">
        <v>348</v>
      </c>
      <c r="G81" s="55" t="s">
        <v>429</v>
      </c>
      <c r="H81" s="55" t="str">
        <f>IFERROR(IF(VLOOKUP(TableHandbook[[#This Row],[UDC]],TableAvailabilities[],3,FALSE)&gt;0,"Y",""),"")</f>
        <v/>
      </c>
      <c r="I81" s="55" t="str">
        <f>IFERROR(IF(VLOOKUP(TableHandbook[[#This Row],[UDC]],TableAvailabilities[],4,FALSE)&gt;0,"Y",""),"")</f>
        <v/>
      </c>
      <c r="J81" s="55" t="str">
        <f>IFERROR(IF(VLOOKUP(TableHandbook[[#This Row],[UDC]],TableAvailabilities[],5,FALSE)&gt;0,"Y",""),"")</f>
        <v/>
      </c>
      <c r="K81" s="55" t="s">
        <v>430</v>
      </c>
      <c r="L81" s="55" t="str">
        <f>IFERROR(IF(VLOOKUP(TableHandbook[[#This Row],[UDC]],TableAvailabilities[],7,FALSE)&gt;0,"Y",""),"")</f>
        <v/>
      </c>
      <c r="M81" s="55" t="str">
        <f>IFERROR(IF(VLOOKUP(TableHandbook[[#This Row],[UDC]],TableAvailabilities[],8,FALSE)&gt;0,"Y",""),"")</f>
        <v/>
      </c>
      <c r="N81" s="55" t="str">
        <f>IFERROR(IF(VLOOKUP(TableHandbook[[#This Row],[UDC]],TableAvailabilities[],9,FALSE)&gt;0,"Y",""),"")</f>
        <v/>
      </c>
      <c r="O81" s="230" t="s">
        <v>431</v>
      </c>
      <c r="P81" s="232" t="str">
        <f>IFERROR(VLOOKUP(TableHandbook[[#This Row],[UDC]],TableMCTEACH[],7,FALSE),"")</f>
        <v/>
      </c>
      <c r="Q81" s="231" t="str">
        <f>IFERROR(VLOOKUP(TableHandbook[[#This Row],[UDC]],TableMJRPTCHEC[],7,FALSE),"")</f>
        <v/>
      </c>
      <c r="R81" s="231" t="str">
        <f>IFERROR(VLOOKUP(TableHandbook[[#This Row],[UDC]],TableMJRPTCHPR[],7,FALSE),"")</f>
        <v/>
      </c>
      <c r="S81" s="231" t="str">
        <f>IFERROR(VLOOKUP(TableHandbook[[#This Row],[UDC]],TableMJRPTCHSC[],7,FALSE),"")</f>
        <v/>
      </c>
      <c r="T81" s="231" t="str">
        <f>IFERROR(VLOOKUP(TableHandbook[[#This Row],[UDC]],TableSTRPSCART[],7,FALSE),"")</f>
        <v/>
      </c>
      <c r="U81" s="231" t="str">
        <f>IFERROR(VLOOKUP(TableHandbook[[#This Row],[UDC]],TableSTRPSCENG[],7,FALSE),"")</f>
        <v/>
      </c>
      <c r="V81" s="231" t="str">
        <f>IFERROR(VLOOKUP(TableHandbook[[#This Row],[UDC]],TableSTRPSCHLP[],7,FALSE),"")</f>
        <v/>
      </c>
      <c r="W81" s="231" t="str">
        <f>IFERROR(VLOOKUP(TableHandbook[[#This Row],[UDC]],TableSTRPSCHUS[],7,FALSE),"")</f>
        <v/>
      </c>
      <c r="X81" s="231" t="str">
        <f>IFERROR(VLOOKUP(TableHandbook[[#This Row],[UDC]],TableSTRPSCMAT[],7,FALSE),"")</f>
        <v/>
      </c>
      <c r="Y81" s="231" t="str">
        <f>IFERROR(VLOOKUP(TableHandbook[[#This Row],[UDC]],TableSTRPSCSCI[],7,FALSE),"")</f>
        <v/>
      </c>
      <c r="Z81" s="231" t="str">
        <f>IFERROR(VLOOKUP(TableHandbook[[#This Row],[UDC]],TableSTRPSCFON[],7,FALSE),"")</f>
        <v/>
      </c>
      <c r="AA81" s="232" t="str">
        <f>IFERROR(VLOOKUP(TableHandbook[[#This Row],[UDC]],TableGCTESOL[],7,FALSE),"")</f>
        <v/>
      </c>
      <c r="AB81" s="231" t="str">
        <f>IFERROR(VLOOKUP(TableHandbook[[#This Row],[UDC]],TableMCTESOL[],7,FALSE),"")</f>
        <v/>
      </c>
      <c r="AC81" s="231" t="str">
        <f>IFERROR(VLOOKUP(TableHandbook[[#This Row],[UDC]],TableMCAPLING[],7,FALSE),"")</f>
        <v/>
      </c>
      <c r="AD81" s="232" t="str">
        <f>IFERROR(VLOOKUP(TableHandbook[[#This Row],[UDC]],TableGCEDHE[],7,FALSE),"")</f>
        <v/>
      </c>
      <c r="AE81" s="231" t="str">
        <f>IFERROR(VLOOKUP(TableHandbook[[#This Row],[UDC]],TableGCEDUC[],7,FALSE),"")</f>
        <v/>
      </c>
      <c r="AF81" s="231" t="str">
        <f>IFERROR(VLOOKUP(TableHandbook[[#This Row],[UDC]],TableGDEDUC[],7,FALSE),"")</f>
        <v/>
      </c>
      <c r="AG81" s="231" t="str">
        <f>IFERROR(VLOOKUP(TableHandbook[[#This Row],[UDC]],TableMJRPEDUPR[],7,FALSE),"")</f>
        <v/>
      </c>
      <c r="AH81" s="231" t="str">
        <f>IFERROR(VLOOKUP(TableHandbook[[#This Row],[UDC]],TableMJRPEDUSC[],7,FALSE),"")</f>
        <v/>
      </c>
      <c r="AI81" s="232" t="str">
        <f>IFERROR(VLOOKUP(TableHandbook[[#This Row],[UDC]],TableMCEDUC[],7,FALSE),"")</f>
        <v>Option</v>
      </c>
      <c r="AJ81" s="231" t="str">
        <f>IFERROR(VLOOKUP(TableHandbook[[#This Row],[UDC]],TableSPPECULIN[],7,FALSE),"")</f>
        <v/>
      </c>
      <c r="AK81" s="231" t="str">
        <f>IFERROR(VLOOKUP(TableHandbook[[#This Row],[UDC]],TableSPPELNTCH[],7,FALSE),"")</f>
        <v/>
      </c>
      <c r="AL81" s="231" t="str">
        <f>IFERROR(VLOOKUP(TableHandbook[[#This Row],[UDC]],TableSPPESTEME[],7,FALSE),"")</f>
        <v/>
      </c>
    </row>
    <row r="82" spans="1:38" x14ac:dyDescent="0.25">
      <c r="A82" s="2" t="s">
        <v>432</v>
      </c>
      <c r="B82" s="3">
        <v>2</v>
      </c>
      <c r="C82" s="3"/>
      <c r="D82" s="2" t="s">
        <v>433</v>
      </c>
      <c r="E82" s="3">
        <v>25</v>
      </c>
      <c r="F82" s="54" t="s">
        <v>348</v>
      </c>
      <c r="G82" s="55" t="str">
        <f>IFERROR(IF(VLOOKUP(TableHandbook[[#This Row],[UDC]],TableAvailabilities[],2,FALSE)&gt;0,"Y",""),"")</f>
        <v/>
      </c>
      <c r="H82" s="55" t="str">
        <f>IFERROR(IF(VLOOKUP(TableHandbook[[#This Row],[UDC]],TableAvailabilities[],3,FALSE)&gt;0,"Y",""),"")</f>
        <v>Y</v>
      </c>
      <c r="I82" s="55" t="str">
        <f>IFERROR(IF(VLOOKUP(TableHandbook[[#This Row],[UDC]],TableAvailabilities[],4,FALSE)&gt;0,"Y",""),"")</f>
        <v/>
      </c>
      <c r="J82" s="55" t="str">
        <f>IFERROR(IF(VLOOKUP(TableHandbook[[#This Row],[UDC]],TableAvailabilities[],5,FALSE)&gt;0,"Y",""),"")</f>
        <v/>
      </c>
      <c r="K82" s="55" t="str">
        <f>IFERROR(IF(VLOOKUP(TableHandbook[[#This Row],[UDC]],TableAvailabilities[],6,FALSE)&gt;0,"Y",""),"")</f>
        <v/>
      </c>
      <c r="L82" s="55" t="str">
        <f>IFERROR(IF(VLOOKUP(TableHandbook[[#This Row],[UDC]],TableAvailabilities[],7,FALSE)&gt;0,"Y",""),"")</f>
        <v/>
      </c>
      <c r="M82" s="55" t="str">
        <f>IFERROR(IF(VLOOKUP(TableHandbook[[#This Row],[UDC]],TableAvailabilities[],8,FALSE)&gt;0,"Y",""),"")</f>
        <v/>
      </c>
      <c r="N82" s="55" t="str">
        <f>IFERROR(IF(VLOOKUP(TableHandbook[[#This Row],[UDC]],TableAvailabilities[],9,FALSE)&gt;0,"Y",""),"")</f>
        <v/>
      </c>
      <c r="O82" s="230"/>
      <c r="P82" s="232" t="str">
        <f>IFERROR(VLOOKUP(TableHandbook[[#This Row],[UDC]],TableMCTEACH[],7,FALSE),"")</f>
        <v/>
      </c>
      <c r="Q82" s="231" t="str">
        <f>IFERROR(VLOOKUP(TableHandbook[[#This Row],[UDC]],TableMJRPTCHEC[],7,FALSE),"")</f>
        <v/>
      </c>
      <c r="R82" s="231" t="str">
        <f>IFERROR(VLOOKUP(TableHandbook[[#This Row],[UDC]],TableMJRPTCHPR[],7,FALSE),"")</f>
        <v/>
      </c>
      <c r="S82" s="231" t="str">
        <f>IFERROR(VLOOKUP(TableHandbook[[#This Row],[UDC]],TableMJRPTCHSC[],7,FALSE),"")</f>
        <v/>
      </c>
      <c r="T82" s="231" t="str">
        <f>IFERROR(VLOOKUP(TableHandbook[[#This Row],[UDC]],TableSTRPSCART[],7,FALSE),"")</f>
        <v/>
      </c>
      <c r="U82" s="231" t="str">
        <f>IFERROR(VLOOKUP(TableHandbook[[#This Row],[UDC]],TableSTRPSCENG[],7,FALSE),"")</f>
        <v/>
      </c>
      <c r="V82" s="231" t="str">
        <f>IFERROR(VLOOKUP(TableHandbook[[#This Row],[UDC]],TableSTRPSCHLP[],7,FALSE),"")</f>
        <v/>
      </c>
      <c r="W82" s="231" t="str">
        <f>IFERROR(VLOOKUP(TableHandbook[[#This Row],[UDC]],TableSTRPSCHUS[],7,FALSE),"")</f>
        <v/>
      </c>
      <c r="X82" s="231" t="str">
        <f>IFERROR(VLOOKUP(TableHandbook[[#This Row],[UDC]],TableSTRPSCMAT[],7,FALSE),"")</f>
        <v/>
      </c>
      <c r="Y82" s="231" t="str">
        <f>IFERROR(VLOOKUP(TableHandbook[[#This Row],[UDC]],TableSTRPSCSCI[],7,FALSE),"")</f>
        <v/>
      </c>
      <c r="Z82" s="231" t="str">
        <f>IFERROR(VLOOKUP(TableHandbook[[#This Row],[UDC]],TableSTRPSCFON[],7,FALSE),"")</f>
        <v/>
      </c>
      <c r="AA82" s="232" t="str">
        <f>IFERROR(VLOOKUP(TableHandbook[[#This Row],[UDC]],TableGCTESOL[],7,FALSE),"")</f>
        <v/>
      </c>
      <c r="AB82" s="231" t="str">
        <f>IFERROR(VLOOKUP(TableHandbook[[#This Row],[UDC]],TableMCTESOL[],7,FALSE),"")</f>
        <v>Core</v>
      </c>
      <c r="AC82" s="231" t="str">
        <f>IFERROR(VLOOKUP(TableHandbook[[#This Row],[UDC]],TableMCAPLING[],7,FALSE),"")</f>
        <v>Core</v>
      </c>
      <c r="AD82" s="232" t="str">
        <f>IFERROR(VLOOKUP(TableHandbook[[#This Row],[UDC]],TableGCEDHE[],7,FALSE),"")</f>
        <v/>
      </c>
      <c r="AE82" s="231" t="str">
        <f>IFERROR(VLOOKUP(TableHandbook[[#This Row],[UDC]],TableGCEDUC[],7,FALSE),"")</f>
        <v/>
      </c>
      <c r="AF82" s="231" t="str">
        <f>IFERROR(VLOOKUP(TableHandbook[[#This Row],[UDC]],TableGDEDUC[],7,FALSE),"")</f>
        <v/>
      </c>
      <c r="AG82" s="231" t="str">
        <f>IFERROR(VLOOKUP(TableHandbook[[#This Row],[UDC]],TableMJRPEDUPR[],7,FALSE),"")</f>
        <v/>
      </c>
      <c r="AH82" s="231" t="str">
        <f>IFERROR(VLOOKUP(TableHandbook[[#This Row],[UDC]],TableMJRPEDUSC[],7,FALSE),"")</f>
        <v/>
      </c>
      <c r="AI82" s="232" t="str">
        <f>IFERROR(VLOOKUP(TableHandbook[[#This Row],[UDC]],TableMCEDUC[],7,FALSE),"")</f>
        <v/>
      </c>
      <c r="AJ82" s="231" t="str">
        <f>IFERROR(VLOOKUP(TableHandbook[[#This Row],[UDC]],TableSPPECULIN[],7,FALSE),"")</f>
        <v/>
      </c>
      <c r="AK82" s="231" t="str">
        <f>IFERROR(VLOOKUP(TableHandbook[[#This Row],[UDC]],TableSPPELNTCH[],7,FALSE),"")</f>
        <v/>
      </c>
      <c r="AL82" s="231" t="str">
        <f>IFERROR(VLOOKUP(TableHandbook[[#This Row],[UDC]],TableSPPESTEME[],7,FALSE),"")</f>
        <v/>
      </c>
    </row>
    <row r="83" spans="1:38" x14ac:dyDescent="0.25">
      <c r="A83" s="2" t="s">
        <v>184</v>
      </c>
      <c r="B83" s="3">
        <v>2</v>
      </c>
      <c r="C83" s="3"/>
      <c r="D83" s="2" t="s">
        <v>434</v>
      </c>
      <c r="E83" s="3">
        <v>25</v>
      </c>
      <c r="F83" s="54" t="s">
        <v>348</v>
      </c>
      <c r="G83" s="55" t="str">
        <f>IFERROR(IF(VLOOKUP(TableHandbook[[#This Row],[UDC]],TableAvailabilities[],2,FALSE)&gt;0,"Y",""),"")</f>
        <v>Y</v>
      </c>
      <c r="H83" s="55" t="str">
        <f>IFERROR(IF(VLOOKUP(TableHandbook[[#This Row],[UDC]],TableAvailabilities[],3,FALSE)&gt;0,"Y",""),"")</f>
        <v>Y</v>
      </c>
      <c r="I83" s="55" t="str">
        <f>IFERROR(IF(VLOOKUP(TableHandbook[[#This Row],[UDC]],TableAvailabilities[],4,FALSE)&gt;0,"Y",""),"")</f>
        <v/>
      </c>
      <c r="J83" s="55" t="str">
        <f>IFERROR(IF(VLOOKUP(TableHandbook[[#This Row],[UDC]],TableAvailabilities[],5,FALSE)&gt;0,"Y",""),"")</f>
        <v/>
      </c>
      <c r="K83" s="55" t="str">
        <f>IFERROR(IF(VLOOKUP(TableHandbook[[#This Row],[UDC]],TableAvailabilities[],6,FALSE)&gt;0,"Y",""),"")</f>
        <v>Y</v>
      </c>
      <c r="L83" s="55" t="str">
        <f>IFERROR(IF(VLOOKUP(TableHandbook[[#This Row],[UDC]],TableAvailabilities[],7,FALSE)&gt;0,"Y",""),"")</f>
        <v>Y</v>
      </c>
      <c r="M83" s="55" t="str">
        <f>IFERROR(IF(VLOOKUP(TableHandbook[[#This Row],[UDC]],TableAvailabilities[],8,FALSE)&gt;0,"Y",""),"")</f>
        <v/>
      </c>
      <c r="N83" s="55" t="str">
        <f>IFERROR(IF(VLOOKUP(TableHandbook[[#This Row],[UDC]],TableAvailabilities[],9,FALSE)&gt;0,"Y",""),"")</f>
        <v/>
      </c>
      <c r="O83" s="230"/>
      <c r="P83" s="232" t="str">
        <f>IFERROR(VLOOKUP(TableHandbook[[#This Row],[UDC]],TableMCTEACH[],7,FALSE),"")</f>
        <v/>
      </c>
      <c r="Q83" s="231" t="str">
        <f>IFERROR(VLOOKUP(TableHandbook[[#This Row],[UDC]],TableMJRPTCHEC[],7,FALSE),"")</f>
        <v/>
      </c>
      <c r="R83" s="231" t="str">
        <f>IFERROR(VLOOKUP(TableHandbook[[#This Row],[UDC]],TableMJRPTCHPR[],7,FALSE),"")</f>
        <v/>
      </c>
      <c r="S83" s="231" t="str">
        <f>IFERROR(VLOOKUP(TableHandbook[[#This Row],[UDC]],TableMJRPTCHSC[],7,FALSE),"")</f>
        <v/>
      </c>
      <c r="T83" s="231" t="str">
        <f>IFERROR(VLOOKUP(TableHandbook[[#This Row],[UDC]],TableSTRPSCART[],7,FALSE),"")</f>
        <v/>
      </c>
      <c r="U83" s="231" t="str">
        <f>IFERROR(VLOOKUP(TableHandbook[[#This Row],[UDC]],TableSTRPSCENG[],7,FALSE),"")</f>
        <v/>
      </c>
      <c r="V83" s="231" t="str">
        <f>IFERROR(VLOOKUP(TableHandbook[[#This Row],[UDC]],TableSTRPSCHLP[],7,FALSE),"")</f>
        <v/>
      </c>
      <c r="W83" s="231" t="str">
        <f>IFERROR(VLOOKUP(TableHandbook[[#This Row],[UDC]],TableSTRPSCHUS[],7,FALSE),"")</f>
        <v/>
      </c>
      <c r="X83" s="231" t="str">
        <f>IFERROR(VLOOKUP(TableHandbook[[#This Row],[UDC]],TableSTRPSCMAT[],7,FALSE),"")</f>
        <v/>
      </c>
      <c r="Y83" s="231" t="str">
        <f>IFERROR(VLOOKUP(TableHandbook[[#This Row],[UDC]],TableSTRPSCSCI[],7,FALSE),"")</f>
        <v/>
      </c>
      <c r="Z83" s="231" t="str">
        <f>IFERROR(VLOOKUP(TableHandbook[[#This Row],[UDC]],TableSTRPSCFON[],7,FALSE),"")</f>
        <v/>
      </c>
      <c r="AA83" s="232" t="str">
        <f>IFERROR(VLOOKUP(TableHandbook[[#This Row],[UDC]],TableGCTESOL[],7,FALSE),"")</f>
        <v/>
      </c>
      <c r="AB83" s="231" t="str">
        <f>IFERROR(VLOOKUP(TableHandbook[[#This Row],[UDC]],TableMCTESOL[],7,FALSE),"")</f>
        <v>Core</v>
      </c>
      <c r="AC83" s="231" t="str">
        <f>IFERROR(VLOOKUP(TableHandbook[[#This Row],[UDC]],TableMCAPLING[],7,FALSE),"")</f>
        <v>Core</v>
      </c>
      <c r="AD83" s="232" t="str">
        <f>IFERROR(VLOOKUP(TableHandbook[[#This Row],[UDC]],TableGCEDHE[],7,FALSE),"")</f>
        <v/>
      </c>
      <c r="AE83" s="231" t="str">
        <f>IFERROR(VLOOKUP(TableHandbook[[#This Row],[UDC]],TableGCEDUC[],7,FALSE),"")</f>
        <v/>
      </c>
      <c r="AF83" s="231" t="str">
        <f>IFERROR(VLOOKUP(TableHandbook[[#This Row],[UDC]],TableGDEDUC[],7,FALSE),"")</f>
        <v/>
      </c>
      <c r="AG83" s="231" t="str">
        <f>IFERROR(VLOOKUP(TableHandbook[[#This Row],[UDC]],TableMJRPEDUPR[],7,FALSE),"")</f>
        <v/>
      </c>
      <c r="AH83" s="231" t="str">
        <f>IFERROR(VLOOKUP(TableHandbook[[#This Row],[UDC]],TableMJRPEDUSC[],7,FALSE),"")</f>
        <v/>
      </c>
      <c r="AI83" s="232" t="str">
        <f>IFERROR(VLOOKUP(TableHandbook[[#This Row],[UDC]],TableMCEDUC[],7,FALSE),"")</f>
        <v>Option</v>
      </c>
      <c r="AJ83" s="231" t="str">
        <f>IFERROR(VLOOKUP(TableHandbook[[#This Row],[UDC]],TableSPPECULIN[],7,FALSE),"")</f>
        <v>Core</v>
      </c>
      <c r="AK83" s="231" t="str">
        <f>IFERROR(VLOOKUP(TableHandbook[[#This Row],[UDC]],TableSPPELNTCH[],7,FALSE),"")</f>
        <v/>
      </c>
      <c r="AL83" s="231" t="str">
        <f>IFERROR(VLOOKUP(TableHandbook[[#This Row],[UDC]],TableSPPESTEME[],7,FALSE),"")</f>
        <v/>
      </c>
    </row>
    <row r="84" spans="1:38" x14ac:dyDescent="0.25">
      <c r="A84" s="2" t="s">
        <v>435</v>
      </c>
      <c r="B84" s="3">
        <v>0</v>
      </c>
      <c r="C84" s="3"/>
      <c r="D84" s="2" t="s">
        <v>436</v>
      </c>
      <c r="E84" s="3"/>
      <c r="F84" s="54"/>
      <c r="G84" s="55" t="str">
        <f>IFERROR(IF(VLOOKUP(TableHandbook[[#This Row],[UDC]],TableAvailabilities[],2,FALSE)&gt;0,"Y",""),"")</f>
        <v/>
      </c>
      <c r="H84" s="55" t="str">
        <f>IFERROR(IF(VLOOKUP(TableHandbook[[#This Row],[UDC]],TableAvailabilities[],3,FALSE)&gt;0,"Y",""),"")</f>
        <v/>
      </c>
      <c r="I84" s="55" t="str">
        <f>IFERROR(IF(VLOOKUP(TableHandbook[[#This Row],[UDC]],TableAvailabilities[],4,FALSE)&gt;0,"Y",""),"")</f>
        <v/>
      </c>
      <c r="J84" s="55" t="str">
        <f>IFERROR(IF(VLOOKUP(TableHandbook[[#This Row],[UDC]],TableAvailabilities[],5,FALSE)&gt;0,"Y",""),"")</f>
        <v/>
      </c>
      <c r="K84" s="55" t="str">
        <f>IFERROR(IF(VLOOKUP(TableHandbook[[#This Row],[UDC]],TableAvailabilities[],6,FALSE)&gt;0,"Y",""),"")</f>
        <v/>
      </c>
      <c r="L84" s="55" t="str">
        <f>IFERROR(IF(VLOOKUP(TableHandbook[[#This Row],[UDC]],TableAvailabilities[],7,FALSE)&gt;0,"Y",""),"")</f>
        <v/>
      </c>
      <c r="M84" s="55" t="str">
        <f>IFERROR(IF(VLOOKUP(TableHandbook[[#This Row],[UDC]],TableAvailabilities[],8,FALSE)&gt;0,"Y",""),"")</f>
        <v/>
      </c>
      <c r="N84" s="55" t="str">
        <f>IFERROR(IF(VLOOKUP(TableHandbook[[#This Row],[UDC]],TableAvailabilities[],9,FALSE)&gt;0,"Y",""),"")</f>
        <v/>
      </c>
      <c r="O84" s="230"/>
      <c r="P84" s="232" t="str">
        <f>IFERROR(VLOOKUP(TableHandbook[[#This Row],[UDC]],TableMCTEACH[],7,FALSE),"")</f>
        <v/>
      </c>
      <c r="Q84" s="231" t="str">
        <f>IFERROR(VLOOKUP(TableHandbook[[#This Row],[UDC]],TableMJRPTCHEC[],7,FALSE),"")</f>
        <v/>
      </c>
      <c r="R84" s="231" t="str">
        <f>IFERROR(VLOOKUP(TableHandbook[[#This Row],[UDC]],TableMJRPTCHPR[],7,FALSE),"")</f>
        <v/>
      </c>
      <c r="S84" s="231" t="str">
        <f>IFERROR(VLOOKUP(TableHandbook[[#This Row],[UDC]],TableMJRPTCHSC[],7,FALSE),"")</f>
        <v/>
      </c>
      <c r="T84" s="231" t="str">
        <f>IFERROR(VLOOKUP(TableHandbook[[#This Row],[UDC]],TableSTRPSCART[],7,FALSE),"")</f>
        <v/>
      </c>
      <c r="U84" s="231" t="str">
        <f>IFERROR(VLOOKUP(TableHandbook[[#This Row],[UDC]],TableSTRPSCENG[],7,FALSE),"")</f>
        <v/>
      </c>
      <c r="V84" s="231" t="str">
        <f>IFERROR(VLOOKUP(TableHandbook[[#This Row],[UDC]],TableSTRPSCHLP[],7,FALSE),"")</f>
        <v/>
      </c>
      <c r="W84" s="231" t="str">
        <f>IFERROR(VLOOKUP(TableHandbook[[#This Row],[UDC]],TableSTRPSCHUS[],7,FALSE),"")</f>
        <v/>
      </c>
      <c r="X84" s="231" t="str">
        <f>IFERROR(VLOOKUP(TableHandbook[[#This Row],[UDC]],TableSTRPSCMAT[],7,FALSE),"")</f>
        <v/>
      </c>
      <c r="Y84" s="231" t="str">
        <f>IFERROR(VLOOKUP(TableHandbook[[#This Row],[UDC]],TableSTRPSCSCI[],7,FALSE),"")</f>
        <v/>
      </c>
      <c r="Z84" s="231" t="str">
        <f>IFERROR(VLOOKUP(TableHandbook[[#This Row],[UDC]],TableSTRPSCFON[],7,FALSE),"")</f>
        <v/>
      </c>
      <c r="AA84" s="232" t="str">
        <f>IFERROR(VLOOKUP(TableHandbook[[#This Row],[UDC]],TableGCTESOL[],7,FALSE),"")</f>
        <v/>
      </c>
      <c r="AB84" s="231" t="str">
        <f>IFERROR(VLOOKUP(TableHandbook[[#This Row],[UDC]],TableMCTESOL[],7,FALSE),"")</f>
        <v/>
      </c>
      <c r="AC84" s="231" t="str">
        <f>IFERROR(VLOOKUP(TableHandbook[[#This Row],[UDC]],TableMCAPLING[],7,FALSE),"")</f>
        <v/>
      </c>
      <c r="AD84" s="232" t="str">
        <f>IFERROR(VLOOKUP(TableHandbook[[#This Row],[UDC]],TableGCEDHE[],7,FALSE),"")</f>
        <v/>
      </c>
      <c r="AE84" s="231" t="str">
        <f>IFERROR(VLOOKUP(TableHandbook[[#This Row],[UDC]],TableGCEDUC[],7,FALSE),"")</f>
        <v/>
      </c>
      <c r="AF84" s="231" t="str">
        <f>IFERROR(VLOOKUP(TableHandbook[[#This Row],[UDC]],TableGDEDUC[],7,FALSE),"")</f>
        <v>Core</v>
      </c>
      <c r="AG84" s="231" t="str">
        <f>IFERROR(VLOOKUP(TableHandbook[[#This Row],[UDC]],TableMJRPEDUPR[],7,FALSE),"")</f>
        <v/>
      </c>
      <c r="AH84" s="231" t="str">
        <f>IFERROR(VLOOKUP(TableHandbook[[#This Row],[UDC]],TableMJRPEDUSC[],7,FALSE),"")</f>
        <v/>
      </c>
      <c r="AI84" s="232" t="str">
        <f>IFERROR(VLOOKUP(TableHandbook[[#This Row],[UDC]],TableMCEDUC[],7,FALSE),"")</f>
        <v/>
      </c>
      <c r="AJ84" s="231" t="str">
        <f>IFERROR(VLOOKUP(TableHandbook[[#This Row],[UDC]],TableSPPECULIN[],7,FALSE),"")</f>
        <v/>
      </c>
      <c r="AK84" s="231" t="str">
        <f>IFERROR(VLOOKUP(TableHandbook[[#This Row],[UDC]],TableSPPELNTCH[],7,FALSE),"")</f>
        <v/>
      </c>
      <c r="AL84" s="231" t="str">
        <f>IFERROR(VLOOKUP(TableHandbook[[#This Row],[UDC]],TableSPPESTEME[],7,FALSE),"")</f>
        <v/>
      </c>
    </row>
    <row r="85" spans="1:38" x14ac:dyDescent="0.25">
      <c r="A85" s="2" t="s">
        <v>315</v>
      </c>
      <c r="B85" s="3">
        <v>1</v>
      </c>
      <c r="C85" s="3"/>
      <c r="D85" s="2" t="s">
        <v>250</v>
      </c>
      <c r="E85" s="3">
        <v>200</v>
      </c>
      <c r="F85" s="54"/>
      <c r="G85" s="55" t="str">
        <f>IFERROR(IF(VLOOKUP(TableHandbook[[#This Row],[UDC]],TableAvailabilities[],2,FALSE)&gt;0,"Y",""),"")</f>
        <v/>
      </c>
      <c r="H85" s="55" t="str">
        <f>IFERROR(IF(VLOOKUP(TableHandbook[[#This Row],[UDC]],TableAvailabilities[],3,FALSE)&gt;0,"Y",""),"")</f>
        <v/>
      </c>
      <c r="I85" s="55" t="str">
        <f>IFERROR(IF(VLOOKUP(TableHandbook[[#This Row],[UDC]],TableAvailabilities[],4,FALSE)&gt;0,"Y",""),"")</f>
        <v/>
      </c>
      <c r="J85" s="55" t="str">
        <f>IFERROR(IF(VLOOKUP(TableHandbook[[#This Row],[UDC]],TableAvailabilities[],5,FALSE)&gt;0,"Y",""),"")</f>
        <v/>
      </c>
      <c r="K85" s="55" t="str">
        <f>IFERROR(IF(VLOOKUP(TableHandbook[[#This Row],[UDC]],TableAvailabilities[],6,FALSE)&gt;0,"Y",""),"")</f>
        <v/>
      </c>
      <c r="L85" s="55" t="str">
        <f>IFERROR(IF(VLOOKUP(TableHandbook[[#This Row],[UDC]],TableAvailabilities[],7,FALSE)&gt;0,"Y",""),"")</f>
        <v/>
      </c>
      <c r="M85" s="55" t="str">
        <f>IFERROR(IF(VLOOKUP(TableHandbook[[#This Row],[UDC]],TableAvailabilities[],8,FALSE)&gt;0,"Y",""),"")</f>
        <v/>
      </c>
      <c r="N85" s="55" t="str">
        <f>IFERROR(IF(VLOOKUP(TableHandbook[[#This Row],[UDC]],TableAvailabilities[],9,FALSE)&gt;0,"Y",""),"")</f>
        <v/>
      </c>
      <c r="O85" s="230"/>
      <c r="P85" s="232" t="str">
        <f>IFERROR(VLOOKUP(TableHandbook[[#This Row],[UDC]],TableMCTEACH[],7,FALSE),"")</f>
        <v/>
      </c>
      <c r="Q85" s="231" t="str">
        <f>IFERROR(VLOOKUP(TableHandbook[[#This Row],[UDC]],TableMJRPTCHEC[],7,FALSE),"")</f>
        <v/>
      </c>
      <c r="R85" s="231" t="str">
        <f>IFERROR(VLOOKUP(TableHandbook[[#This Row],[UDC]],TableMJRPTCHPR[],7,FALSE),"")</f>
        <v/>
      </c>
      <c r="S85" s="231" t="str">
        <f>IFERROR(VLOOKUP(TableHandbook[[#This Row],[UDC]],TableMJRPTCHSC[],7,FALSE),"")</f>
        <v/>
      </c>
      <c r="T85" s="231" t="str">
        <f>IFERROR(VLOOKUP(TableHandbook[[#This Row],[UDC]],TableSTRPSCART[],7,FALSE),"")</f>
        <v/>
      </c>
      <c r="U85" s="231" t="str">
        <f>IFERROR(VLOOKUP(TableHandbook[[#This Row],[UDC]],TableSTRPSCENG[],7,FALSE),"")</f>
        <v/>
      </c>
      <c r="V85" s="231" t="str">
        <f>IFERROR(VLOOKUP(TableHandbook[[#This Row],[UDC]],TableSTRPSCHLP[],7,FALSE),"")</f>
        <v/>
      </c>
      <c r="W85" s="231" t="str">
        <f>IFERROR(VLOOKUP(TableHandbook[[#This Row],[UDC]],TableSTRPSCHUS[],7,FALSE),"")</f>
        <v/>
      </c>
      <c r="X85" s="231" t="str">
        <f>IFERROR(VLOOKUP(TableHandbook[[#This Row],[UDC]],TableSTRPSCMAT[],7,FALSE),"")</f>
        <v/>
      </c>
      <c r="Y85" s="231" t="str">
        <f>IFERROR(VLOOKUP(TableHandbook[[#This Row],[UDC]],TableSTRPSCSCI[],7,FALSE),"")</f>
        <v/>
      </c>
      <c r="Z85" s="231" t="str">
        <f>IFERROR(VLOOKUP(TableHandbook[[#This Row],[UDC]],TableSTRPSCFON[],7,FALSE),"")</f>
        <v/>
      </c>
      <c r="AA85" s="232" t="str">
        <f>IFERROR(VLOOKUP(TableHandbook[[#This Row],[UDC]],TableGCTESOL[],7,FALSE),"")</f>
        <v/>
      </c>
      <c r="AB85" s="231" t="str">
        <f>IFERROR(VLOOKUP(TableHandbook[[#This Row],[UDC]],TableMCTESOL[],7,FALSE),"")</f>
        <v/>
      </c>
      <c r="AC85" s="231" t="str">
        <f>IFERROR(VLOOKUP(TableHandbook[[#This Row],[UDC]],TableMCAPLING[],7,FALSE),"")</f>
        <v/>
      </c>
      <c r="AD85" s="232" t="str">
        <f>IFERROR(VLOOKUP(TableHandbook[[#This Row],[UDC]],TableGCEDHE[],7,FALSE),"")</f>
        <v/>
      </c>
      <c r="AE85" s="231" t="str">
        <f>IFERROR(VLOOKUP(TableHandbook[[#This Row],[UDC]],TableGCEDUC[],7,FALSE),"")</f>
        <v/>
      </c>
      <c r="AF85" s="231" t="str">
        <f>IFERROR(VLOOKUP(TableHandbook[[#This Row],[UDC]],TableGDEDUC[],7,FALSE),"")</f>
        <v>Core</v>
      </c>
      <c r="AG85" s="231" t="str">
        <f>IFERROR(VLOOKUP(TableHandbook[[#This Row],[UDC]],TableMJRPEDUPR[],7,FALSE),"")</f>
        <v/>
      </c>
      <c r="AH85" s="231" t="str">
        <f>IFERROR(VLOOKUP(TableHandbook[[#This Row],[UDC]],TableMJRPEDUSC[],7,FALSE),"")</f>
        <v/>
      </c>
      <c r="AI85" s="232" t="str">
        <f>IFERROR(VLOOKUP(TableHandbook[[#This Row],[UDC]],TableMCEDUC[],7,FALSE),"")</f>
        <v/>
      </c>
      <c r="AJ85" s="231" t="str">
        <f>IFERROR(VLOOKUP(TableHandbook[[#This Row],[UDC]],TableSPPECULIN[],7,FALSE),"")</f>
        <v/>
      </c>
      <c r="AK85" s="231" t="str">
        <f>IFERROR(VLOOKUP(TableHandbook[[#This Row],[UDC]],TableSPPELNTCH[],7,FALSE),"")</f>
        <v/>
      </c>
      <c r="AL85" s="231" t="str">
        <f>IFERROR(VLOOKUP(TableHandbook[[#This Row],[UDC]],TableSPPESTEME[],7,FALSE),"")</f>
        <v/>
      </c>
    </row>
    <row r="86" spans="1:38" x14ac:dyDescent="0.25">
      <c r="A86" s="2" t="s">
        <v>317</v>
      </c>
      <c r="B86" s="3">
        <v>1</v>
      </c>
      <c r="C86" s="3"/>
      <c r="D86" s="2" t="s">
        <v>251</v>
      </c>
      <c r="E86" s="3">
        <v>200</v>
      </c>
      <c r="F86" s="54"/>
      <c r="G86" s="55" t="str">
        <f>IFERROR(IF(VLOOKUP(TableHandbook[[#This Row],[UDC]],TableAvailabilities[],2,FALSE)&gt;0,"Y",""),"")</f>
        <v/>
      </c>
      <c r="H86" s="55" t="str">
        <f>IFERROR(IF(VLOOKUP(TableHandbook[[#This Row],[UDC]],TableAvailabilities[],3,FALSE)&gt;0,"Y",""),"")</f>
        <v/>
      </c>
      <c r="I86" s="55" t="str">
        <f>IFERROR(IF(VLOOKUP(TableHandbook[[#This Row],[UDC]],TableAvailabilities[],4,FALSE)&gt;0,"Y",""),"")</f>
        <v/>
      </c>
      <c r="J86" s="55" t="str">
        <f>IFERROR(IF(VLOOKUP(TableHandbook[[#This Row],[UDC]],TableAvailabilities[],5,FALSE)&gt;0,"Y",""),"")</f>
        <v/>
      </c>
      <c r="K86" s="55" t="str">
        <f>IFERROR(IF(VLOOKUP(TableHandbook[[#This Row],[UDC]],TableAvailabilities[],6,FALSE)&gt;0,"Y",""),"")</f>
        <v/>
      </c>
      <c r="L86" s="55" t="str">
        <f>IFERROR(IF(VLOOKUP(TableHandbook[[#This Row],[UDC]],TableAvailabilities[],7,FALSE)&gt;0,"Y",""),"")</f>
        <v/>
      </c>
      <c r="M86" s="55" t="str">
        <f>IFERROR(IF(VLOOKUP(TableHandbook[[#This Row],[UDC]],TableAvailabilities[],8,FALSE)&gt;0,"Y",""),"")</f>
        <v/>
      </c>
      <c r="N86" s="55" t="str">
        <f>IFERROR(IF(VLOOKUP(TableHandbook[[#This Row],[UDC]],TableAvailabilities[],9,FALSE)&gt;0,"Y",""),"")</f>
        <v/>
      </c>
      <c r="O86" s="230"/>
      <c r="P86" s="232" t="str">
        <f>IFERROR(VLOOKUP(TableHandbook[[#This Row],[UDC]],TableMCTEACH[],7,FALSE),"")</f>
        <v/>
      </c>
      <c r="Q86" s="231" t="str">
        <f>IFERROR(VLOOKUP(TableHandbook[[#This Row],[UDC]],TableMJRPTCHEC[],7,FALSE),"")</f>
        <v/>
      </c>
      <c r="R86" s="231" t="str">
        <f>IFERROR(VLOOKUP(TableHandbook[[#This Row],[UDC]],TableMJRPTCHPR[],7,FALSE),"")</f>
        <v/>
      </c>
      <c r="S86" s="231" t="str">
        <f>IFERROR(VLOOKUP(TableHandbook[[#This Row],[UDC]],TableMJRPTCHSC[],7,FALSE),"")</f>
        <v/>
      </c>
      <c r="T86" s="231" t="str">
        <f>IFERROR(VLOOKUP(TableHandbook[[#This Row],[UDC]],TableSTRPSCART[],7,FALSE),"")</f>
        <v/>
      </c>
      <c r="U86" s="231" t="str">
        <f>IFERROR(VLOOKUP(TableHandbook[[#This Row],[UDC]],TableSTRPSCENG[],7,FALSE),"")</f>
        <v/>
      </c>
      <c r="V86" s="231" t="str">
        <f>IFERROR(VLOOKUP(TableHandbook[[#This Row],[UDC]],TableSTRPSCHLP[],7,FALSE),"")</f>
        <v/>
      </c>
      <c r="W86" s="231" t="str">
        <f>IFERROR(VLOOKUP(TableHandbook[[#This Row],[UDC]],TableSTRPSCHUS[],7,FALSE),"")</f>
        <v/>
      </c>
      <c r="X86" s="231" t="str">
        <f>IFERROR(VLOOKUP(TableHandbook[[#This Row],[UDC]],TableSTRPSCMAT[],7,FALSE),"")</f>
        <v/>
      </c>
      <c r="Y86" s="231" t="str">
        <f>IFERROR(VLOOKUP(TableHandbook[[#This Row],[UDC]],TableSTRPSCSCI[],7,FALSE),"")</f>
        <v/>
      </c>
      <c r="Z86" s="231" t="str">
        <f>IFERROR(VLOOKUP(TableHandbook[[#This Row],[UDC]],TableSTRPSCFON[],7,FALSE),"")</f>
        <v/>
      </c>
      <c r="AA86" s="232" t="str">
        <f>IFERROR(VLOOKUP(TableHandbook[[#This Row],[UDC]],TableGCTESOL[],7,FALSE),"")</f>
        <v/>
      </c>
      <c r="AB86" s="231" t="str">
        <f>IFERROR(VLOOKUP(TableHandbook[[#This Row],[UDC]],TableMCTESOL[],7,FALSE),"")</f>
        <v/>
      </c>
      <c r="AC86" s="231" t="str">
        <f>IFERROR(VLOOKUP(TableHandbook[[#This Row],[UDC]],TableMCAPLING[],7,FALSE),"")</f>
        <v/>
      </c>
      <c r="AD86" s="232" t="str">
        <f>IFERROR(VLOOKUP(TableHandbook[[#This Row],[UDC]],TableGCEDHE[],7,FALSE),"")</f>
        <v/>
      </c>
      <c r="AE86" s="231" t="str">
        <f>IFERROR(VLOOKUP(TableHandbook[[#This Row],[UDC]],TableGCEDUC[],7,FALSE),"")</f>
        <v/>
      </c>
      <c r="AF86" s="231" t="str">
        <f>IFERROR(VLOOKUP(TableHandbook[[#This Row],[UDC]],TableGDEDUC[],7,FALSE),"")</f>
        <v>Core</v>
      </c>
      <c r="AG86" s="231" t="str">
        <f>IFERROR(VLOOKUP(TableHandbook[[#This Row],[UDC]],TableMJRPEDUPR[],7,FALSE),"")</f>
        <v/>
      </c>
      <c r="AH86" s="231" t="str">
        <f>IFERROR(VLOOKUP(TableHandbook[[#This Row],[UDC]],TableMJRPEDUSC[],7,FALSE),"")</f>
        <v/>
      </c>
      <c r="AI86" s="232" t="str">
        <f>IFERROR(VLOOKUP(TableHandbook[[#This Row],[UDC]],TableMCEDUC[],7,FALSE),"")</f>
        <v/>
      </c>
      <c r="AJ86" s="231" t="str">
        <f>IFERROR(VLOOKUP(TableHandbook[[#This Row],[UDC]],TableSPPECULIN[],7,FALSE),"")</f>
        <v/>
      </c>
      <c r="AK86" s="231" t="str">
        <f>IFERROR(VLOOKUP(TableHandbook[[#This Row],[UDC]],TableSPPELNTCH[],7,FALSE),"")</f>
        <v/>
      </c>
      <c r="AL86" s="231" t="str">
        <f>IFERROR(VLOOKUP(TableHandbook[[#This Row],[UDC]],TableSPPESTEME[],7,FALSE),"")</f>
        <v/>
      </c>
    </row>
    <row r="87" spans="1:38" x14ac:dyDescent="0.25">
      <c r="A87" s="2" t="s">
        <v>126</v>
      </c>
      <c r="B87" s="3">
        <v>2</v>
      </c>
      <c r="C87" s="3"/>
      <c r="D87" s="2" t="s">
        <v>14</v>
      </c>
      <c r="E87" s="3">
        <v>400</v>
      </c>
      <c r="F87" s="54"/>
      <c r="G87" s="55" t="str">
        <f>IFERROR(IF(VLOOKUP(TableHandbook[[#This Row],[UDC]],TableAvailabilities[],2,FALSE)&gt;0,"Y",""),"")</f>
        <v/>
      </c>
      <c r="H87" s="55" t="str">
        <f>IFERROR(IF(VLOOKUP(TableHandbook[[#This Row],[UDC]],TableAvailabilities[],3,FALSE)&gt;0,"Y",""),"")</f>
        <v/>
      </c>
      <c r="I87" s="55" t="str">
        <f>IFERROR(IF(VLOOKUP(TableHandbook[[#This Row],[UDC]],TableAvailabilities[],4,FALSE)&gt;0,"Y",""),"")</f>
        <v/>
      </c>
      <c r="J87" s="55" t="str">
        <f>IFERROR(IF(VLOOKUP(TableHandbook[[#This Row],[UDC]],TableAvailabilities[],5,FALSE)&gt;0,"Y",""),"")</f>
        <v/>
      </c>
      <c r="K87" s="55" t="str">
        <f>IFERROR(IF(VLOOKUP(TableHandbook[[#This Row],[UDC]],TableAvailabilities[],6,FALSE)&gt;0,"Y",""),"")</f>
        <v/>
      </c>
      <c r="L87" s="55" t="str">
        <f>IFERROR(IF(VLOOKUP(TableHandbook[[#This Row],[UDC]],TableAvailabilities[],7,FALSE)&gt;0,"Y",""),"")</f>
        <v/>
      </c>
      <c r="M87" s="55" t="str">
        <f>IFERROR(IF(VLOOKUP(TableHandbook[[#This Row],[UDC]],TableAvailabilities[],8,FALSE)&gt;0,"Y",""),"")</f>
        <v/>
      </c>
      <c r="N87" s="55" t="str">
        <f>IFERROR(IF(VLOOKUP(TableHandbook[[#This Row],[UDC]],TableAvailabilities[],9,FALSE)&gt;0,"Y",""),"")</f>
        <v/>
      </c>
      <c r="O87" s="230"/>
      <c r="P87" s="232" t="str">
        <f>IFERROR(VLOOKUP(TableHandbook[[#This Row],[UDC]],TableMCTEACH[],7,FALSE),"")</f>
        <v>Core</v>
      </c>
      <c r="Q87" s="231" t="str">
        <f>IFERROR(VLOOKUP(TableHandbook[[#This Row],[UDC]],TableMJRPTCHEC[],7,FALSE),"")</f>
        <v/>
      </c>
      <c r="R87" s="231" t="str">
        <f>IFERROR(VLOOKUP(TableHandbook[[#This Row],[UDC]],TableMJRPTCHPR[],7,FALSE),"")</f>
        <v/>
      </c>
      <c r="S87" s="231" t="str">
        <f>IFERROR(VLOOKUP(TableHandbook[[#This Row],[UDC]],TableMJRPTCHSC[],7,FALSE),"")</f>
        <v/>
      </c>
      <c r="T87" s="231" t="str">
        <f>IFERROR(VLOOKUP(TableHandbook[[#This Row],[UDC]],TableSTRPSCART[],7,FALSE),"")</f>
        <v/>
      </c>
      <c r="U87" s="231" t="str">
        <f>IFERROR(VLOOKUP(TableHandbook[[#This Row],[UDC]],TableSTRPSCENG[],7,FALSE),"")</f>
        <v/>
      </c>
      <c r="V87" s="231" t="str">
        <f>IFERROR(VLOOKUP(TableHandbook[[#This Row],[UDC]],TableSTRPSCHLP[],7,FALSE),"")</f>
        <v/>
      </c>
      <c r="W87" s="231" t="str">
        <f>IFERROR(VLOOKUP(TableHandbook[[#This Row],[UDC]],TableSTRPSCHUS[],7,FALSE),"")</f>
        <v/>
      </c>
      <c r="X87" s="231" t="str">
        <f>IFERROR(VLOOKUP(TableHandbook[[#This Row],[UDC]],TableSTRPSCMAT[],7,FALSE),"")</f>
        <v/>
      </c>
      <c r="Y87" s="231" t="str">
        <f>IFERROR(VLOOKUP(TableHandbook[[#This Row],[UDC]],TableSTRPSCSCI[],7,FALSE),"")</f>
        <v/>
      </c>
      <c r="Z87" s="231" t="str">
        <f>IFERROR(VLOOKUP(TableHandbook[[#This Row],[UDC]],TableSTRPSCFON[],7,FALSE),"")</f>
        <v/>
      </c>
      <c r="AA87" s="232" t="str">
        <f>IFERROR(VLOOKUP(TableHandbook[[#This Row],[UDC]],TableGCTESOL[],7,FALSE),"")</f>
        <v/>
      </c>
      <c r="AB87" s="231" t="str">
        <f>IFERROR(VLOOKUP(TableHandbook[[#This Row],[UDC]],TableMCTESOL[],7,FALSE),"")</f>
        <v/>
      </c>
      <c r="AC87" s="231" t="str">
        <f>IFERROR(VLOOKUP(TableHandbook[[#This Row],[UDC]],TableMCAPLING[],7,FALSE),"")</f>
        <v/>
      </c>
      <c r="AD87" s="232" t="str">
        <f>IFERROR(VLOOKUP(TableHandbook[[#This Row],[UDC]],TableGCEDHE[],7,FALSE),"")</f>
        <v/>
      </c>
      <c r="AE87" s="231" t="str">
        <f>IFERROR(VLOOKUP(TableHandbook[[#This Row],[UDC]],TableGCEDUC[],7,FALSE),"")</f>
        <v/>
      </c>
      <c r="AF87" s="231" t="str">
        <f>IFERROR(VLOOKUP(TableHandbook[[#This Row],[UDC]],TableGDEDUC[],7,FALSE),"")</f>
        <v/>
      </c>
      <c r="AG87" s="231" t="str">
        <f>IFERROR(VLOOKUP(TableHandbook[[#This Row],[UDC]],TableMJRPEDUPR[],7,FALSE),"")</f>
        <v/>
      </c>
      <c r="AH87" s="231" t="str">
        <f>IFERROR(VLOOKUP(TableHandbook[[#This Row],[UDC]],TableMJRPEDUSC[],7,FALSE),"")</f>
        <v/>
      </c>
      <c r="AI87" s="232" t="str">
        <f>IFERROR(VLOOKUP(TableHandbook[[#This Row],[UDC]],TableMCEDUC[],7,FALSE),"")</f>
        <v/>
      </c>
      <c r="AJ87" s="231" t="str">
        <f>IFERROR(VLOOKUP(TableHandbook[[#This Row],[UDC]],TableSPPECULIN[],7,FALSE),"")</f>
        <v/>
      </c>
      <c r="AK87" s="231" t="str">
        <f>IFERROR(VLOOKUP(TableHandbook[[#This Row],[UDC]],TableSPPELNTCH[],7,FALSE),"")</f>
        <v/>
      </c>
      <c r="AL87" s="231" t="str">
        <f>IFERROR(VLOOKUP(TableHandbook[[#This Row],[UDC]],TableSPPESTEME[],7,FALSE),"")</f>
        <v/>
      </c>
    </row>
    <row r="88" spans="1:38" x14ac:dyDescent="0.25">
      <c r="A88" s="2" t="s">
        <v>129</v>
      </c>
      <c r="B88" s="3">
        <v>2</v>
      </c>
      <c r="C88" s="3"/>
      <c r="D88" s="2" t="s">
        <v>38</v>
      </c>
      <c r="E88" s="3">
        <v>400</v>
      </c>
      <c r="F88" s="54"/>
      <c r="G88" s="55" t="str">
        <f>IFERROR(IF(VLOOKUP(TableHandbook[[#This Row],[UDC]],TableAvailabilities[],2,FALSE)&gt;0,"Y",""),"")</f>
        <v/>
      </c>
      <c r="H88" s="55" t="str">
        <f>IFERROR(IF(VLOOKUP(TableHandbook[[#This Row],[UDC]],TableAvailabilities[],3,FALSE)&gt;0,"Y",""),"")</f>
        <v/>
      </c>
      <c r="I88" s="55" t="str">
        <f>IFERROR(IF(VLOOKUP(TableHandbook[[#This Row],[UDC]],TableAvailabilities[],4,FALSE)&gt;0,"Y",""),"")</f>
        <v/>
      </c>
      <c r="J88" s="55" t="str">
        <f>IFERROR(IF(VLOOKUP(TableHandbook[[#This Row],[UDC]],TableAvailabilities[],5,FALSE)&gt;0,"Y",""),"")</f>
        <v/>
      </c>
      <c r="K88" s="55" t="str">
        <f>IFERROR(IF(VLOOKUP(TableHandbook[[#This Row],[UDC]],TableAvailabilities[],6,FALSE)&gt;0,"Y",""),"")</f>
        <v/>
      </c>
      <c r="L88" s="55" t="str">
        <f>IFERROR(IF(VLOOKUP(TableHandbook[[#This Row],[UDC]],TableAvailabilities[],7,FALSE)&gt;0,"Y",""),"")</f>
        <v/>
      </c>
      <c r="M88" s="55" t="str">
        <f>IFERROR(IF(VLOOKUP(TableHandbook[[#This Row],[UDC]],TableAvailabilities[],8,FALSE)&gt;0,"Y",""),"")</f>
        <v/>
      </c>
      <c r="N88" s="55" t="str">
        <f>IFERROR(IF(VLOOKUP(TableHandbook[[#This Row],[UDC]],TableAvailabilities[],9,FALSE)&gt;0,"Y",""),"")</f>
        <v/>
      </c>
      <c r="O88" s="230"/>
      <c r="P88" s="232" t="str">
        <f>IFERROR(VLOOKUP(TableHandbook[[#This Row],[UDC]],TableMCTEACH[],7,FALSE),"")</f>
        <v>Core</v>
      </c>
      <c r="Q88" s="231" t="str">
        <f>IFERROR(VLOOKUP(TableHandbook[[#This Row],[UDC]],TableMJRPTCHEC[],7,FALSE),"")</f>
        <v/>
      </c>
      <c r="R88" s="231" t="str">
        <f>IFERROR(VLOOKUP(TableHandbook[[#This Row],[UDC]],TableMJRPTCHPR[],7,FALSE),"")</f>
        <v/>
      </c>
      <c r="S88" s="231" t="str">
        <f>IFERROR(VLOOKUP(TableHandbook[[#This Row],[UDC]],TableMJRPTCHSC[],7,FALSE),"")</f>
        <v/>
      </c>
      <c r="T88" s="231" t="str">
        <f>IFERROR(VLOOKUP(TableHandbook[[#This Row],[UDC]],TableSTRPSCART[],7,FALSE),"")</f>
        <v/>
      </c>
      <c r="U88" s="231" t="str">
        <f>IFERROR(VLOOKUP(TableHandbook[[#This Row],[UDC]],TableSTRPSCENG[],7,FALSE),"")</f>
        <v/>
      </c>
      <c r="V88" s="231" t="str">
        <f>IFERROR(VLOOKUP(TableHandbook[[#This Row],[UDC]],TableSTRPSCHLP[],7,FALSE),"")</f>
        <v/>
      </c>
      <c r="W88" s="231" t="str">
        <f>IFERROR(VLOOKUP(TableHandbook[[#This Row],[UDC]],TableSTRPSCHUS[],7,FALSE),"")</f>
        <v/>
      </c>
      <c r="X88" s="231" t="str">
        <f>IFERROR(VLOOKUP(TableHandbook[[#This Row],[UDC]],TableSTRPSCMAT[],7,FALSE),"")</f>
        <v/>
      </c>
      <c r="Y88" s="231" t="str">
        <f>IFERROR(VLOOKUP(TableHandbook[[#This Row],[UDC]],TableSTRPSCSCI[],7,FALSE),"")</f>
        <v/>
      </c>
      <c r="Z88" s="231" t="str">
        <f>IFERROR(VLOOKUP(TableHandbook[[#This Row],[UDC]],TableSTRPSCFON[],7,FALSE),"")</f>
        <v/>
      </c>
      <c r="AA88" s="232" t="str">
        <f>IFERROR(VLOOKUP(TableHandbook[[#This Row],[UDC]],TableGCTESOL[],7,FALSE),"")</f>
        <v/>
      </c>
      <c r="AB88" s="231" t="str">
        <f>IFERROR(VLOOKUP(TableHandbook[[#This Row],[UDC]],TableMCTESOL[],7,FALSE),"")</f>
        <v/>
      </c>
      <c r="AC88" s="231" t="str">
        <f>IFERROR(VLOOKUP(TableHandbook[[#This Row],[UDC]],TableMCAPLING[],7,FALSE),"")</f>
        <v/>
      </c>
      <c r="AD88" s="232" t="str">
        <f>IFERROR(VLOOKUP(TableHandbook[[#This Row],[UDC]],TableGCEDHE[],7,FALSE),"")</f>
        <v/>
      </c>
      <c r="AE88" s="231" t="str">
        <f>IFERROR(VLOOKUP(TableHandbook[[#This Row],[UDC]],TableGCEDUC[],7,FALSE),"")</f>
        <v/>
      </c>
      <c r="AF88" s="231" t="str">
        <f>IFERROR(VLOOKUP(TableHandbook[[#This Row],[UDC]],TableGDEDUC[],7,FALSE),"")</f>
        <v/>
      </c>
      <c r="AG88" s="231" t="str">
        <f>IFERROR(VLOOKUP(TableHandbook[[#This Row],[UDC]],TableMJRPEDUPR[],7,FALSE),"")</f>
        <v/>
      </c>
      <c r="AH88" s="231" t="str">
        <f>IFERROR(VLOOKUP(TableHandbook[[#This Row],[UDC]],TableMJRPEDUSC[],7,FALSE),"")</f>
        <v/>
      </c>
      <c r="AI88" s="232" t="str">
        <f>IFERROR(VLOOKUP(TableHandbook[[#This Row],[UDC]],TableMCEDUC[],7,FALSE),"")</f>
        <v/>
      </c>
      <c r="AJ88" s="231" t="str">
        <f>IFERROR(VLOOKUP(TableHandbook[[#This Row],[UDC]],TableSPPECULIN[],7,FALSE),"")</f>
        <v/>
      </c>
      <c r="AK88" s="231" t="str">
        <f>IFERROR(VLOOKUP(TableHandbook[[#This Row],[UDC]],TableSPPELNTCH[],7,FALSE),"")</f>
        <v/>
      </c>
      <c r="AL88" s="231" t="str">
        <f>IFERROR(VLOOKUP(TableHandbook[[#This Row],[UDC]],TableSPPESTEME[],7,FALSE),"")</f>
        <v/>
      </c>
    </row>
    <row r="89" spans="1:38" x14ac:dyDescent="0.25">
      <c r="A89" s="2" t="s">
        <v>131</v>
      </c>
      <c r="B89" s="3">
        <v>2</v>
      </c>
      <c r="C89" s="3"/>
      <c r="D89" s="2" t="s">
        <v>130</v>
      </c>
      <c r="E89" s="3">
        <v>400</v>
      </c>
      <c r="F89" s="54"/>
      <c r="G89" s="55" t="str">
        <f>IFERROR(IF(VLOOKUP(TableHandbook[[#This Row],[UDC]],TableAvailabilities[],2,FALSE)&gt;0,"Y",""),"")</f>
        <v/>
      </c>
      <c r="H89" s="55" t="str">
        <f>IFERROR(IF(VLOOKUP(TableHandbook[[#This Row],[UDC]],TableAvailabilities[],3,FALSE)&gt;0,"Y",""),"")</f>
        <v/>
      </c>
      <c r="I89" s="55" t="str">
        <f>IFERROR(IF(VLOOKUP(TableHandbook[[#This Row],[UDC]],TableAvailabilities[],4,FALSE)&gt;0,"Y",""),"")</f>
        <v/>
      </c>
      <c r="J89" s="55" t="str">
        <f>IFERROR(IF(VLOOKUP(TableHandbook[[#This Row],[UDC]],TableAvailabilities[],5,FALSE)&gt;0,"Y",""),"")</f>
        <v/>
      </c>
      <c r="K89" s="55" t="str">
        <f>IFERROR(IF(VLOOKUP(TableHandbook[[#This Row],[UDC]],TableAvailabilities[],6,FALSE)&gt;0,"Y",""),"")</f>
        <v/>
      </c>
      <c r="L89" s="55" t="str">
        <f>IFERROR(IF(VLOOKUP(TableHandbook[[#This Row],[UDC]],TableAvailabilities[],7,FALSE)&gt;0,"Y",""),"")</f>
        <v/>
      </c>
      <c r="M89" s="55" t="str">
        <f>IFERROR(IF(VLOOKUP(TableHandbook[[#This Row],[UDC]],TableAvailabilities[],8,FALSE)&gt;0,"Y",""),"")</f>
        <v/>
      </c>
      <c r="N89" s="55" t="str">
        <f>IFERROR(IF(VLOOKUP(TableHandbook[[#This Row],[UDC]],TableAvailabilities[],9,FALSE)&gt;0,"Y",""),"")</f>
        <v/>
      </c>
      <c r="O89" s="230"/>
      <c r="P89" s="232" t="str">
        <f>IFERROR(VLOOKUP(TableHandbook[[#This Row],[UDC]],TableMCTEACH[],7,FALSE),"")</f>
        <v>Core</v>
      </c>
      <c r="Q89" s="231" t="str">
        <f>IFERROR(VLOOKUP(TableHandbook[[#This Row],[UDC]],TableMJRPTCHEC[],7,FALSE),"")</f>
        <v/>
      </c>
      <c r="R89" s="231" t="str">
        <f>IFERROR(VLOOKUP(TableHandbook[[#This Row],[UDC]],TableMJRPTCHPR[],7,FALSE),"")</f>
        <v/>
      </c>
      <c r="S89" s="231" t="str">
        <f>IFERROR(VLOOKUP(TableHandbook[[#This Row],[UDC]],TableMJRPTCHSC[],7,FALSE),"")</f>
        <v/>
      </c>
      <c r="T89" s="231" t="str">
        <f>IFERROR(VLOOKUP(TableHandbook[[#This Row],[UDC]],TableSTRPSCART[],7,FALSE),"")</f>
        <v/>
      </c>
      <c r="U89" s="231" t="str">
        <f>IFERROR(VLOOKUP(TableHandbook[[#This Row],[UDC]],TableSTRPSCENG[],7,FALSE),"")</f>
        <v/>
      </c>
      <c r="V89" s="231" t="str">
        <f>IFERROR(VLOOKUP(TableHandbook[[#This Row],[UDC]],TableSTRPSCHLP[],7,FALSE),"")</f>
        <v/>
      </c>
      <c r="W89" s="231" t="str">
        <f>IFERROR(VLOOKUP(TableHandbook[[#This Row],[UDC]],TableSTRPSCHUS[],7,FALSE),"")</f>
        <v/>
      </c>
      <c r="X89" s="231" t="str">
        <f>IFERROR(VLOOKUP(TableHandbook[[#This Row],[UDC]],TableSTRPSCMAT[],7,FALSE),"")</f>
        <v/>
      </c>
      <c r="Y89" s="231" t="str">
        <f>IFERROR(VLOOKUP(TableHandbook[[#This Row],[UDC]],TableSTRPSCSCI[],7,FALSE),"")</f>
        <v/>
      </c>
      <c r="Z89" s="231" t="str">
        <f>IFERROR(VLOOKUP(TableHandbook[[#This Row],[UDC]],TableSTRPSCFON[],7,FALSE),"")</f>
        <v/>
      </c>
      <c r="AA89" s="232" t="str">
        <f>IFERROR(VLOOKUP(TableHandbook[[#This Row],[UDC]],TableGCTESOL[],7,FALSE),"")</f>
        <v/>
      </c>
      <c r="AB89" s="231" t="str">
        <f>IFERROR(VLOOKUP(TableHandbook[[#This Row],[UDC]],TableMCTESOL[],7,FALSE),"")</f>
        <v/>
      </c>
      <c r="AC89" s="231" t="str">
        <f>IFERROR(VLOOKUP(TableHandbook[[#This Row],[UDC]],TableMCAPLING[],7,FALSE),"")</f>
        <v/>
      </c>
      <c r="AD89" s="232" t="str">
        <f>IFERROR(VLOOKUP(TableHandbook[[#This Row],[UDC]],TableGCEDHE[],7,FALSE),"")</f>
        <v/>
      </c>
      <c r="AE89" s="231" t="str">
        <f>IFERROR(VLOOKUP(TableHandbook[[#This Row],[UDC]],TableGCEDUC[],7,FALSE),"")</f>
        <v/>
      </c>
      <c r="AF89" s="231" t="str">
        <f>IFERROR(VLOOKUP(TableHandbook[[#This Row],[UDC]],TableGDEDUC[],7,FALSE),"")</f>
        <v/>
      </c>
      <c r="AG89" s="231" t="str">
        <f>IFERROR(VLOOKUP(TableHandbook[[#This Row],[UDC]],TableMJRPEDUPR[],7,FALSE),"")</f>
        <v/>
      </c>
      <c r="AH89" s="231" t="str">
        <f>IFERROR(VLOOKUP(TableHandbook[[#This Row],[UDC]],TableMJRPEDUSC[],7,FALSE),"")</f>
        <v/>
      </c>
      <c r="AI89" s="232" t="str">
        <f>IFERROR(VLOOKUP(TableHandbook[[#This Row],[UDC]],TableMCEDUC[],7,FALSE),"")</f>
        <v/>
      </c>
      <c r="AJ89" s="231" t="str">
        <f>IFERROR(VLOOKUP(TableHandbook[[#This Row],[UDC]],TableSPPECULIN[],7,FALSE),"")</f>
        <v/>
      </c>
      <c r="AK89" s="231" t="str">
        <f>IFERROR(VLOOKUP(TableHandbook[[#This Row],[UDC]],TableSPPELNTCH[],7,FALSE),"")</f>
        <v/>
      </c>
      <c r="AL89" s="231" t="str">
        <f>IFERROR(VLOOKUP(TableHandbook[[#This Row],[UDC]],TableSPPESTEME[],7,FALSE),"")</f>
        <v/>
      </c>
    </row>
    <row r="90" spans="1:38" x14ac:dyDescent="0.25">
      <c r="A90" s="2" t="s">
        <v>247</v>
      </c>
      <c r="B90" s="3">
        <v>0</v>
      </c>
      <c r="C90" s="3"/>
      <c r="D90" s="2" t="s">
        <v>437</v>
      </c>
      <c r="E90" s="3">
        <v>25</v>
      </c>
      <c r="F90" s="54"/>
      <c r="G90" s="55" t="str">
        <f>IFERROR(IF(VLOOKUP(TableHandbook[[#This Row],[UDC]],TableAvailabilities[],2,FALSE)&gt;0,"Y",""),"")</f>
        <v/>
      </c>
      <c r="H90" s="55" t="str">
        <f>IFERROR(IF(VLOOKUP(TableHandbook[[#This Row],[UDC]],TableAvailabilities[],3,FALSE)&gt;0,"Y",""),"")</f>
        <v/>
      </c>
      <c r="I90" s="55" t="str">
        <f>IFERROR(IF(VLOOKUP(TableHandbook[[#This Row],[UDC]],TableAvailabilities[],4,FALSE)&gt;0,"Y",""),"")</f>
        <v/>
      </c>
      <c r="J90" s="55" t="str">
        <f>IFERROR(IF(VLOOKUP(TableHandbook[[#This Row],[UDC]],TableAvailabilities[],5,FALSE)&gt;0,"Y",""),"")</f>
        <v/>
      </c>
      <c r="K90" s="55" t="str">
        <f>IFERROR(IF(VLOOKUP(TableHandbook[[#This Row],[UDC]],TableAvailabilities[],6,FALSE)&gt;0,"Y",""),"")</f>
        <v/>
      </c>
      <c r="L90" s="55" t="str">
        <f>IFERROR(IF(VLOOKUP(TableHandbook[[#This Row],[UDC]],TableAvailabilities[],7,FALSE)&gt;0,"Y",""),"")</f>
        <v/>
      </c>
      <c r="M90" s="55" t="str">
        <f>IFERROR(IF(VLOOKUP(TableHandbook[[#This Row],[UDC]],TableAvailabilities[],8,FALSE)&gt;0,"Y",""),"")</f>
        <v/>
      </c>
      <c r="N90" s="55" t="str">
        <f>IFERROR(IF(VLOOKUP(TableHandbook[[#This Row],[UDC]],TableAvailabilities[],9,FALSE)&gt;0,"Y",""),"")</f>
        <v/>
      </c>
      <c r="O90" s="230"/>
      <c r="P90" s="232" t="str">
        <f>IFERROR(VLOOKUP(TableHandbook[[#This Row],[UDC]],TableMCTEACH[],7,FALSE),"")</f>
        <v/>
      </c>
      <c r="Q90" s="231" t="str">
        <f>IFERROR(VLOOKUP(TableHandbook[[#This Row],[UDC]],TableMJRPTCHEC[],7,FALSE),"")</f>
        <v/>
      </c>
      <c r="R90" s="231" t="str">
        <f>IFERROR(VLOOKUP(TableHandbook[[#This Row],[UDC]],TableMJRPTCHPR[],7,FALSE),"")</f>
        <v/>
      </c>
      <c r="S90" s="231" t="str">
        <f>IFERROR(VLOOKUP(TableHandbook[[#This Row],[UDC]],TableMJRPTCHSC[],7,FALSE),"")</f>
        <v/>
      </c>
      <c r="T90" s="231" t="str">
        <f>IFERROR(VLOOKUP(TableHandbook[[#This Row],[UDC]],TableSTRPSCART[],7,FALSE),"")</f>
        <v/>
      </c>
      <c r="U90" s="231" t="str">
        <f>IFERROR(VLOOKUP(TableHandbook[[#This Row],[UDC]],TableSTRPSCENG[],7,FALSE),"")</f>
        <v/>
      </c>
      <c r="V90" s="231" t="str">
        <f>IFERROR(VLOOKUP(TableHandbook[[#This Row],[UDC]],TableSTRPSCHLP[],7,FALSE),"")</f>
        <v/>
      </c>
      <c r="W90" s="231" t="str">
        <f>IFERROR(VLOOKUP(TableHandbook[[#This Row],[UDC]],TableSTRPSCHUS[],7,FALSE),"")</f>
        <v/>
      </c>
      <c r="X90" s="231" t="str">
        <f>IFERROR(VLOOKUP(TableHandbook[[#This Row],[UDC]],TableSTRPSCMAT[],7,FALSE),"")</f>
        <v/>
      </c>
      <c r="Y90" s="231" t="str">
        <f>IFERROR(VLOOKUP(TableHandbook[[#This Row],[UDC]],TableSTRPSCSCI[],7,FALSE),"")</f>
        <v/>
      </c>
      <c r="Z90" s="231" t="str">
        <f>IFERROR(VLOOKUP(TableHandbook[[#This Row],[UDC]],TableSTRPSCFON[],7,FALSE),"")</f>
        <v/>
      </c>
      <c r="AA90" s="232" t="str">
        <f>IFERROR(VLOOKUP(TableHandbook[[#This Row],[UDC]],TableGCTESOL[],7,FALSE),"")</f>
        <v/>
      </c>
      <c r="AB90" s="231" t="str">
        <f>IFERROR(VLOOKUP(TableHandbook[[#This Row],[UDC]],TableMCTESOL[],7,FALSE),"")</f>
        <v/>
      </c>
      <c r="AC90" s="231" t="str">
        <f>IFERROR(VLOOKUP(TableHandbook[[#This Row],[UDC]],TableMCAPLING[],7,FALSE),"")</f>
        <v/>
      </c>
      <c r="AD90" s="232" t="str">
        <f>IFERROR(VLOOKUP(TableHandbook[[#This Row],[UDC]],TableGCEDHE[],7,FALSE),"")</f>
        <v/>
      </c>
      <c r="AE90" s="231" t="str">
        <f>IFERROR(VLOOKUP(TableHandbook[[#This Row],[UDC]],TableGCEDUC[],7,FALSE),"")</f>
        <v>Option</v>
      </c>
      <c r="AF90" s="231" t="str">
        <f>IFERROR(VLOOKUP(TableHandbook[[#This Row],[UDC]],TableGDEDUC[],7,FALSE),"")</f>
        <v/>
      </c>
      <c r="AG90" s="231" t="str">
        <f>IFERROR(VLOOKUP(TableHandbook[[#This Row],[UDC]],TableMJRPEDUPR[],7,FALSE),"")</f>
        <v/>
      </c>
      <c r="AH90" s="231" t="str">
        <f>IFERROR(VLOOKUP(TableHandbook[[#This Row],[UDC]],TableMJRPEDUSC[],7,FALSE),"")</f>
        <v/>
      </c>
      <c r="AI90" s="232" t="str">
        <f>IFERROR(VLOOKUP(TableHandbook[[#This Row],[UDC]],TableMCEDUC[],7,FALSE),"")</f>
        <v/>
      </c>
      <c r="AJ90" s="231" t="str">
        <f>IFERROR(VLOOKUP(TableHandbook[[#This Row],[UDC]],TableSPPECULIN[],7,FALSE),"")</f>
        <v/>
      </c>
      <c r="AK90" s="231" t="str">
        <f>IFERROR(VLOOKUP(TableHandbook[[#This Row],[UDC]],TableSPPELNTCH[],7,FALSE),"")</f>
        <v/>
      </c>
      <c r="AL90" s="231" t="str">
        <f>IFERROR(VLOOKUP(TableHandbook[[#This Row],[UDC]],TableSPPESTEME[],7,FALSE),"")</f>
        <v/>
      </c>
    </row>
    <row r="91" spans="1:38" x14ac:dyDescent="0.25">
      <c r="A91" s="2" t="s">
        <v>438</v>
      </c>
      <c r="B91" s="3">
        <v>0</v>
      </c>
      <c r="C91" s="3"/>
      <c r="D91" s="2" t="s">
        <v>439</v>
      </c>
      <c r="E91" s="3"/>
      <c r="F91" s="54"/>
      <c r="G91" s="55" t="str">
        <f>IFERROR(IF(VLOOKUP(TableHandbook[[#This Row],[UDC]],TableAvailabilities[],2,FALSE)&gt;0,"Y",""),"")</f>
        <v/>
      </c>
      <c r="H91" s="55" t="str">
        <f>IFERROR(IF(VLOOKUP(TableHandbook[[#This Row],[UDC]],TableAvailabilities[],3,FALSE)&gt;0,"Y",""),"")</f>
        <v/>
      </c>
      <c r="I91" s="55" t="str">
        <f>IFERROR(IF(VLOOKUP(TableHandbook[[#This Row],[UDC]],TableAvailabilities[],4,FALSE)&gt;0,"Y",""),"")</f>
        <v/>
      </c>
      <c r="J91" s="55" t="str">
        <f>IFERROR(IF(VLOOKUP(TableHandbook[[#This Row],[UDC]],TableAvailabilities[],5,FALSE)&gt;0,"Y",""),"")</f>
        <v/>
      </c>
      <c r="K91" s="55" t="str">
        <f>IFERROR(IF(VLOOKUP(TableHandbook[[#This Row],[UDC]],TableAvailabilities[],6,FALSE)&gt;0,"Y",""),"")</f>
        <v/>
      </c>
      <c r="L91" s="55" t="str">
        <f>IFERROR(IF(VLOOKUP(TableHandbook[[#This Row],[UDC]],TableAvailabilities[],7,FALSE)&gt;0,"Y",""),"")</f>
        <v/>
      </c>
      <c r="M91" s="55" t="str">
        <f>IFERROR(IF(VLOOKUP(TableHandbook[[#This Row],[UDC]],TableAvailabilities[],8,FALSE)&gt;0,"Y",""),"")</f>
        <v/>
      </c>
      <c r="N91" s="55" t="str">
        <f>IFERROR(IF(VLOOKUP(TableHandbook[[#This Row],[UDC]],TableAvailabilities[],9,FALSE)&gt;0,"Y",""),"")</f>
        <v/>
      </c>
      <c r="O91" s="230"/>
      <c r="P91" s="232" t="str">
        <f>IFERROR(VLOOKUP(TableHandbook[[#This Row],[UDC]],TableMCTEACH[],7,FALSE),"")</f>
        <v/>
      </c>
      <c r="Q91" s="231" t="str">
        <f>IFERROR(VLOOKUP(TableHandbook[[#This Row],[UDC]],TableMJRPTCHEC[],7,FALSE),"")</f>
        <v/>
      </c>
      <c r="R91" s="231" t="str">
        <f>IFERROR(VLOOKUP(TableHandbook[[#This Row],[UDC]],TableMJRPTCHPR[],7,FALSE),"")</f>
        <v/>
      </c>
      <c r="S91" s="231" t="str">
        <f>IFERROR(VLOOKUP(TableHandbook[[#This Row],[UDC]],TableMJRPTCHSC[],7,FALSE),"")</f>
        <v>Option</v>
      </c>
      <c r="T91" s="231" t="str">
        <f>IFERROR(VLOOKUP(TableHandbook[[#This Row],[UDC]],TableSTRPSCART[],7,FALSE),"")</f>
        <v/>
      </c>
      <c r="U91" s="231" t="str">
        <f>IFERROR(VLOOKUP(TableHandbook[[#This Row],[UDC]],TableSTRPSCENG[],7,FALSE),"")</f>
        <v/>
      </c>
      <c r="V91" s="231" t="str">
        <f>IFERROR(VLOOKUP(TableHandbook[[#This Row],[UDC]],TableSTRPSCHLP[],7,FALSE),"")</f>
        <v/>
      </c>
      <c r="W91" s="231" t="str">
        <f>IFERROR(VLOOKUP(TableHandbook[[#This Row],[UDC]],TableSTRPSCHUS[],7,FALSE),"")</f>
        <v/>
      </c>
      <c r="X91" s="231" t="str">
        <f>IFERROR(VLOOKUP(TableHandbook[[#This Row],[UDC]],TableSTRPSCMAT[],7,FALSE),"")</f>
        <v/>
      </c>
      <c r="Y91" s="231" t="str">
        <f>IFERROR(VLOOKUP(TableHandbook[[#This Row],[UDC]],TableSTRPSCSCI[],7,FALSE),"")</f>
        <v/>
      </c>
      <c r="Z91" s="231" t="str">
        <f>IFERROR(VLOOKUP(TableHandbook[[#This Row],[UDC]],TableSTRPSCFON[],7,FALSE),"")</f>
        <v/>
      </c>
      <c r="AA91" s="232" t="str">
        <f>IFERROR(VLOOKUP(TableHandbook[[#This Row],[UDC]],TableGCTESOL[],7,FALSE),"")</f>
        <v/>
      </c>
      <c r="AB91" s="231" t="str">
        <f>IFERROR(VLOOKUP(TableHandbook[[#This Row],[UDC]],TableMCTESOL[],7,FALSE),"")</f>
        <v/>
      </c>
      <c r="AC91" s="231" t="str">
        <f>IFERROR(VLOOKUP(TableHandbook[[#This Row],[UDC]],TableMCAPLING[],7,FALSE),"")</f>
        <v/>
      </c>
      <c r="AD91" s="232" t="str">
        <f>IFERROR(VLOOKUP(TableHandbook[[#This Row],[UDC]],TableGCEDHE[],7,FALSE),"")</f>
        <v/>
      </c>
      <c r="AE91" s="231" t="str">
        <f>IFERROR(VLOOKUP(TableHandbook[[#This Row],[UDC]],TableGCEDUC[],7,FALSE),"")</f>
        <v/>
      </c>
      <c r="AF91" s="231" t="str">
        <f>IFERROR(VLOOKUP(TableHandbook[[#This Row],[UDC]],TableGDEDUC[],7,FALSE),"")</f>
        <v/>
      </c>
      <c r="AG91" s="231" t="str">
        <f>IFERROR(VLOOKUP(TableHandbook[[#This Row],[UDC]],TableMJRPEDUPR[],7,FALSE),"")</f>
        <v/>
      </c>
      <c r="AH91" s="231" t="str">
        <f>IFERROR(VLOOKUP(TableHandbook[[#This Row],[UDC]],TableMJRPEDUSC[],7,FALSE),"")</f>
        <v>Option</v>
      </c>
      <c r="AI91" s="232" t="str">
        <f>IFERROR(VLOOKUP(TableHandbook[[#This Row],[UDC]],TableMCEDUC[],7,FALSE),"")</f>
        <v/>
      </c>
      <c r="AJ91" s="231" t="str">
        <f>IFERROR(VLOOKUP(TableHandbook[[#This Row],[UDC]],TableSPPECULIN[],7,FALSE),"")</f>
        <v/>
      </c>
      <c r="AK91" s="231" t="str">
        <f>IFERROR(VLOOKUP(TableHandbook[[#This Row],[UDC]],TableSPPELNTCH[],7,FALSE),"")</f>
        <v/>
      </c>
      <c r="AL91" s="231" t="str">
        <f>IFERROR(VLOOKUP(TableHandbook[[#This Row],[UDC]],TableSPPESTEME[],7,FALSE),"")</f>
        <v/>
      </c>
    </row>
    <row r="92" spans="1:38" x14ac:dyDescent="0.25">
      <c r="A92" s="2" t="s">
        <v>209</v>
      </c>
      <c r="B92" s="3">
        <v>0</v>
      </c>
      <c r="C92" s="3"/>
      <c r="D92" s="2" t="s">
        <v>437</v>
      </c>
      <c r="E92" s="3">
        <v>25</v>
      </c>
      <c r="F92" s="54" t="s">
        <v>421</v>
      </c>
      <c r="G92" s="55" t="str">
        <f>IFERROR(IF(VLOOKUP(TableHandbook[[#This Row],[UDC]],TableAvailabilities[],2,FALSE)&gt;0,"Y",""),"")</f>
        <v/>
      </c>
      <c r="H92" s="55" t="str">
        <f>IFERROR(IF(VLOOKUP(TableHandbook[[#This Row],[UDC]],TableAvailabilities[],3,FALSE)&gt;0,"Y",""),"")</f>
        <v/>
      </c>
      <c r="I92" s="55" t="str">
        <f>IFERROR(IF(VLOOKUP(TableHandbook[[#This Row],[UDC]],TableAvailabilities[],4,FALSE)&gt;0,"Y",""),"")</f>
        <v/>
      </c>
      <c r="J92" s="55" t="str">
        <f>IFERROR(IF(VLOOKUP(TableHandbook[[#This Row],[UDC]],TableAvailabilities[],5,FALSE)&gt;0,"Y",""),"")</f>
        <v/>
      </c>
      <c r="K92" s="55" t="str">
        <f>IFERROR(IF(VLOOKUP(TableHandbook[[#This Row],[UDC]],TableAvailabilities[],6,FALSE)&gt;0,"Y",""),"")</f>
        <v/>
      </c>
      <c r="L92" s="55" t="str">
        <f>IFERROR(IF(VLOOKUP(TableHandbook[[#This Row],[UDC]],TableAvailabilities[],7,FALSE)&gt;0,"Y",""),"")</f>
        <v/>
      </c>
      <c r="M92" s="55" t="str">
        <f>IFERROR(IF(VLOOKUP(TableHandbook[[#This Row],[UDC]],TableAvailabilities[],8,FALSE)&gt;0,"Y",""),"")</f>
        <v/>
      </c>
      <c r="N92" s="55" t="str">
        <f>IFERROR(IF(VLOOKUP(TableHandbook[[#This Row],[UDC]],TableAvailabilities[],9,FALSE)&gt;0,"Y",""),"")</f>
        <v/>
      </c>
      <c r="O92" s="230"/>
      <c r="P92" s="232" t="str">
        <f>IFERROR(VLOOKUP(TableHandbook[[#This Row],[UDC]],TableMCTEACH[],7,FALSE),"")</f>
        <v/>
      </c>
      <c r="Q92" s="231" t="str">
        <f>IFERROR(VLOOKUP(TableHandbook[[#This Row],[UDC]],TableMJRPTCHEC[],7,FALSE),"")</f>
        <v/>
      </c>
      <c r="R92" s="231" t="str">
        <f>IFERROR(VLOOKUP(TableHandbook[[#This Row],[UDC]],TableMJRPTCHPR[],7,FALSE),"")</f>
        <v/>
      </c>
      <c r="S92" s="231" t="str">
        <f>IFERROR(VLOOKUP(TableHandbook[[#This Row],[UDC]],TableMJRPTCHSC[],7,FALSE),"")</f>
        <v/>
      </c>
      <c r="T92" s="231" t="str">
        <f>IFERROR(VLOOKUP(TableHandbook[[#This Row],[UDC]],TableSTRPSCART[],7,FALSE),"")</f>
        <v/>
      </c>
      <c r="U92" s="231" t="str">
        <f>IFERROR(VLOOKUP(TableHandbook[[#This Row],[UDC]],TableSTRPSCENG[],7,FALSE),"")</f>
        <v/>
      </c>
      <c r="V92" s="231" t="str">
        <f>IFERROR(VLOOKUP(TableHandbook[[#This Row],[UDC]],TableSTRPSCHLP[],7,FALSE),"")</f>
        <v/>
      </c>
      <c r="W92" s="231" t="str">
        <f>IFERROR(VLOOKUP(TableHandbook[[#This Row],[UDC]],TableSTRPSCHUS[],7,FALSE),"")</f>
        <v/>
      </c>
      <c r="X92" s="231" t="str">
        <f>IFERROR(VLOOKUP(TableHandbook[[#This Row],[UDC]],TableSTRPSCMAT[],7,FALSE),"")</f>
        <v/>
      </c>
      <c r="Y92" s="231" t="str">
        <f>IFERROR(VLOOKUP(TableHandbook[[#This Row],[UDC]],TableSTRPSCSCI[],7,FALSE),"")</f>
        <v/>
      </c>
      <c r="Z92" s="231" t="str">
        <f>IFERROR(VLOOKUP(TableHandbook[[#This Row],[UDC]],TableSTRPSCFON[],7,FALSE),"")</f>
        <v/>
      </c>
      <c r="AA92" s="232" t="str">
        <f>IFERROR(VLOOKUP(TableHandbook[[#This Row],[UDC]],TableGCTESOL[],7,FALSE),"")</f>
        <v/>
      </c>
      <c r="AB92" s="231" t="str">
        <f>IFERROR(VLOOKUP(TableHandbook[[#This Row],[UDC]],TableMCTESOL[],7,FALSE),"")</f>
        <v/>
      </c>
      <c r="AC92" s="231" t="str">
        <f>IFERROR(VLOOKUP(TableHandbook[[#This Row],[UDC]],TableMCAPLING[],7,FALSE),"")</f>
        <v/>
      </c>
      <c r="AD92" s="232" t="str">
        <f>IFERROR(VLOOKUP(TableHandbook[[#This Row],[UDC]],TableGCEDHE[],7,FALSE),"")</f>
        <v/>
      </c>
      <c r="AE92" s="231" t="str">
        <f>IFERROR(VLOOKUP(TableHandbook[[#This Row],[UDC]],TableGCEDUC[],7,FALSE),"")</f>
        <v/>
      </c>
      <c r="AF92" s="231" t="str">
        <f>IFERROR(VLOOKUP(TableHandbook[[#This Row],[UDC]],TableGDEDUC[],7,FALSE),"")</f>
        <v/>
      </c>
      <c r="AG92" s="231" t="str">
        <f>IFERROR(VLOOKUP(TableHandbook[[#This Row],[UDC]],TableMJRPEDUPR[],7,FALSE),"")</f>
        <v/>
      </c>
      <c r="AH92" s="231" t="str">
        <f>IFERROR(VLOOKUP(TableHandbook[[#This Row],[UDC]],TableMJRPEDUSC[],7,FALSE),"")</f>
        <v/>
      </c>
      <c r="AI92" s="232" t="str">
        <f>IFERROR(VLOOKUP(TableHandbook[[#This Row],[UDC]],TableMCEDUC[],7,FALSE),"")</f>
        <v/>
      </c>
      <c r="AJ92" s="231" t="str">
        <f>IFERROR(VLOOKUP(TableHandbook[[#This Row],[UDC]],TableSPPECULIN[],7,FALSE),"")</f>
        <v/>
      </c>
      <c r="AK92" s="231" t="str">
        <f>IFERROR(VLOOKUP(TableHandbook[[#This Row],[UDC]],TableSPPELNTCH[],7,FALSE),"")</f>
        <v/>
      </c>
      <c r="AL92" s="231" t="str">
        <f>IFERROR(VLOOKUP(TableHandbook[[#This Row],[UDC]],TableSPPESTEME[],7,FALSE),"")</f>
        <v/>
      </c>
    </row>
    <row r="93" spans="1:38" x14ac:dyDescent="0.25">
      <c r="A93" s="2" t="s">
        <v>142</v>
      </c>
      <c r="B93" s="3">
        <v>1</v>
      </c>
      <c r="C93" s="3"/>
      <c r="D93" s="2" t="s">
        <v>141</v>
      </c>
      <c r="E93" s="3">
        <v>100</v>
      </c>
      <c r="F93" s="54"/>
      <c r="G93" s="55" t="str">
        <f>IFERROR(IF(VLOOKUP(TableHandbook[[#This Row],[UDC]],TableAvailabilities[],2,FALSE)&gt;0,"Y",""),"")</f>
        <v/>
      </c>
      <c r="H93" s="55" t="str">
        <f>IFERROR(IF(VLOOKUP(TableHandbook[[#This Row],[UDC]],TableAvailabilities[],3,FALSE)&gt;0,"Y",""),"")</f>
        <v/>
      </c>
      <c r="I93" s="55" t="str">
        <f>IFERROR(IF(VLOOKUP(TableHandbook[[#This Row],[UDC]],TableAvailabilities[],4,FALSE)&gt;0,"Y",""),"")</f>
        <v/>
      </c>
      <c r="J93" s="55" t="str">
        <f>IFERROR(IF(VLOOKUP(TableHandbook[[#This Row],[UDC]],TableAvailabilities[],5,FALSE)&gt;0,"Y",""),"")</f>
        <v/>
      </c>
      <c r="K93" s="55" t="str">
        <f>IFERROR(IF(VLOOKUP(TableHandbook[[#This Row],[UDC]],TableAvailabilities[],6,FALSE)&gt;0,"Y",""),"")</f>
        <v/>
      </c>
      <c r="L93" s="55" t="str">
        <f>IFERROR(IF(VLOOKUP(TableHandbook[[#This Row],[UDC]],TableAvailabilities[],7,FALSE)&gt;0,"Y",""),"")</f>
        <v/>
      </c>
      <c r="M93" s="55" t="str">
        <f>IFERROR(IF(VLOOKUP(TableHandbook[[#This Row],[UDC]],TableAvailabilities[],8,FALSE)&gt;0,"Y",""),"")</f>
        <v/>
      </c>
      <c r="N93" s="55" t="str">
        <f>IFERROR(IF(VLOOKUP(TableHandbook[[#This Row],[UDC]],TableAvailabilities[],9,FALSE)&gt;0,"Y",""),"")</f>
        <v/>
      </c>
      <c r="O93" s="230"/>
      <c r="P93" s="232" t="str">
        <f>IFERROR(VLOOKUP(TableHandbook[[#This Row],[UDC]],TableMCTEACH[],7,FALSE),"")</f>
        <v/>
      </c>
      <c r="Q93" s="231" t="str">
        <f>IFERROR(VLOOKUP(TableHandbook[[#This Row],[UDC]],TableMJRPTCHEC[],7,FALSE),"")</f>
        <v/>
      </c>
      <c r="R93" s="231" t="str">
        <f>IFERROR(VLOOKUP(TableHandbook[[#This Row],[UDC]],TableMJRPTCHPR[],7,FALSE),"")</f>
        <v/>
      </c>
      <c r="S93" s="231" t="str">
        <f>IFERROR(VLOOKUP(TableHandbook[[#This Row],[UDC]],TableMJRPTCHSC[],7,FALSE),"")</f>
        <v/>
      </c>
      <c r="T93" s="231" t="str">
        <f>IFERROR(VLOOKUP(TableHandbook[[#This Row],[UDC]],TableSTRPSCART[],7,FALSE),"")</f>
        <v/>
      </c>
      <c r="U93" s="231" t="str">
        <f>IFERROR(VLOOKUP(TableHandbook[[#This Row],[UDC]],TableSTRPSCENG[],7,FALSE),"")</f>
        <v/>
      </c>
      <c r="V93" s="231" t="str">
        <f>IFERROR(VLOOKUP(TableHandbook[[#This Row],[UDC]],TableSTRPSCHLP[],7,FALSE),"")</f>
        <v/>
      </c>
      <c r="W93" s="231" t="str">
        <f>IFERROR(VLOOKUP(TableHandbook[[#This Row],[UDC]],TableSTRPSCHUS[],7,FALSE),"")</f>
        <v/>
      </c>
      <c r="X93" s="231" t="str">
        <f>IFERROR(VLOOKUP(TableHandbook[[#This Row],[UDC]],TableSTRPSCMAT[],7,FALSE),"")</f>
        <v/>
      </c>
      <c r="Y93" s="231" t="str">
        <f>IFERROR(VLOOKUP(TableHandbook[[#This Row],[UDC]],TableSTRPSCSCI[],7,FALSE),"")</f>
        <v/>
      </c>
      <c r="Z93" s="231" t="str">
        <f>IFERROR(VLOOKUP(TableHandbook[[#This Row],[UDC]],TableSTRPSCFON[],7,FALSE),"")</f>
        <v/>
      </c>
      <c r="AA93" s="232" t="str">
        <f>IFERROR(VLOOKUP(TableHandbook[[#This Row],[UDC]],TableGCTESOL[],7,FALSE),"")</f>
        <v/>
      </c>
      <c r="AB93" s="231" t="str">
        <f>IFERROR(VLOOKUP(TableHandbook[[#This Row],[UDC]],TableMCTESOL[],7,FALSE),"")</f>
        <v/>
      </c>
      <c r="AC93" s="231" t="str">
        <f>IFERROR(VLOOKUP(TableHandbook[[#This Row],[UDC]],TableMCAPLING[],7,FALSE),"")</f>
        <v/>
      </c>
      <c r="AD93" s="232" t="str">
        <f>IFERROR(VLOOKUP(TableHandbook[[#This Row],[UDC]],TableGCEDHE[],7,FALSE),"")</f>
        <v/>
      </c>
      <c r="AE93" s="231" t="str">
        <f>IFERROR(VLOOKUP(TableHandbook[[#This Row],[UDC]],TableGCEDUC[],7,FALSE),"")</f>
        <v/>
      </c>
      <c r="AF93" s="231" t="str">
        <f>IFERROR(VLOOKUP(TableHandbook[[#This Row],[UDC]],TableGDEDUC[],7,FALSE),"")</f>
        <v/>
      </c>
      <c r="AG93" s="231" t="str">
        <f>IFERROR(VLOOKUP(TableHandbook[[#This Row],[UDC]],TableMJRPEDUPR[],7,FALSE),"")</f>
        <v/>
      </c>
      <c r="AH93" s="231" t="str">
        <f>IFERROR(VLOOKUP(TableHandbook[[#This Row],[UDC]],TableMJRPEDUSC[],7,FALSE),"")</f>
        <v/>
      </c>
      <c r="AI93" s="232" t="str">
        <f>IFERROR(VLOOKUP(TableHandbook[[#This Row],[UDC]],TableMCEDUC[],7,FALSE),"")</f>
        <v>Option</v>
      </c>
      <c r="AJ93" s="231" t="str">
        <f>IFERROR(VLOOKUP(TableHandbook[[#This Row],[UDC]],TableSPPECULIN[],7,FALSE),"")</f>
        <v/>
      </c>
      <c r="AK93" s="231" t="str">
        <f>IFERROR(VLOOKUP(TableHandbook[[#This Row],[UDC]],TableSPPELNTCH[],7,FALSE),"")</f>
        <v/>
      </c>
      <c r="AL93" s="231" t="str">
        <f>IFERROR(VLOOKUP(TableHandbook[[#This Row],[UDC]],TableSPPESTEME[],7,FALSE),"")</f>
        <v/>
      </c>
    </row>
    <row r="94" spans="1:38" x14ac:dyDescent="0.25">
      <c r="A94" s="2" t="s">
        <v>144</v>
      </c>
      <c r="B94" s="3">
        <v>1</v>
      </c>
      <c r="C94" s="3"/>
      <c r="D94" s="2" t="s">
        <v>143</v>
      </c>
      <c r="E94" s="3">
        <v>100</v>
      </c>
      <c r="F94" s="54"/>
      <c r="G94" s="55" t="str">
        <f>IFERROR(IF(VLOOKUP(TableHandbook[[#This Row],[UDC]],TableAvailabilities[],2,FALSE)&gt;0,"Y",""),"")</f>
        <v/>
      </c>
      <c r="H94" s="55" t="str">
        <f>IFERROR(IF(VLOOKUP(TableHandbook[[#This Row],[UDC]],TableAvailabilities[],3,FALSE)&gt;0,"Y",""),"")</f>
        <v/>
      </c>
      <c r="I94" s="55" t="str">
        <f>IFERROR(IF(VLOOKUP(TableHandbook[[#This Row],[UDC]],TableAvailabilities[],4,FALSE)&gt;0,"Y",""),"")</f>
        <v/>
      </c>
      <c r="J94" s="55" t="str">
        <f>IFERROR(IF(VLOOKUP(TableHandbook[[#This Row],[UDC]],TableAvailabilities[],5,FALSE)&gt;0,"Y",""),"")</f>
        <v/>
      </c>
      <c r="K94" s="55" t="str">
        <f>IFERROR(IF(VLOOKUP(TableHandbook[[#This Row],[UDC]],TableAvailabilities[],6,FALSE)&gt;0,"Y",""),"")</f>
        <v/>
      </c>
      <c r="L94" s="55" t="str">
        <f>IFERROR(IF(VLOOKUP(TableHandbook[[#This Row],[UDC]],TableAvailabilities[],7,FALSE)&gt;0,"Y",""),"")</f>
        <v/>
      </c>
      <c r="M94" s="55" t="str">
        <f>IFERROR(IF(VLOOKUP(TableHandbook[[#This Row],[UDC]],TableAvailabilities[],8,FALSE)&gt;0,"Y",""),"")</f>
        <v/>
      </c>
      <c r="N94" s="55" t="str">
        <f>IFERROR(IF(VLOOKUP(TableHandbook[[#This Row],[UDC]],TableAvailabilities[],9,FALSE)&gt;0,"Y",""),"")</f>
        <v/>
      </c>
      <c r="O94" s="230"/>
      <c r="P94" s="232" t="str">
        <f>IFERROR(VLOOKUP(TableHandbook[[#This Row],[UDC]],TableMCTEACH[],7,FALSE),"")</f>
        <v/>
      </c>
      <c r="Q94" s="231" t="str">
        <f>IFERROR(VLOOKUP(TableHandbook[[#This Row],[UDC]],TableMJRPTCHEC[],7,FALSE),"")</f>
        <v/>
      </c>
      <c r="R94" s="231" t="str">
        <f>IFERROR(VLOOKUP(TableHandbook[[#This Row],[UDC]],TableMJRPTCHPR[],7,FALSE),"")</f>
        <v/>
      </c>
      <c r="S94" s="231" t="str">
        <f>IFERROR(VLOOKUP(TableHandbook[[#This Row],[UDC]],TableMJRPTCHSC[],7,FALSE),"")</f>
        <v/>
      </c>
      <c r="T94" s="231" t="str">
        <f>IFERROR(VLOOKUP(TableHandbook[[#This Row],[UDC]],TableSTRPSCART[],7,FALSE),"")</f>
        <v/>
      </c>
      <c r="U94" s="231" t="str">
        <f>IFERROR(VLOOKUP(TableHandbook[[#This Row],[UDC]],TableSTRPSCENG[],7,FALSE),"")</f>
        <v/>
      </c>
      <c r="V94" s="231" t="str">
        <f>IFERROR(VLOOKUP(TableHandbook[[#This Row],[UDC]],TableSTRPSCHLP[],7,FALSE),"")</f>
        <v/>
      </c>
      <c r="W94" s="231" t="str">
        <f>IFERROR(VLOOKUP(TableHandbook[[#This Row],[UDC]],TableSTRPSCHUS[],7,FALSE),"")</f>
        <v/>
      </c>
      <c r="X94" s="231" t="str">
        <f>IFERROR(VLOOKUP(TableHandbook[[#This Row],[UDC]],TableSTRPSCMAT[],7,FALSE),"")</f>
        <v/>
      </c>
      <c r="Y94" s="231" t="str">
        <f>IFERROR(VLOOKUP(TableHandbook[[#This Row],[UDC]],TableSTRPSCSCI[],7,FALSE),"")</f>
        <v/>
      </c>
      <c r="Z94" s="231" t="str">
        <f>IFERROR(VLOOKUP(TableHandbook[[#This Row],[UDC]],TableSTRPSCFON[],7,FALSE),"")</f>
        <v/>
      </c>
      <c r="AA94" s="232" t="str">
        <f>IFERROR(VLOOKUP(TableHandbook[[#This Row],[UDC]],TableGCTESOL[],7,FALSE),"")</f>
        <v/>
      </c>
      <c r="AB94" s="231" t="str">
        <f>IFERROR(VLOOKUP(TableHandbook[[#This Row],[UDC]],TableMCTESOL[],7,FALSE),"")</f>
        <v/>
      </c>
      <c r="AC94" s="231" t="str">
        <f>IFERROR(VLOOKUP(TableHandbook[[#This Row],[UDC]],TableMCAPLING[],7,FALSE),"")</f>
        <v/>
      </c>
      <c r="AD94" s="232" t="str">
        <f>IFERROR(VLOOKUP(TableHandbook[[#This Row],[UDC]],TableGCEDHE[],7,FALSE),"")</f>
        <v/>
      </c>
      <c r="AE94" s="231" t="str">
        <f>IFERROR(VLOOKUP(TableHandbook[[#This Row],[UDC]],TableGCEDUC[],7,FALSE),"")</f>
        <v/>
      </c>
      <c r="AF94" s="231" t="str">
        <f>IFERROR(VLOOKUP(TableHandbook[[#This Row],[UDC]],TableGDEDUC[],7,FALSE),"")</f>
        <v/>
      </c>
      <c r="AG94" s="231" t="str">
        <f>IFERROR(VLOOKUP(TableHandbook[[#This Row],[UDC]],TableMJRPEDUPR[],7,FALSE),"")</f>
        <v/>
      </c>
      <c r="AH94" s="231" t="str">
        <f>IFERROR(VLOOKUP(TableHandbook[[#This Row],[UDC]],TableMJRPEDUSC[],7,FALSE),"")</f>
        <v/>
      </c>
      <c r="AI94" s="232" t="str">
        <f>IFERROR(VLOOKUP(TableHandbook[[#This Row],[UDC]],TableMCEDUC[],7,FALSE),"")</f>
        <v>Option</v>
      </c>
      <c r="AJ94" s="231" t="str">
        <f>IFERROR(VLOOKUP(TableHandbook[[#This Row],[UDC]],TableSPPECULIN[],7,FALSE),"")</f>
        <v/>
      </c>
      <c r="AK94" s="231" t="str">
        <f>IFERROR(VLOOKUP(TableHandbook[[#This Row],[UDC]],TableSPPELNTCH[],7,FALSE),"")</f>
        <v/>
      </c>
      <c r="AL94" s="231" t="str">
        <f>IFERROR(VLOOKUP(TableHandbook[[#This Row],[UDC]],TableSPPESTEME[],7,FALSE),"")</f>
        <v/>
      </c>
    </row>
    <row r="95" spans="1:38" x14ac:dyDescent="0.25">
      <c r="A95" s="2" t="s">
        <v>146</v>
      </c>
      <c r="B95" s="3">
        <v>1</v>
      </c>
      <c r="C95" s="3"/>
      <c r="D95" s="2" t="s">
        <v>145</v>
      </c>
      <c r="E95" s="3">
        <v>100</v>
      </c>
      <c r="F95" s="54"/>
      <c r="G95" s="55" t="str">
        <f>IFERROR(IF(VLOOKUP(TableHandbook[[#This Row],[UDC]],TableAvailabilities[],2,FALSE)&gt;0,"Y",""),"")</f>
        <v/>
      </c>
      <c r="H95" s="55" t="str">
        <f>IFERROR(IF(VLOOKUP(TableHandbook[[#This Row],[UDC]],TableAvailabilities[],3,FALSE)&gt;0,"Y",""),"")</f>
        <v/>
      </c>
      <c r="I95" s="55" t="str">
        <f>IFERROR(IF(VLOOKUP(TableHandbook[[#This Row],[UDC]],TableAvailabilities[],4,FALSE)&gt;0,"Y",""),"")</f>
        <v/>
      </c>
      <c r="J95" s="55" t="str">
        <f>IFERROR(IF(VLOOKUP(TableHandbook[[#This Row],[UDC]],TableAvailabilities[],5,FALSE)&gt;0,"Y",""),"")</f>
        <v/>
      </c>
      <c r="K95" s="55" t="str">
        <f>IFERROR(IF(VLOOKUP(TableHandbook[[#This Row],[UDC]],TableAvailabilities[],6,FALSE)&gt;0,"Y",""),"")</f>
        <v/>
      </c>
      <c r="L95" s="55" t="str">
        <f>IFERROR(IF(VLOOKUP(TableHandbook[[#This Row],[UDC]],TableAvailabilities[],7,FALSE)&gt;0,"Y",""),"")</f>
        <v/>
      </c>
      <c r="M95" s="55" t="str">
        <f>IFERROR(IF(VLOOKUP(TableHandbook[[#This Row],[UDC]],TableAvailabilities[],8,FALSE)&gt;0,"Y",""),"")</f>
        <v/>
      </c>
      <c r="N95" s="55" t="str">
        <f>IFERROR(IF(VLOOKUP(TableHandbook[[#This Row],[UDC]],TableAvailabilities[],9,FALSE)&gt;0,"Y",""),"")</f>
        <v/>
      </c>
      <c r="O95" s="230"/>
      <c r="P95" s="232" t="str">
        <f>IFERROR(VLOOKUP(TableHandbook[[#This Row],[UDC]],TableMCTEACH[],7,FALSE),"")</f>
        <v/>
      </c>
      <c r="Q95" s="231" t="str">
        <f>IFERROR(VLOOKUP(TableHandbook[[#This Row],[UDC]],TableMJRPTCHEC[],7,FALSE),"")</f>
        <v/>
      </c>
      <c r="R95" s="231" t="str">
        <f>IFERROR(VLOOKUP(TableHandbook[[#This Row],[UDC]],TableMJRPTCHPR[],7,FALSE),"")</f>
        <v/>
      </c>
      <c r="S95" s="231" t="str">
        <f>IFERROR(VLOOKUP(TableHandbook[[#This Row],[UDC]],TableMJRPTCHSC[],7,FALSE),"")</f>
        <v/>
      </c>
      <c r="T95" s="231" t="str">
        <f>IFERROR(VLOOKUP(TableHandbook[[#This Row],[UDC]],TableSTRPSCART[],7,FALSE),"")</f>
        <v/>
      </c>
      <c r="U95" s="231" t="str">
        <f>IFERROR(VLOOKUP(TableHandbook[[#This Row],[UDC]],TableSTRPSCENG[],7,FALSE),"")</f>
        <v/>
      </c>
      <c r="V95" s="231" t="str">
        <f>IFERROR(VLOOKUP(TableHandbook[[#This Row],[UDC]],TableSTRPSCHLP[],7,FALSE),"")</f>
        <v/>
      </c>
      <c r="W95" s="231" t="str">
        <f>IFERROR(VLOOKUP(TableHandbook[[#This Row],[UDC]],TableSTRPSCHUS[],7,FALSE),"")</f>
        <v/>
      </c>
      <c r="X95" s="231" t="str">
        <f>IFERROR(VLOOKUP(TableHandbook[[#This Row],[UDC]],TableSTRPSCMAT[],7,FALSE),"")</f>
        <v/>
      </c>
      <c r="Y95" s="231" t="str">
        <f>IFERROR(VLOOKUP(TableHandbook[[#This Row],[UDC]],TableSTRPSCSCI[],7,FALSE),"")</f>
        <v/>
      </c>
      <c r="Z95" s="231" t="str">
        <f>IFERROR(VLOOKUP(TableHandbook[[#This Row],[UDC]],TableSTRPSCFON[],7,FALSE),"")</f>
        <v/>
      </c>
      <c r="AA95" s="232" t="str">
        <f>IFERROR(VLOOKUP(TableHandbook[[#This Row],[UDC]],TableGCTESOL[],7,FALSE),"")</f>
        <v/>
      </c>
      <c r="AB95" s="231" t="str">
        <f>IFERROR(VLOOKUP(TableHandbook[[#This Row],[UDC]],TableMCTESOL[],7,FALSE),"")</f>
        <v/>
      </c>
      <c r="AC95" s="231" t="str">
        <f>IFERROR(VLOOKUP(TableHandbook[[#This Row],[UDC]],TableMCAPLING[],7,FALSE),"")</f>
        <v/>
      </c>
      <c r="AD95" s="232" t="str">
        <f>IFERROR(VLOOKUP(TableHandbook[[#This Row],[UDC]],TableGCEDHE[],7,FALSE),"")</f>
        <v/>
      </c>
      <c r="AE95" s="231" t="str">
        <f>IFERROR(VLOOKUP(TableHandbook[[#This Row],[UDC]],TableGCEDUC[],7,FALSE),"")</f>
        <v>Option</v>
      </c>
      <c r="AF95" s="231" t="str">
        <f>IFERROR(VLOOKUP(TableHandbook[[#This Row],[UDC]],TableGDEDUC[],7,FALSE),"")</f>
        <v/>
      </c>
      <c r="AG95" s="231" t="str">
        <f>IFERROR(VLOOKUP(TableHandbook[[#This Row],[UDC]],TableMJRPEDUPR[],7,FALSE),"")</f>
        <v/>
      </c>
      <c r="AH95" s="231" t="str">
        <f>IFERROR(VLOOKUP(TableHandbook[[#This Row],[UDC]],TableMJRPEDUSC[],7,FALSE),"")</f>
        <v/>
      </c>
      <c r="AI95" s="232" t="str">
        <f>IFERROR(VLOOKUP(TableHandbook[[#This Row],[UDC]],TableMCEDUC[],7,FALSE),"")</f>
        <v>Option</v>
      </c>
      <c r="AJ95" s="231" t="str">
        <f>IFERROR(VLOOKUP(TableHandbook[[#This Row],[UDC]],TableSPPECULIN[],7,FALSE),"")</f>
        <v/>
      </c>
      <c r="AK95" s="231" t="str">
        <f>IFERROR(VLOOKUP(TableHandbook[[#This Row],[UDC]],TableSPPELNTCH[],7,FALSE),"")</f>
        <v/>
      </c>
      <c r="AL95" s="231" t="str">
        <f>IFERROR(VLOOKUP(TableHandbook[[#This Row],[UDC]],TableSPPESTEME[],7,FALSE),"")</f>
        <v/>
      </c>
    </row>
    <row r="96" spans="1:38" x14ac:dyDescent="0.25">
      <c r="A96" s="2" t="s">
        <v>316</v>
      </c>
      <c r="B96" s="3"/>
      <c r="C96" s="3"/>
      <c r="D96" s="2" t="s">
        <v>440</v>
      </c>
      <c r="E96" s="3"/>
      <c r="F96" s="54"/>
      <c r="G96" s="55" t="str">
        <f>IFERROR(IF(VLOOKUP(TableHandbook[[#This Row],[UDC]],TableAvailabilities[],2,FALSE)&gt;0,"Y",""),"")</f>
        <v/>
      </c>
      <c r="H96" s="55" t="str">
        <f>IFERROR(IF(VLOOKUP(TableHandbook[[#This Row],[UDC]],TableAvailabilities[],3,FALSE)&gt;0,"Y",""),"")</f>
        <v/>
      </c>
      <c r="I96" s="55" t="str">
        <f>IFERROR(IF(VLOOKUP(TableHandbook[[#This Row],[UDC]],TableAvailabilities[],4,FALSE)&gt;0,"Y",""),"")</f>
        <v/>
      </c>
      <c r="J96" s="55" t="str">
        <f>IFERROR(IF(VLOOKUP(TableHandbook[[#This Row],[UDC]],TableAvailabilities[],5,FALSE)&gt;0,"Y",""),"")</f>
        <v/>
      </c>
      <c r="K96" s="55" t="str">
        <f>IFERROR(IF(VLOOKUP(TableHandbook[[#This Row],[UDC]],TableAvailabilities[],6,FALSE)&gt;0,"Y",""),"")</f>
        <v/>
      </c>
      <c r="L96" s="55" t="str">
        <f>IFERROR(IF(VLOOKUP(TableHandbook[[#This Row],[UDC]],TableAvailabilities[],7,FALSE)&gt;0,"Y",""),"")</f>
        <v/>
      </c>
      <c r="M96" s="55" t="str">
        <f>IFERROR(IF(VLOOKUP(TableHandbook[[#This Row],[UDC]],TableAvailabilities[],8,FALSE)&gt;0,"Y",""),"")</f>
        <v/>
      </c>
      <c r="N96" s="55" t="str">
        <f>IFERROR(IF(VLOOKUP(TableHandbook[[#This Row],[UDC]],TableAvailabilities[],9,FALSE)&gt;0,"Y",""),"")</f>
        <v/>
      </c>
      <c r="O96" s="230"/>
      <c r="P96" s="232" t="str">
        <f>IFERROR(VLOOKUP(TableHandbook[[#This Row],[UDC]],TableMCTEACH[],7,FALSE),"")</f>
        <v/>
      </c>
      <c r="Q96" s="231" t="str">
        <f>IFERROR(VLOOKUP(TableHandbook[[#This Row],[UDC]],TableMJRPTCHEC[],7,FALSE),"")</f>
        <v/>
      </c>
      <c r="R96" s="231" t="str">
        <f>IFERROR(VLOOKUP(TableHandbook[[#This Row],[UDC]],TableMJRPTCHPR[],7,FALSE),"")</f>
        <v/>
      </c>
      <c r="S96" s="231" t="str">
        <f>IFERROR(VLOOKUP(TableHandbook[[#This Row],[UDC]],TableMJRPTCHSC[],7,FALSE),"")</f>
        <v/>
      </c>
      <c r="T96" s="231" t="str">
        <f>IFERROR(VLOOKUP(TableHandbook[[#This Row],[UDC]],TableSTRPSCART[],7,FALSE),"")</f>
        <v/>
      </c>
      <c r="U96" s="231" t="str">
        <f>IFERROR(VLOOKUP(TableHandbook[[#This Row],[UDC]],TableSTRPSCENG[],7,FALSE),"")</f>
        <v/>
      </c>
      <c r="V96" s="231" t="str">
        <f>IFERROR(VLOOKUP(TableHandbook[[#This Row],[UDC]],TableSTRPSCHLP[],7,FALSE),"")</f>
        <v/>
      </c>
      <c r="W96" s="231" t="str">
        <f>IFERROR(VLOOKUP(TableHandbook[[#This Row],[UDC]],TableSTRPSCHUS[],7,FALSE),"")</f>
        <v/>
      </c>
      <c r="X96" s="231" t="str">
        <f>IFERROR(VLOOKUP(TableHandbook[[#This Row],[UDC]],TableSTRPSCMAT[],7,FALSE),"")</f>
        <v/>
      </c>
      <c r="Y96" s="231" t="str">
        <f>IFERROR(VLOOKUP(TableHandbook[[#This Row],[UDC]],TableSTRPSCSCI[],7,FALSE),"")</f>
        <v/>
      </c>
      <c r="Z96" s="231" t="str">
        <f>IFERROR(VLOOKUP(TableHandbook[[#This Row],[UDC]],TableSTRPSCFON[],7,FALSE),"")</f>
        <v/>
      </c>
      <c r="AA96" s="232" t="str">
        <f>IFERROR(VLOOKUP(TableHandbook[[#This Row],[UDC]],TableGCTESOL[],7,FALSE),"")</f>
        <v/>
      </c>
      <c r="AB96" s="231" t="str">
        <f>IFERROR(VLOOKUP(TableHandbook[[#This Row],[UDC]],TableMCTESOL[],7,FALSE),"")</f>
        <v/>
      </c>
      <c r="AC96" s="231" t="str">
        <f>IFERROR(VLOOKUP(TableHandbook[[#This Row],[UDC]],TableMCAPLING[],7,FALSE),"")</f>
        <v/>
      </c>
      <c r="AD96" s="232" t="str">
        <f>IFERROR(VLOOKUP(TableHandbook[[#This Row],[UDC]],TableGCEDHE[],7,FALSE),"")</f>
        <v/>
      </c>
      <c r="AE96" s="231" t="str">
        <f>IFERROR(VLOOKUP(TableHandbook[[#This Row],[UDC]],TableGCEDUC[],7,FALSE),"")</f>
        <v/>
      </c>
      <c r="AF96" s="231" t="str">
        <f>IFERROR(VLOOKUP(TableHandbook[[#This Row],[UDC]],TableGDEDUC[],7,FALSE),"")</f>
        <v/>
      </c>
      <c r="AG96" s="231" t="str">
        <f>IFERROR(VLOOKUP(TableHandbook[[#This Row],[UDC]],TableMJRPEDUPR[],7,FALSE),"")</f>
        <v/>
      </c>
      <c r="AH96" s="231" t="str">
        <f>IFERROR(VLOOKUP(TableHandbook[[#This Row],[UDC]],TableMJRPEDUSC[],7,FALSE),"")</f>
        <v/>
      </c>
      <c r="AI96" s="232" t="str">
        <f>IFERROR(VLOOKUP(TableHandbook[[#This Row],[UDC]],TableMCEDUC[],7,FALSE),"")</f>
        <v/>
      </c>
      <c r="AJ96" s="231" t="str">
        <f>IFERROR(VLOOKUP(TableHandbook[[#This Row],[UDC]],TableSPPECULIN[],7,FALSE),"")</f>
        <v/>
      </c>
      <c r="AK96" s="231" t="str">
        <f>IFERROR(VLOOKUP(TableHandbook[[#This Row],[UDC]],TableSPPELNTCH[],7,FALSE),"")</f>
        <v/>
      </c>
      <c r="AL96" s="231" t="str">
        <f>IFERROR(VLOOKUP(TableHandbook[[#This Row],[UDC]],TableSPPESTEME[],7,FALSE),"")</f>
        <v/>
      </c>
    </row>
    <row r="97" spans="1:38" x14ac:dyDescent="0.25">
      <c r="A97" s="2" t="s">
        <v>288</v>
      </c>
      <c r="B97" s="3"/>
      <c r="C97" s="3"/>
      <c r="D97" s="2" t="s">
        <v>441</v>
      </c>
      <c r="E97" s="3">
        <v>25</v>
      </c>
      <c r="F97" s="54" t="s">
        <v>421</v>
      </c>
      <c r="G97" s="55" t="str">
        <f>IFERROR(IF(VLOOKUP(TableHandbook[[#This Row],[UDC]],TableAvailabilities[],2,FALSE)&gt;0,"Y",""),"")</f>
        <v/>
      </c>
      <c r="H97" s="55" t="str">
        <f>IFERROR(IF(VLOOKUP(TableHandbook[[#This Row],[UDC]],TableAvailabilities[],3,FALSE)&gt;0,"Y",""),"")</f>
        <v/>
      </c>
      <c r="I97" s="55" t="str">
        <f>IFERROR(IF(VLOOKUP(TableHandbook[[#This Row],[UDC]],TableAvailabilities[],4,FALSE)&gt;0,"Y",""),"")</f>
        <v/>
      </c>
      <c r="J97" s="55" t="str">
        <f>IFERROR(IF(VLOOKUP(TableHandbook[[#This Row],[UDC]],TableAvailabilities[],5,FALSE)&gt;0,"Y",""),"")</f>
        <v/>
      </c>
      <c r="K97" s="55" t="str">
        <f>IFERROR(IF(VLOOKUP(TableHandbook[[#This Row],[UDC]],TableAvailabilities[],6,FALSE)&gt;0,"Y",""),"")</f>
        <v/>
      </c>
      <c r="L97" s="55" t="str">
        <f>IFERROR(IF(VLOOKUP(TableHandbook[[#This Row],[UDC]],TableAvailabilities[],7,FALSE)&gt;0,"Y",""),"")</f>
        <v/>
      </c>
      <c r="M97" s="55" t="str">
        <f>IFERROR(IF(VLOOKUP(TableHandbook[[#This Row],[UDC]],TableAvailabilities[],8,FALSE)&gt;0,"Y",""),"")</f>
        <v/>
      </c>
      <c r="N97" s="55" t="str">
        <f>IFERROR(IF(VLOOKUP(TableHandbook[[#This Row],[UDC]],TableAvailabilities[],9,FALSE)&gt;0,"Y",""),"")</f>
        <v/>
      </c>
      <c r="O97" s="230"/>
      <c r="P97" s="232" t="str">
        <f>IFERROR(VLOOKUP(TableHandbook[[#This Row],[UDC]],TableMCTEACH[],7,FALSE),"")</f>
        <v/>
      </c>
      <c r="Q97" s="231" t="str">
        <f>IFERROR(VLOOKUP(TableHandbook[[#This Row],[UDC]],TableMJRPTCHEC[],7,FALSE),"")</f>
        <v/>
      </c>
      <c r="R97" s="231" t="str">
        <f>IFERROR(VLOOKUP(TableHandbook[[#This Row],[UDC]],TableMJRPTCHPR[],7,FALSE),"")</f>
        <v/>
      </c>
      <c r="S97" s="231" t="str">
        <f>IFERROR(VLOOKUP(TableHandbook[[#This Row],[UDC]],TableMJRPTCHSC[],7,FALSE),"")</f>
        <v/>
      </c>
      <c r="T97" s="231" t="str">
        <f>IFERROR(VLOOKUP(TableHandbook[[#This Row],[UDC]],TableSTRPSCART[],7,FALSE),"")</f>
        <v/>
      </c>
      <c r="U97" s="231" t="str">
        <f>IFERROR(VLOOKUP(TableHandbook[[#This Row],[UDC]],TableSTRPSCENG[],7,FALSE),"")</f>
        <v/>
      </c>
      <c r="V97" s="231" t="str">
        <f>IFERROR(VLOOKUP(TableHandbook[[#This Row],[UDC]],TableSTRPSCHLP[],7,FALSE),"")</f>
        <v/>
      </c>
      <c r="W97" s="231" t="str">
        <f>IFERROR(VLOOKUP(TableHandbook[[#This Row],[UDC]],TableSTRPSCHUS[],7,FALSE),"")</f>
        <v/>
      </c>
      <c r="X97" s="231" t="str">
        <f>IFERROR(VLOOKUP(TableHandbook[[#This Row],[UDC]],TableSTRPSCMAT[],7,FALSE),"")</f>
        <v/>
      </c>
      <c r="Y97" s="231" t="str">
        <f>IFERROR(VLOOKUP(TableHandbook[[#This Row],[UDC]],TableSTRPSCSCI[],7,FALSE),"")</f>
        <v/>
      </c>
      <c r="Z97" s="231" t="str">
        <f>IFERROR(VLOOKUP(TableHandbook[[#This Row],[UDC]],TableSTRPSCFON[],7,FALSE),"")</f>
        <v/>
      </c>
      <c r="AA97" s="232" t="str">
        <f>IFERROR(VLOOKUP(TableHandbook[[#This Row],[UDC]],TableGCTESOL[],7,FALSE),"")</f>
        <v/>
      </c>
      <c r="AB97" s="231" t="str">
        <f>IFERROR(VLOOKUP(TableHandbook[[#This Row],[UDC]],TableMCTESOL[],7,FALSE),"")</f>
        <v/>
      </c>
      <c r="AC97" s="231" t="str">
        <f>IFERROR(VLOOKUP(TableHandbook[[#This Row],[UDC]],TableMCAPLING[],7,FALSE),"")</f>
        <v/>
      </c>
      <c r="AD97" s="232" t="str">
        <f>IFERROR(VLOOKUP(TableHandbook[[#This Row],[UDC]],TableGCEDHE[],7,FALSE),"")</f>
        <v/>
      </c>
      <c r="AE97" s="231" t="str">
        <f>IFERROR(VLOOKUP(TableHandbook[[#This Row],[UDC]],TableGCEDUC[],7,FALSE),"")</f>
        <v/>
      </c>
      <c r="AF97" s="231" t="str">
        <f>IFERROR(VLOOKUP(TableHandbook[[#This Row],[UDC]],TableGDEDUC[],7,FALSE),"")</f>
        <v/>
      </c>
      <c r="AG97" s="231" t="str">
        <f>IFERROR(VLOOKUP(TableHandbook[[#This Row],[UDC]],TableMJRPEDUPR[],7,FALSE),"")</f>
        <v/>
      </c>
      <c r="AH97" s="231" t="str">
        <f>IFERROR(VLOOKUP(TableHandbook[[#This Row],[UDC]],TableMJRPEDUSC[],7,FALSE),"")</f>
        <v/>
      </c>
      <c r="AI97" s="232" t="str">
        <f>IFERROR(VLOOKUP(TableHandbook[[#This Row],[UDC]],TableMCEDUC[],7,FALSE),"")</f>
        <v/>
      </c>
      <c r="AJ97" s="231" t="str">
        <f>IFERROR(VLOOKUP(TableHandbook[[#This Row],[UDC]],TableSPPECULIN[],7,FALSE),"")</f>
        <v/>
      </c>
      <c r="AK97" s="231" t="str">
        <f>IFERROR(VLOOKUP(TableHandbook[[#This Row],[UDC]],TableSPPELNTCH[],7,FALSE),"")</f>
        <v/>
      </c>
      <c r="AL97" s="231" t="str">
        <f>IFERROR(VLOOKUP(TableHandbook[[#This Row],[UDC]],TableSPPESTEME[],7,FALSE),"")</f>
        <v/>
      </c>
    </row>
    <row r="98" spans="1:38" x14ac:dyDescent="0.25">
      <c r="A98" s="2" t="s">
        <v>442</v>
      </c>
      <c r="B98" s="3"/>
      <c r="C98" s="3"/>
      <c r="D98" s="2" t="s">
        <v>443</v>
      </c>
      <c r="E98" s="3">
        <v>50</v>
      </c>
      <c r="F98" s="54"/>
      <c r="G98" s="55" t="str">
        <f>IFERROR(IF(VLOOKUP(TableHandbook[[#This Row],[UDC]],TableAvailabilities[],2,FALSE)&gt;0,"Y",""),"")</f>
        <v/>
      </c>
      <c r="H98" s="55" t="str">
        <f>IFERROR(IF(VLOOKUP(TableHandbook[[#This Row],[UDC]],TableAvailabilities[],3,FALSE)&gt;0,"Y",""),"")</f>
        <v/>
      </c>
      <c r="I98" s="55" t="str">
        <f>IFERROR(IF(VLOOKUP(TableHandbook[[#This Row],[UDC]],TableAvailabilities[],4,FALSE)&gt;0,"Y",""),"")</f>
        <v/>
      </c>
      <c r="J98" s="55" t="str">
        <f>IFERROR(IF(VLOOKUP(TableHandbook[[#This Row],[UDC]],TableAvailabilities[],5,FALSE)&gt;0,"Y",""),"")</f>
        <v/>
      </c>
      <c r="K98" s="55" t="str">
        <f>IFERROR(IF(VLOOKUP(TableHandbook[[#This Row],[UDC]],TableAvailabilities[],6,FALSE)&gt;0,"Y",""),"")</f>
        <v/>
      </c>
      <c r="L98" s="55" t="str">
        <f>IFERROR(IF(VLOOKUP(TableHandbook[[#This Row],[UDC]],TableAvailabilities[],7,FALSE)&gt;0,"Y",""),"")</f>
        <v/>
      </c>
      <c r="M98" s="55" t="str">
        <f>IFERROR(IF(VLOOKUP(TableHandbook[[#This Row],[UDC]],TableAvailabilities[],8,FALSE)&gt;0,"Y",""),"")</f>
        <v/>
      </c>
      <c r="N98" s="55" t="str">
        <f>IFERROR(IF(VLOOKUP(TableHandbook[[#This Row],[UDC]],TableAvailabilities[],9,FALSE)&gt;0,"Y",""),"")</f>
        <v/>
      </c>
      <c r="O98" s="230"/>
      <c r="P98" s="232" t="str">
        <f>IFERROR(VLOOKUP(TableHandbook[[#This Row],[UDC]],TableMCTEACH[],7,FALSE),"")</f>
        <v/>
      </c>
      <c r="Q98" s="231" t="str">
        <f>IFERROR(VLOOKUP(TableHandbook[[#This Row],[UDC]],TableMJRPTCHEC[],7,FALSE),"")</f>
        <v/>
      </c>
      <c r="R98" s="231" t="str">
        <f>IFERROR(VLOOKUP(TableHandbook[[#This Row],[UDC]],TableMJRPTCHPR[],7,FALSE),"")</f>
        <v/>
      </c>
      <c r="S98" s="231" t="str">
        <f>IFERROR(VLOOKUP(TableHandbook[[#This Row],[UDC]],TableMJRPTCHSC[],7,FALSE),"")</f>
        <v/>
      </c>
      <c r="T98" s="231" t="str">
        <f>IFERROR(VLOOKUP(TableHandbook[[#This Row],[UDC]],TableSTRPSCART[],7,FALSE),"")</f>
        <v/>
      </c>
      <c r="U98" s="231" t="str">
        <f>IFERROR(VLOOKUP(TableHandbook[[#This Row],[UDC]],TableSTRPSCENG[],7,FALSE),"")</f>
        <v/>
      </c>
      <c r="V98" s="231" t="str">
        <f>IFERROR(VLOOKUP(TableHandbook[[#This Row],[UDC]],TableSTRPSCHLP[],7,FALSE),"")</f>
        <v/>
      </c>
      <c r="W98" s="231" t="str">
        <f>IFERROR(VLOOKUP(TableHandbook[[#This Row],[UDC]],TableSTRPSCHUS[],7,FALSE),"")</f>
        <v/>
      </c>
      <c r="X98" s="231" t="str">
        <f>IFERROR(VLOOKUP(TableHandbook[[#This Row],[UDC]],TableSTRPSCMAT[],7,FALSE),"")</f>
        <v/>
      </c>
      <c r="Y98" s="231" t="str">
        <f>IFERROR(VLOOKUP(TableHandbook[[#This Row],[UDC]],TableSTRPSCSCI[],7,FALSE),"")</f>
        <v/>
      </c>
      <c r="Z98" s="231" t="str">
        <f>IFERROR(VLOOKUP(TableHandbook[[#This Row],[UDC]],TableSTRPSCFON[],7,FALSE),"")</f>
        <v/>
      </c>
      <c r="AA98" s="232" t="str">
        <f>IFERROR(VLOOKUP(TableHandbook[[#This Row],[UDC]],TableGCTESOL[],7,FALSE),"")</f>
        <v/>
      </c>
      <c r="AB98" s="231" t="str">
        <f>IFERROR(VLOOKUP(TableHandbook[[#This Row],[UDC]],TableMCTESOL[],7,FALSE),"")</f>
        <v/>
      </c>
      <c r="AC98" s="231" t="str">
        <f>IFERROR(VLOOKUP(TableHandbook[[#This Row],[UDC]],TableMCAPLING[],7,FALSE),"")</f>
        <v/>
      </c>
      <c r="AD98" s="232" t="str">
        <f>IFERROR(VLOOKUP(TableHandbook[[#This Row],[UDC]],TableGCEDHE[],7,FALSE),"")</f>
        <v/>
      </c>
      <c r="AE98" s="231" t="str">
        <f>IFERROR(VLOOKUP(TableHandbook[[#This Row],[UDC]],TableGCEDUC[],7,FALSE),"")</f>
        <v/>
      </c>
      <c r="AF98" s="231" t="str">
        <f>IFERROR(VLOOKUP(TableHandbook[[#This Row],[UDC]],TableGDEDUC[],7,FALSE),"")</f>
        <v/>
      </c>
      <c r="AG98" s="231" t="str">
        <f>IFERROR(VLOOKUP(TableHandbook[[#This Row],[UDC]],TableMJRPEDUPR[],7,FALSE),"")</f>
        <v/>
      </c>
      <c r="AH98" s="231" t="str">
        <f>IFERROR(VLOOKUP(TableHandbook[[#This Row],[UDC]],TableMJRPEDUSC[],7,FALSE),"")</f>
        <v/>
      </c>
      <c r="AI98" s="232" t="str">
        <f>IFERROR(VLOOKUP(TableHandbook[[#This Row],[UDC]],TableMCEDUC[],7,FALSE),"")</f>
        <v/>
      </c>
      <c r="AJ98" s="231" t="str">
        <f>IFERROR(VLOOKUP(TableHandbook[[#This Row],[UDC]],TableSPPECULIN[],7,FALSE),"")</f>
        <v/>
      </c>
      <c r="AK98" s="231" t="str">
        <f>IFERROR(VLOOKUP(TableHandbook[[#This Row],[UDC]],TableSPPELNTCH[],7,FALSE),"")</f>
        <v/>
      </c>
      <c r="AL98" s="231" t="str">
        <f>IFERROR(VLOOKUP(TableHandbook[[#This Row],[UDC]],TableSPPESTEME[],7,FALSE),"")</f>
        <v/>
      </c>
    </row>
    <row r="99" spans="1:38" x14ac:dyDescent="0.25">
      <c r="A99" s="2" t="s">
        <v>295</v>
      </c>
      <c r="B99" s="3"/>
      <c r="C99" s="3"/>
      <c r="D99" s="2" t="s">
        <v>444</v>
      </c>
      <c r="E99" s="3">
        <v>25</v>
      </c>
      <c r="F99" s="54" t="s">
        <v>421</v>
      </c>
      <c r="G99" s="55" t="str">
        <f>IFERROR(IF(VLOOKUP(TableHandbook[[#This Row],[UDC]],TableAvailabilities[],2,FALSE)&gt;0,"Y",""),"")</f>
        <v/>
      </c>
      <c r="H99" s="55" t="str">
        <f>IFERROR(IF(VLOOKUP(TableHandbook[[#This Row],[UDC]],TableAvailabilities[],3,FALSE)&gt;0,"Y",""),"")</f>
        <v/>
      </c>
      <c r="I99" s="55" t="str">
        <f>IFERROR(IF(VLOOKUP(TableHandbook[[#This Row],[UDC]],TableAvailabilities[],4,FALSE)&gt;0,"Y",""),"")</f>
        <v/>
      </c>
      <c r="J99" s="55" t="str">
        <f>IFERROR(IF(VLOOKUP(TableHandbook[[#This Row],[UDC]],TableAvailabilities[],5,FALSE)&gt;0,"Y",""),"")</f>
        <v/>
      </c>
      <c r="K99" s="55" t="str">
        <f>IFERROR(IF(VLOOKUP(TableHandbook[[#This Row],[UDC]],TableAvailabilities[],6,FALSE)&gt;0,"Y",""),"")</f>
        <v/>
      </c>
      <c r="L99" s="55" t="str">
        <f>IFERROR(IF(VLOOKUP(TableHandbook[[#This Row],[UDC]],TableAvailabilities[],7,FALSE)&gt;0,"Y",""),"")</f>
        <v/>
      </c>
      <c r="M99" s="55" t="str">
        <f>IFERROR(IF(VLOOKUP(TableHandbook[[#This Row],[UDC]],TableAvailabilities[],8,FALSE)&gt;0,"Y",""),"")</f>
        <v/>
      </c>
      <c r="N99" s="55" t="str">
        <f>IFERROR(IF(VLOOKUP(TableHandbook[[#This Row],[UDC]],TableAvailabilities[],9,FALSE)&gt;0,"Y",""),"")</f>
        <v/>
      </c>
      <c r="O99" s="230"/>
      <c r="P99" s="232" t="str">
        <f>IFERROR(VLOOKUP(TableHandbook[[#This Row],[UDC]],TableMCTEACH[],7,FALSE),"")</f>
        <v/>
      </c>
      <c r="Q99" s="231" t="str">
        <f>IFERROR(VLOOKUP(TableHandbook[[#This Row],[UDC]],TableMJRPTCHEC[],7,FALSE),"")</f>
        <v/>
      </c>
      <c r="R99" s="231" t="str">
        <f>IFERROR(VLOOKUP(TableHandbook[[#This Row],[UDC]],TableMJRPTCHPR[],7,FALSE),"")</f>
        <v/>
      </c>
      <c r="S99" s="231" t="str">
        <f>IFERROR(VLOOKUP(TableHandbook[[#This Row],[UDC]],TableMJRPTCHSC[],7,FALSE),"")</f>
        <v/>
      </c>
      <c r="T99" s="231" t="str">
        <f>IFERROR(VLOOKUP(TableHandbook[[#This Row],[UDC]],TableSTRPSCART[],7,FALSE),"")</f>
        <v/>
      </c>
      <c r="U99" s="231" t="str">
        <f>IFERROR(VLOOKUP(TableHandbook[[#This Row],[UDC]],TableSTRPSCENG[],7,FALSE),"")</f>
        <v/>
      </c>
      <c r="V99" s="231" t="str">
        <f>IFERROR(VLOOKUP(TableHandbook[[#This Row],[UDC]],TableSTRPSCHLP[],7,FALSE),"")</f>
        <v/>
      </c>
      <c r="W99" s="231" t="str">
        <f>IFERROR(VLOOKUP(TableHandbook[[#This Row],[UDC]],TableSTRPSCHUS[],7,FALSE),"")</f>
        <v/>
      </c>
      <c r="X99" s="231" t="str">
        <f>IFERROR(VLOOKUP(TableHandbook[[#This Row],[UDC]],TableSTRPSCMAT[],7,FALSE),"")</f>
        <v/>
      </c>
      <c r="Y99" s="231" t="str">
        <f>IFERROR(VLOOKUP(TableHandbook[[#This Row],[UDC]],TableSTRPSCSCI[],7,FALSE),"")</f>
        <v/>
      </c>
      <c r="Z99" s="231" t="str">
        <f>IFERROR(VLOOKUP(TableHandbook[[#This Row],[UDC]],TableSTRPSCFON[],7,FALSE),"")</f>
        <v/>
      </c>
      <c r="AA99" s="232" t="str">
        <f>IFERROR(VLOOKUP(TableHandbook[[#This Row],[UDC]],TableGCTESOL[],7,FALSE),"")</f>
        <v/>
      </c>
      <c r="AB99" s="231" t="str">
        <f>IFERROR(VLOOKUP(TableHandbook[[#This Row],[UDC]],TableMCTESOL[],7,FALSE),"")</f>
        <v/>
      </c>
      <c r="AC99" s="231" t="str">
        <f>IFERROR(VLOOKUP(TableHandbook[[#This Row],[UDC]],TableMCAPLING[],7,FALSE),"")</f>
        <v/>
      </c>
      <c r="AD99" s="232" t="str">
        <f>IFERROR(VLOOKUP(TableHandbook[[#This Row],[UDC]],TableGCEDHE[],7,FALSE),"")</f>
        <v/>
      </c>
      <c r="AE99" s="231" t="str">
        <f>IFERROR(VLOOKUP(TableHandbook[[#This Row],[UDC]],TableGCEDUC[],7,FALSE),"")</f>
        <v/>
      </c>
      <c r="AF99" s="231" t="str">
        <f>IFERROR(VLOOKUP(TableHandbook[[#This Row],[UDC]],TableGDEDUC[],7,FALSE),"")</f>
        <v/>
      </c>
      <c r="AG99" s="231" t="str">
        <f>IFERROR(VLOOKUP(TableHandbook[[#This Row],[UDC]],TableMJRPEDUPR[],7,FALSE),"")</f>
        <v/>
      </c>
      <c r="AH99" s="231" t="str">
        <f>IFERROR(VLOOKUP(TableHandbook[[#This Row],[UDC]],TableMJRPEDUSC[],7,FALSE),"")</f>
        <v/>
      </c>
      <c r="AI99" s="232" t="str">
        <f>IFERROR(VLOOKUP(TableHandbook[[#This Row],[UDC]],TableMCEDUC[],7,FALSE),"")</f>
        <v/>
      </c>
      <c r="AJ99" s="231" t="str">
        <f>IFERROR(VLOOKUP(TableHandbook[[#This Row],[UDC]],TableSPPECULIN[],7,FALSE),"")</f>
        <v/>
      </c>
      <c r="AK99" s="231" t="str">
        <f>IFERROR(VLOOKUP(TableHandbook[[#This Row],[UDC]],TableSPPELNTCH[],7,FALSE),"")</f>
        <v/>
      </c>
      <c r="AL99" s="231" t="str">
        <f>IFERROR(VLOOKUP(TableHandbook[[#This Row],[UDC]],TableSPPESTEME[],7,FALSE),"")</f>
        <v/>
      </c>
    </row>
    <row r="100" spans="1:38" x14ac:dyDescent="0.25">
      <c r="A100" s="2" t="s">
        <v>274</v>
      </c>
      <c r="B100" s="3">
        <v>1</v>
      </c>
      <c r="C100" s="3"/>
      <c r="D100" s="2" t="s">
        <v>445</v>
      </c>
      <c r="E100" s="3">
        <v>50</v>
      </c>
      <c r="F100" s="54"/>
      <c r="G100" s="55" t="str">
        <f>IFERROR(IF(VLOOKUP(TableHandbook[[#This Row],[UDC]],TableAvailabilities[],2,FALSE)&gt;0,"Y",""),"")</f>
        <v/>
      </c>
      <c r="H100" s="55" t="str">
        <f>IFERROR(IF(VLOOKUP(TableHandbook[[#This Row],[UDC]],TableAvailabilities[],3,FALSE)&gt;0,"Y",""),"")</f>
        <v/>
      </c>
      <c r="I100" s="55" t="str">
        <f>IFERROR(IF(VLOOKUP(TableHandbook[[#This Row],[UDC]],TableAvailabilities[],4,FALSE)&gt;0,"Y",""),"")</f>
        <v/>
      </c>
      <c r="J100" s="55" t="str">
        <f>IFERROR(IF(VLOOKUP(TableHandbook[[#This Row],[UDC]],TableAvailabilities[],5,FALSE)&gt;0,"Y",""),"")</f>
        <v/>
      </c>
      <c r="K100" s="55" t="str">
        <f>IFERROR(IF(VLOOKUP(TableHandbook[[#This Row],[UDC]],TableAvailabilities[],6,FALSE)&gt;0,"Y",""),"")</f>
        <v/>
      </c>
      <c r="L100" s="55" t="str">
        <f>IFERROR(IF(VLOOKUP(TableHandbook[[#This Row],[UDC]],TableAvailabilities[],7,FALSE)&gt;0,"Y",""),"")</f>
        <v/>
      </c>
      <c r="M100" s="55" t="str">
        <f>IFERROR(IF(VLOOKUP(TableHandbook[[#This Row],[UDC]],TableAvailabilities[],8,FALSE)&gt;0,"Y",""),"")</f>
        <v/>
      </c>
      <c r="N100" s="55" t="str">
        <f>IFERROR(IF(VLOOKUP(TableHandbook[[#This Row],[UDC]],TableAvailabilities[],9,FALSE)&gt;0,"Y",""),"")</f>
        <v/>
      </c>
      <c r="O100" s="230"/>
      <c r="P100" s="232" t="str">
        <f>IFERROR(VLOOKUP(TableHandbook[[#This Row],[UDC]],TableMCTEACH[],7,FALSE),"")</f>
        <v/>
      </c>
      <c r="Q100" s="231" t="str">
        <f>IFERROR(VLOOKUP(TableHandbook[[#This Row],[UDC]],TableMJRPTCHEC[],7,FALSE),"")</f>
        <v/>
      </c>
      <c r="R100" s="231" t="str">
        <f>IFERROR(VLOOKUP(TableHandbook[[#This Row],[UDC]],TableMJRPTCHPR[],7,FALSE),"")</f>
        <v/>
      </c>
      <c r="S100" s="231" t="str">
        <f>IFERROR(VLOOKUP(TableHandbook[[#This Row],[UDC]],TableMJRPTCHSC[],7,FALSE),"")</f>
        <v>Option</v>
      </c>
      <c r="T100" s="231" t="str">
        <f>IFERROR(VLOOKUP(TableHandbook[[#This Row],[UDC]],TableSTRPSCART[],7,FALSE),"")</f>
        <v/>
      </c>
      <c r="U100" s="231" t="str">
        <f>IFERROR(VLOOKUP(TableHandbook[[#This Row],[UDC]],TableSTRPSCENG[],7,FALSE),"")</f>
        <v/>
      </c>
      <c r="V100" s="231" t="str">
        <f>IFERROR(VLOOKUP(TableHandbook[[#This Row],[UDC]],TableSTRPSCHLP[],7,FALSE),"")</f>
        <v/>
      </c>
      <c r="W100" s="231" t="str">
        <f>IFERROR(VLOOKUP(TableHandbook[[#This Row],[UDC]],TableSTRPSCHUS[],7,FALSE),"")</f>
        <v/>
      </c>
      <c r="X100" s="231" t="str">
        <f>IFERROR(VLOOKUP(TableHandbook[[#This Row],[UDC]],TableSTRPSCMAT[],7,FALSE),"")</f>
        <v/>
      </c>
      <c r="Y100" s="231" t="str">
        <f>IFERROR(VLOOKUP(TableHandbook[[#This Row],[UDC]],TableSTRPSCSCI[],7,FALSE),"")</f>
        <v/>
      </c>
      <c r="Z100" s="231" t="str">
        <f>IFERROR(VLOOKUP(TableHandbook[[#This Row],[UDC]],TableSTRPSCFON[],7,FALSE),"")</f>
        <v/>
      </c>
      <c r="AA100" s="232" t="str">
        <f>IFERROR(VLOOKUP(TableHandbook[[#This Row],[UDC]],TableGCTESOL[],7,FALSE),"")</f>
        <v/>
      </c>
      <c r="AB100" s="231" t="str">
        <f>IFERROR(VLOOKUP(TableHandbook[[#This Row],[UDC]],TableMCTESOL[],7,FALSE),"")</f>
        <v/>
      </c>
      <c r="AC100" s="231" t="str">
        <f>IFERROR(VLOOKUP(TableHandbook[[#This Row],[UDC]],TableMCAPLING[],7,FALSE),"")</f>
        <v/>
      </c>
      <c r="AD100" s="232" t="str">
        <f>IFERROR(VLOOKUP(TableHandbook[[#This Row],[UDC]],TableGCEDHE[],7,FALSE),"")</f>
        <v/>
      </c>
      <c r="AE100" s="231" t="str">
        <f>IFERROR(VLOOKUP(TableHandbook[[#This Row],[UDC]],TableGCEDUC[],7,FALSE),"")</f>
        <v/>
      </c>
      <c r="AF100" s="231" t="str">
        <f>IFERROR(VLOOKUP(TableHandbook[[#This Row],[UDC]],TableGDEDUC[],7,FALSE),"")</f>
        <v/>
      </c>
      <c r="AG100" s="231" t="str">
        <f>IFERROR(VLOOKUP(TableHandbook[[#This Row],[UDC]],TableMJRPEDUPR[],7,FALSE),"")</f>
        <v/>
      </c>
      <c r="AH100" s="231" t="str">
        <f>IFERROR(VLOOKUP(TableHandbook[[#This Row],[UDC]],TableMJRPEDUSC[],7,FALSE),"")</f>
        <v>Option</v>
      </c>
      <c r="AI100" s="232" t="str">
        <f>IFERROR(VLOOKUP(TableHandbook[[#This Row],[UDC]],TableMCEDUC[],7,FALSE),"")</f>
        <v/>
      </c>
      <c r="AJ100" s="231" t="str">
        <f>IFERROR(VLOOKUP(TableHandbook[[#This Row],[UDC]],TableSPPECULIN[],7,FALSE),"")</f>
        <v/>
      </c>
      <c r="AK100" s="231" t="str">
        <f>IFERROR(VLOOKUP(TableHandbook[[#This Row],[UDC]],TableSPPELNTCH[],7,FALSE),"")</f>
        <v/>
      </c>
      <c r="AL100" s="231" t="str">
        <f>IFERROR(VLOOKUP(TableHandbook[[#This Row],[UDC]],TableSPPESTEME[],7,FALSE),"")</f>
        <v/>
      </c>
    </row>
    <row r="101" spans="1:38" x14ac:dyDescent="0.25">
      <c r="A101" s="2" t="s">
        <v>280</v>
      </c>
      <c r="B101" s="3">
        <v>1</v>
      </c>
      <c r="C101" s="3"/>
      <c r="D101" s="2" t="s">
        <v>446</v>
      </c>
      <c r="E101" s="3">
        <v>50</v>
      </c>
      <c r="F101" s="54"/>
      <c r="G101" s="55" t="str">
        <f>IFERROR(IF(VLOOKUP(TableHandbook[[#This Row],[UDC]],TableAvailabilities[],2,FALSE)&gt;0,"Y",""),"")</f>
        <v/>
      </c>
      <c r="H101" s="55" t="str">
        <f>IFERROR(IF(VLOOKUP(TableHandbook[[#This Row],[UDC]],TableAvailabilities[],3,FALSE)&gt;0,"Y",""),"")</f>
        <v/>
      </c>
      <c r="I101" s="55" t="str">
        <f>IFERROR(IF(VLOOKUP(TableHandbook[[#This Row],[UDC]],TableAvailabilities[],4,FALSE)&gt;0,"Y",""),"")</f>
        <v/>
      </c>
      <c r="J101" s="55" t="str">
        <f>IFERROR(IF(VLOOKUP(TableHandbook[[#This Row],[UDC]],TableAvailabilities[],5,FALSE)&gt;0,"Y",""),"")</f>
        <v/>
      </c>
      <c r="K101" s="55" t="str">
        <f>IFERROR(IF(VLOOKUP(TableHandbook[[#This Row],[UDC]],TableAvailabilities[],6,FALSE)&gt;0,"Y",""),"")</f>
        <v/>
      </c>
      <c r="L101" s="55" t="str">
        <f>IFERROR(IF(VLOOKUP(TableHandbook[[#This Row],[UDC]],TableAvailabilities[],7,FALSE)&gt;0,"Y",""),"")</f>
        <v/>
      </c>
      <c r="M101" s="55" t="str">
        <f>IFERROR(IF(VLOOKUP(TableHandbook[[#This Row],[UDC]],TableAvailabilities[],8,FALSE)&gt;0,"Y",""),"")</f>
        <v/>
      </c>
      <c r="N101" s="55" t="str">
        <f>IFERROR(IF(VLOOKUP(TableHandbook[[#This Row],[UDC]],TableAvailabilities[],9,FALSE)&gt;0,"Y",""),"")</f>
        <v/>
      </c>
      <c r="O101" s="230"/>
      <c r="P101" s="232" t="str">
        <f>IFERROR(VLOOKUP(TableHandbook[[#This Row],[UDC]],TableMCTEACH[],7,FALSE),"")</f>
        <v/>
      </c>
      <c r="Q101" s="231" t="str">
        <f>IFERROR(VLOOKUP(TableHandbook[[#This Row],[UDC]],TableMJRPTCHEC[],7,FALSE),"")</f>
        <v/>
      </c>
      <c r="R101" s="231" t="str">
        <f>IFERROR(VLOOKUP(TableHandbook[[#This Row],[UDC]],TableMJRPTCHPR[],7,FALSE),"")</f>
        <v/>
      </c>
      <c r="S101" s="231" t="str">
        <f>IFERROR(VLOOKUP(TableHandbook[[#This Row],[UDC]],TableMJRPTCHSC[],7,FALSE),"")</f>
        <v>Option</v>
      </c>
      <c r="T101" s="231" t="str">
        <f>IFERROR(VLOOKUP(TableHandbook[[#This Row],[UDC]],TableSTRPSCART[],7,FALSE),"")</f>
        <v/>
      </c>
      <c r="U101" s="231" t="str">
        <f>IFERROR(VLOOKUP(TableHandbook[[#This Row],[UDC]],TableSTRPSCENG[],7,FALSE),"")</f>
        <v/>
      </c>
      <c r="V101" s="231" t="str">
        <f>IFERROR(VLOOKUP(TableHandbook[[#This Row],[UDC]],TableSTRPSCHLP[],7,FALSE),"")</f>
        <v/>
      </c>
      <c r="W101" s="231" t="str">
        <f>IFERROR(VLOOKUP(TableHandbook[[#This Row],[UDC]],TableSTRPSCHUS[],7,FALSE),"")</f>
        <v/>
      </c>
      <c r="X101" s="231" t="str">
        <f>IFERROR(VLOOKUP(TableHandbook[[#This Row],[UDC]],TableSTRPSCMAT[],7,FALSE),"")</f>
        <v/>
      </c>
      <c r="Y101" s="231" t="str">
        <f>IFERROR(VLOOKUP(TableHandbook[[#This Row],[UDC]],TableSTRPSCSCI[],7,FALSE),"")</f>
        <v/>
      </c>
      <c r="Z101" s="231" t="str">
        <f>IFERROR(VLOOKUP(TableHandbook[[#This Row],[UDC]],TableSTRPSCFON[],7,FALSE),"")</f>
        <v/>
      </c>
      <c r="AA101" s="232" t="str">
        <f>IFERROR(VLOOKUP(TableHandbook[[#This Row],[UDC]],TableGCTESOL[],7,FALSE),"")</f>
        <v/>
      </c>
      <c r="AB101" s="231" t="str">
        <f>IFERROR(VLOOKUP(TableHandbook[[#This Row],[UDC]],TableMCTESOL[],7,FALSE),"")</f>
        <v/>
      </c>
      <c r="AC101" s="231" t="str">
        <f>IFERROR(VLOOKUP(TableHandbook[[#This Row],[UDC]],TableMCAPLING[],7,FALSE),"")</f>
        <v/>
      </c>
      <c r="AD101" s="232" t="str">
        <f>IFERROR(VLOOKUP(TableHandbook[[#This Row],[UDC]],TableGCEDHE[],7,FALSE),"")</f>
        <v/>
      </c>
      <c r="AE101" s="231" t="str">
        <f>IFERROR(VLOOKUP(TableHandbook[[#This Row],[UDC]],TableGCEDUC[],7,FALSE),"")</f>
        <v/>
      </c>
      <c r="AF101" s="231" t="str">
        <f>IFERROR(VLOOKUP(TableHandbook[[#This Row],[UDC]],TableGDEDUC[],7,FALSE),"")</f>
        <v/>
      </c>
      <c r="AG101" s="231" t="str">
        <f>IFERROR(VLOOKUP(TableHandbook[[#This Row],[UDC]],TableMJRPEDUPR[],7,FALSE),"")</f>
        <v/>
      </c>
      <c r="AH101" s="231" t="str">
        <f>IFERROR(VLOOKUP(TableHandbook[[#This Row],[UDC]],TableMJRPEDUSC[],7,FALSE),"")</f>
        <v>Option</v>
      </c>
      <c r="AI101" s="232" t="str">
        <f>IFERROR(VLOOKUP(TableHandbook[[#This Row],[UDC]],TableMCEDUC[],7,FALSE),"")</f>
        <v/>
      </c>
      <c r="AJ101" s="231" t="str">
        <f>IFERROR(VLOOKUP(TableHandbook[[#This Row],[UDC]],TableSPPECULIN[],7,FALSE),"")</f>
        <v/>
      </c>
      <c r="AK101" s="231" t="str">
        <f>IFERROR(VLOOKUP(TableHandbook[[#This Row],[UDC]],TableSPPELNTCH[],7,FALSE),"")</f>
        <v/>
      </c>
      <c r="AL101" s="231" t="str">
        <f>IFERROR(VLOOKUP(TableHandbook[[#This Row],[UDC]],TableSPPESTEME[],7,FALSE),"")</f>
        <v/>
      </c>
    </row>
    <row r="102" spans="1:38" x14ac:dyDescent="0.25">
      <c r="A102" s="2" t="s">
        <v>277</v>
      </c>
      <c r="B102" s="3">
        <v>1</v>
      </c>
      <c r="C102" s="3"/>
      <c r="D102" s="2" t="s">
        <v>447</v>
      </c>
      <c r="E102" s="3">
        <v>50</v>
      </c>
      <c r="F102" s="54"/>
      <c r="G102" s="55" t="str">
        <f>IFERROR(IF(VLOOKUP(TableHandbook[[#This Row],[UDC]],TableAvailabilities[],2,FALSE)&gt;0,"Y",""),"")</f>
        <v/>
      </c>
      <c r="H102" s="55" t="str">
        <f>IFERROR(IF(VLOOKUP(TableHandbook[[#This Row],[UDC]],TableAvailabilities[],3,FALSE)&gt;0,"Y",""),"")</f>
        <v/>
      </c>
      <c r="I102" s="55" t="str">
        <f>IFERROR(IF(VLOOKUP(TableHandbook[[#This Row],[UDC]],TableAvailabilities[],4,FALSE)&gt;0,"Y",""),"")</f>
        <v/>
      </c>
      <c r="J102" s="55" t="str">
        <f>IFERROR(IF(VLOOKUP(TableHandbook[[#This Row],[UDC]],TableAvailabilities[],5,FALSE)&gt;0,"Y",""),"")</f>
        <v/>
      </c>
      <c r="K102" s="55" t="str">
        <f>IFERROR(IF(VLOOKUP(TableHandbook[[#This Row],[UDC]],TableAvailabilities[],6,FALSE)&gt;0,"Y",""),"")</f>
        <v/>
      </c>
      <c r="L102" s="55" t="str">
        <f>IFERROR(IF(VLOOKUP(TableHandbook[[#This Row],[UDC]],TableAvailabilities[],7,FALSE)&gt;0,"Y",""),"")</f>
        <v/>
      </c>
      <c r="M102" s="55" t="str">
        <f>IFERROR(IF(VLOOKUP(TableHandbook[[#This Row],[UDC]],TableAvailabilities[],8,FALSE)&gt;0,"Y",""),"")</f>
        <v/>
      </c>
      <c r="N102" s="55" t="str">
        <f>IFERROR(IF(VLOOKUP(TableHandbook[[#This Row],[UDC]],TableAvailabilities[],9,FALSE)&gt;0,"Y",""),"")</f>
        <v/>
      </c>
      <c r="O102" s="230"/>
      <c r="P102" s="232" t="str">
        <f>IFERROR(VLOOKUP(TableHandbook[[#This Row],[UDC]],TableMCTEACH[],7,FALSE),"")</f>
        <v/>
      </c>
      <c r="Q102" s="231" t="str">
        <f>IFERROR(VLOOKUP(TableHandbook[[#This Row],[UDC]],TableMJRPTCHEC[],7,FALSE),"")</f>
        <v/>
      </c>
      <c r="R102" s="231" t="str">
        <f>IFERROR(VLOOKUP(TableHandbook[[#This Row],[UDC]],TableMJRPTCHPR[],7,FALSE),"")</f>
        <v/>
      </c>
      <c r="S102" s="231" t="str">
        <f>IFERROR(VLOOKUP(TableHandbook[[#This Row],[UDC]],TableMJRPTCHSC[],7,FALSE),"")</f>
        <v>Option</v>
      </c>
      <c r="T102" s="231" t="str">
        <f>IFERROR(VLOOKUP(TableHandbook[[#This Row],[UDC]],TableSTRPSCART[],7,FALSE),"")</f>
        <v/>
      </c>
      <c r="U102" s="231" t="str">
        <f>IFERROR(VLOOKUP(TableHandbook[[#This Row],[UDC]],TableSTRPSCENG[],7,FALSE),"")</f>
        <v/>
      </c>
      <c r="V102" s="231" t="str">
        <f>IFERROR(VLOOKUP(TableHandbook[[#This Row],[UDC]],TableSTRPSCHLP[],7,FALSE),"")</f>
        <v/>
      </c>
      <c r="W102" s="231" t="str">
        <f>IFERROR(VLOOKUP(TableHandbook[[#This Row],[UDC]],TableSTRPSCHUS[],7,FALSE),"")</f>
        <v/>
      </c>
      <c r="X102" s="231" t="str">
        <f>IFERROR(VLOOKUP(TableHandbook[[#This Row],[UDC]],TableSTRPSCMAT[],7,FALSE),"")</f>
        <v/>
      </c>
      <c r="Y102" s="231" t="str">
        <f>IFERROR(VLOOKUP(TableHandbook[[#This Row],[UDC]],TableSTRPSCSCI[],7,FALSE),"")</f>
        <v/>
      </c>
      <c r="Z102" s="231" t="str">
        <f>IFERROR(VLOOKUP(TableHandbook[[#This Row],[UDC]],TableSTRPSCFON[],7,FALSE),"")</f>
        <v/>
      </c>
      <c r="AA102" s="232" t="str">
        <f>IFERROR(VLOOKUP(TableHandbook[[#This Row],[UDC]],TableGCTESOL[],7,FALSE),"")</f>
        <v/>
      </c>
      <c r="AB102" s="231" t="str">
        <f>IFERROR(VLOOKUP(TableHandbook[[#This Row],[UDC]],TableMCTESOL[],7,FALSE),"")</f>
        <v/>
      </c>
      <c r="AC102" s="231" t="str">
        <f>IFERROR(VLOOKUP(TableHandbook[[#This Row],[UDC]],TableMCAPLING[],7,FALSE),"")</f>
        <v/>
      </c>
      <c r="AD102" s="232" t="str">
        <f>IFERROR(VLOOKUP(TableHandbook[[#This Row],[UDC]],TableGCEDHE[],7,FALSE),"")</f>
        <v/>
      </c>
      <c r="AE102" s="231" t="str">
        <f>IFERROR(VLOOKUP(TableHandbook[[#This Row],[UDC]],TableGCEDUC[],7,FALSE),"")</f>
        <v/>
      </c>
      <c r="AF102" s="231" t="str">
        <f>IFERROR(VLOOKUP(TableHandbook[[#This Row],[UDC]],TableGDEDUC[],7,FALSE),"")</f>
        <v/>
      </c>
      <c r="AG102" s="231" t="str">
        <f>IFERROR(VLOOKUP(TableHandbook[[#This Row],[UDC]],TableMJRPEDUPR[],7,FALSE),"")</f>
        <v/>
      </c>
      <c r="AH102" s="231" t="str">
        <f>IFERROR(VLOOKUP(TableHandbook[[#This Row],[UDC]],TableMJRPEDUSC[],7,FALSE),"")</f>
        <v/>
      </c>
      <c r="AI102" s="232" t="str">
        <f>IFERROR(VLOOKUP(TableHandbook[[#This Row],[UDC]],TableMCEDUC[],7,FALSE),"")</f>
        <v/>
      </c>
      <c r="AJ102" s="231" t="str">
        <f>IFERROR(VLOOKUP(TableHandbook[[#This Row],[UDC]],TableSPPECULIN[],7,FALSE),"")</f>
        <v/>
      </c>
      <c r="AK102" s="231" t="str">
        <f>IFERROR(VLOOKUP(TableHandbook[[#This Row],[UDC]],TableSPPELNTCH[],7,FALSE),"")</f>
        <v/>
      </c>
      <c r="AL102" s="231" t="str">
        <f>IFERROR(VLOOKUP(TableHandbook[[#This Row],[UDC]],TableSPPESTEME[],7,FALSE),"")</f>
        <v/>
      </c>
    </row>
    <row r="103" spans="1:38" x14ac:dyDescent="0.25">
      <c r="A103" s="2" t="s">
        <v>282</v>
      </c>
      <c r="B103" s="3">
        <v>1</v>
      </c>
      <c r="C103" s="3"/>
      <c r="D103" s="2" t="s">
        <v>448</v>
      </c>
      <c r="E103" s="3">
        <v>50</v>
      </c>
      <c r="F103" s="54"/>
      <c r="G103" s="55" t="str">
        <f>IFERROR(IF(VLOOKUP(TableHandbook[[#This Row],[UDC]],TableAvailabilities[],2,FALSE)&gt;0,"Y",""),"")</f>
        <v/>
      </c>
      <c r="H103" s="55" t="str">
        <f>IFERROR(IF(VLOOKUP(TableHandbook[[#This Row],[UDC]],TableAvailabilities[],3,FALSE)&gt;0,"Y",""),"")</f>
        <v/>
      </c>
      <c r="I103" s="55" t="str">
        <f>IFERROR(IF(VLOOKUP(TableHandbook[[#This Row],[UDC]],TableAvailabilities[],4,FALSE)&gt;0,"Y",""),"")</f>
        <v/>
      </c>
      <c r="J103" s="55" t="str">
        <f>IFERROR(IF(VLOOKUP(TableHandbook[[#This Row],[UDC]],TableAvailabilities[],5,FALSE)&gt;0,"Y",""),"")</f>
        <v/>
      </c>
      <c r="K103" s="55" t="str">
        <f>IFERROR(IF(VLOOKUP(TableHandbook[[#This Row],[UDC]],TableAvailabilities[],6,FALSE)&gt;0,"Y",""),"")</f>
        <v/>
      </c>
      <c r="L103" s="55" t="str">
        <f>IFERROR(IF(VLOOKUP(TableHandbook[[#This Row],[UDC]],TableAvailabilities[],7,FALSE)&gt;0,"Y",""),"")</f>
        <v/>
      </c>
      <c r="M103" s="55" t="str">
        <f>IFERROR(IF(VLOOKUP(TableHandbook[[#This Row],[UDC]],TableAvailabilities[],8,FALSE)&gt;0,"Y",""),"")</f>
        <v/>
      </c>
      <c r="N103" s="55" t="str">
        <f>IFERROR(IF(VLOOKUP(TableHandbook[[#This Row],[UDC]],TableAvailabilities[],9,FALSE)&gt;0,"Y",""),"")</f>
        <v/>
      </c>
      <c r="O103" s="230"/>
      <c r="P103" s="232" t="str">
        <f>IFERROR(VLOOKUP(TableHandbook[[#This Row],[UDC]],TableMCTEACH[],7,FALSE),"")</f>
        <v/>
      </c>
      <c r="Q103" s="231" t="str">
        <f>IFERROR(VLOOKUP(TableHandbook[[#This Row],[UDC]],TableMJRPTCHEC[],7,FALSE),"")</f>
        <v/>
      </c>
      <c r="R103" s="231" t="str">
        <f>IFERROR(VLOOKUP(TableHandbook[[#This Row],[UDC]],TableMJRPTCHPR[],7,FALSE),"")</f>
        <v/>
      </c>
      <c r="S103" s="231" t="str">
        <f>IFERROR(VLOOKUP(TableHandbook[[#This Row],[UDC]],TableMJRPTCHSC[],7,FALSE),"")</f>
        <v>Option</v>
      </c>
      <c r="T103" s="231" t="str">
        <f>IFERROR(VLOOKUP(TableHandbook[[#This Row],[UDC]],TableSTRPSCART[],7,FALSE),"")</f>
        <v/>
      </c>
      <c r="U103" s="231" t="str">
        <f>IFERROR(VLOOKUP(TableHandbook[[#This Row],[UDC]],TableSTRPSCENG[],7,FALSE),"")</f>
        <v/>
      </c>
      <c r="V103" s="231" t="str">
        <f>IFERROR(VLOOKUP(TableHandbook[[#This Row],[UDC]],TableSTRPSCHLP[],7,FALSE),"")</f>
        <v/>
      </c>
      <c r="W103" s="231" t="str">
        <f>IFERROR(VLOOKUP(TableHandbook[[#This Row],[UDC]],TableSTRPSCHUS[],7,FALSE),"")</f>
        <v/>
      </c>
      <c r="X103" s="231" t="str">
        <f>IFERROR(VLOOKUP(TableHandbook[[#This Row],[UDC]],TableSTRPSCMAT[],7,FALSE),"")</f>
        <v/>
      </c>
      <c r="Y103" s="231" t="str">
        <f>IFERROR(VLOOKUP(TableHandbook[[#This Row],[UDC]],TableSTRPSCSCI[],7,FALSE),"")</f>
        <v/>
      </c>
      <c r="Z103" s="231" t="str">
        <f>IFERROR(VLOOKUP(TableHandbook[[#This Row],[UDC]],TableSTRPSCFON[],7,FALSE),"")</f>
        <v/>
      </c>
      <c r="AA103" s="232" t="str">
        <f>IFERROR(VLOOKUP(TableHandbook[[#This Row],[UDC]],TableGCTESOL[],7,FALSE),"")</f>
        <v/>
      </c>
      <c r="AB103" s="231" t="str">
        <f>IFERROR(VLOOKUP(TableHandbook[[#This Row],[UDC]],TableMCTESOL[],7,FALSE),"")</f>
        <v/>
      </c>
      <c r="AC103" s="231" t="str">
        <f>IFERROR(VLOOKUP(TableHandbook[[#This Row],[UDC]],TableMCAPLING[],7,FALSE),"")</f>
        <v/>
      </c>
      <c r="AD103" s="232" t="str">
        <f>IFERROR(VLOOKUP(TableHandbook[[#This Row],[UDC]],TableGCEDHE[],7,FALSE),"")</f>
        <v/>
      </c>
      <c r="AE103" s="231" t="str">
        <f>IFERROR(VLOOKUP(TableHandbook[[#This Row],[UDC]],TableGCEDUC[],7,FALSE),"")</f>
        <v/>
      </c>
      <c r="AF103" s="231" t="str">
        <f>IFERROR(VLOOKUP(TableHandbook[[#This Row],[UDC]],TableGDEDUC[],7,FALSE),"")</f>
        <v/>
      </c>
      <c r="AG103" s="231" t="str">
        <f>IFERROR(VLOOKUP(TableHandbook[[#This Row],[UDC]],TableMJRPEDUPR[],7,FALSE),"")</f>
        <v/>
      </c>
      <c r="AH103" s="231" t="str">
        <f>IFERROR(VLOOKUP(TableHandbook[[#This Row],[UDC]],TableMJRPEDUSC[],7,FALSE),"")</f>
        <v>Option</v>
      </c>
      <c r="AI103" s="232" t="str">
        <f>IFERROR(VLOOKUP(TableHandbook[[#This Row],[UDC]],TableMCEDUC[],7,FALSE),"")</f>
        <v/>
      </c>
      <c r="AJ103" s="231" t="str">
        <f>IFERROR(VLOOKUP(TableHandbook[[#This Row],[UDC]],TableSPPECULIN[],7,FALSE),"")</f>
        <v/>
      </c>
      <c r="AK103" s="231" t="str">
        <f>IFERROR(VLOOKUP(TableHandbook[[#This Row],[UDC]],TableSPPELNTCH[],7,FALSE),"")</f>
        <v/>
      </c>
      <c r="AL103" s="231" t="str">
        <f>IFERROR(VLOOKUP(TableHandbook[[#This Row],[UDC]],TableSPPESTEME[],7,FALSE),"")</f>
        <v/>
      </c>
    </row>
    <row r="104" spans="1:38" x14ac:dyDescent="0.25">
      <c r="A104" s="2" t="s">
        <v>285</v>
      </c>
      <c r="B104" s="3">
        <v>1</v>
      </c>
      <c r="C104" s="3"/>
      <c r="D104" s="2" t="s">
        <v>449</v>
      </c>
      <c r="E104" s="3">
        <v>50</v>
      </c>
      <c r="F104" s="54"/>
      <c r="G104" s="55" t="str">
        <f>IFERROR(IF(VLOOKUP(TableHandbook[[#This Row],[UDC]],TableAvailabilities[],2,FALSE)&gt;0,"Y",""),"")</f>
        <v/>
      </c>
      <c r="H104" s="55" t="str">
        <f>IFERROR(IF(VLOOKUP(TableHandbook[[#This Row],[UDC]],TableAvailabilities[],3,FALSE)&gt;0,"Y",""),"")</f>
        <v/>
      </c>
      <c r="I104" s="55" t="str">
        <f>IFERROR(IF(VLOOKUP(TableHandbook[[#This Row],[UDC]],TableAvailabilities[],4,FALSE)&gt;0,"Y",""),"")</f>
        <v/>
      </c>
      <c r="J104" s="55" t="str">
        <f>IFERROR(IF(VLOOKUP(TableHandbook[[#This Row],[UDC]],TableAvailabilities[],5,FALSE)&gt;0,"Y",""),"")</f>
        <v/>
      </c>
      <c r="K104" s="55" t="str">
        <f>IFERROR(IF(VLOOKUP(TableHandbook[[#This Row],[UDC]],TableAvailabilities[],6,FALSE)&gt;0,"Y",""),"")</f>
        <v/>
      </c>
      <c r="L104" s="55" t="str">
        <f>IFERROR(IF(VLOOKUP(TableHandbook[[#This Row],[UDC]],TableAvailabilities[],7,FALSE)&gt;0,"Y",""),"")</f>
        <v/>
      </c>
      <c r="M104" s="55" t="str">
        <f>IFERROR(IF(VLOOKUP(TableHandbook[[#This Row],[UDC]],TableAvailabilities[],8,FALSE)&gt;0,"Y",""),"")</f>
        <v/>
      </c>
      <c r="N104" s="55" t="str">
        <f>IFERROR(IF(VLOOKUP(TableHandbook[[#This Row],[UDC]],TableAvailabilities[],9,FALSE)&gt;0,"Y",""),"")</f>
        <v/>
      </c>
      <c r="O104" s="230"/>
      <c r="P104" s="232" t="str">
        <f>IFERROR(VLOOKUP(TableHandbook[[#This Row],[UDC]],TableMCTEACH[],7,FALSE),"")</f>
        <v/>
      </c>
      <c r="Q104" s="231" t="str">
        <f>IFERROR(VLOOKUP(TableHandbook[[#This Row],[UDC]],TableMJRPTCHEC[],7,FALSE),"")</f>
        <v/>
      </c>
      <c r="R104" s="231" t="str">
        <f>IFERROR(VLOOKUP(TableHandbook[[#This Row],[UDC]],TableMJRPTCHPR[],7,FALSE),"")</f>
        <v/>
      </c>
      <c r="S104" s="231" t="str">
        <f>IFERROR(VLOOKUP(TableHandbook[[#This Row],[UDC]],TableMJRPTCHSC[],7,FALSE),"")</f>
        <v>Option</v>
      </c>
      <c r="T104" s="231" t="str">
        <f>IFERROR(VLOOKUP(TableHandbook[[#This Row],[UDC]],TableSTRPSCART[],7,FALSE),"")</f>
        <v/>
      </c>
      <c r="U104" s="231" t="str">
        <f>IFERROR(VLOOKUP(TableHandbook[[#This Row],[UDC]],TableSTRPSCENG[],7,FALSE),"")</f>
        <v/>
      </c>
      <c r="V104" s="231" t="str">
        <f>IFERROR(VLOOKUP(TableHandbook[[#This Row],[UDC]],TableSTRPSCHLP[],7,FALSE),"")</f>
        <v/>
      </c>
      <c r="W104" s="231" t="str">
        <f>IFERROR(VLOOKUP(TableHandbook[[#This Row],[UDC]],TableSTRPSCHUS[],7,FALSE),"")</f>
        <v/>
      </c>
      <c r="X104" s="231" t="str">
        <f>IFERROR(VLOOKUP(TableHandbook[[#This Row],[UDC]],TableSTRPSCMAT[],7,FALSE),"")</f>
        <v/>
      </c>
      <c r="Y104" s="231" t="str">
        <f>IFERROR(VLOOKUP(TableHandbook[[#This Row],[UDC]],TableSTRPSCSCI[],7,FALSE),"")</f>
        <v/>
      </c>
      <c r="Z104" s="231" t="str">
        <f>IFERROR(VLOOKUP(TableHandbook[[#This Row],[UDC]],TableSTRPSCFON[],7,FALSE),"")</f>
        <v/>
      </c>
      <c r="AA104" s="232" t="str">
        <f>IFERROR(VLOOKUP(TableHandbook[[#This Row],[UDC]],TableGCTESOL[],7,FALSE),"")</f>
        <v/>
      </c>
      <c r="AB104" s="231" t="str">
        <f>IFERROR(VLOOKUP(TableHandbook[[#This Row],[UDC]],TableMCTESOL[],7,FALSE),"")</f>
        <v/>
      </c>
      <c r="AC104" s="231" t="str">
        <f>IFERROR(VLOOKUP(TableHandbook[[#This Row],[UDC]],TableMCAPLING[],7,FALSE),"")</f>
        <v/>
      </c>
      <c r="AD104" s="232" t="str">
        <f>IFERROR(VLOOKUP(TableHandbook[[#This Row],[UDC]],TableGCEDHE[],7,FALSE),"")</f>
        <v/>
      </c>
      <c r="AE104" s="231" t="str">
        <f>IFERROR(VLOOKUP(TableHandbook[[#This Row],[UDC]],TableGCEDUC[],7,FALSE),"")</f>
        <v/>
      </c>
      <c r="AF104" s="231" t="str">
        <f>IFERROR(VLOOKUP(TableHandbook[[#This Row],[UDC]],TableGDEDUC[],7,FALSE),"")</f>
        <v/>
      </c>
      <c r="AG104" s="231" t="str">
        <f>IFERROR(VLOOKUP(TableHandbook[[#This Row],[UDC]],TableMJRPEDUPR[],7,FALSE),"")</f>
        <v/>
      </c>
      <c r="AH104" s="231" t="str">
        <f>IFERROR(VLOOKUP(TableHandbook[[#This Row],[UDC]],TableMJRPEDUSC[],7,FALSE),"")</f>
        <v>Option</v>
      </c>
      <c r="AI104" s="232" t="str">
        <f>IFERROR(VLOOKUP(TableHandbook[[#This Row],[UDC]],TableMCEDUC[],7,FALSE),"")</f>
        <v/>
      </c>
      <c r="AJ104" s="231" t="str">
        <f>IFERROR(VLOOKUP(TableHandbook[[#This Row],[UDC]],TableSPPECULIN[],7,FALSE),"")</f>
        <v/>
      </c>
      <c r="AK104" s="231" t="str">
        <f>IFERROR(VLOOKUP(TableHandbook[[#This Row],[UDC]],TableSPPELNTCH[],7,FALSE),"")</f>
        <v/>
      </c>
      <c r="AL104" s="231" t="str">
        <f>IFERROR(VLOOKUP(TableHandbook[[#This Row],[UDC]],TableSPPESTEME[],7,FALSE),"")</f>
        <v/>
      </c>
    </row>
    <row r="105" spans="1:38" x14ac:dyDescent="0.25">
      <c r="A105" s="2" t="s">
        <v>287</v>
      </c>
      <c r="B105" s="3">
        <v>1</v>
      </c>
      <c r="C105" s="3"/>
      <c r="D105" s="2" t="s">
        <v>450</v>
      </c>
      <c r="E105" s="3">
        <v>50</v>
      </c>
      <c r="F105" s="54"/>
      <c r="G105" s="55" t="str">
        <f>IFERROR(IF(VLOOKUP(TableHandbook[[#This Row],[UDC]],TableAvailabilities[],2,FALSE)&gt;0,"Y",""),"")</f>
        <v/>
      </c>
      <c r="H105" s="55" t="str">
        <f>IFERROR(IF(VLOOKUP(TableHandbook[[#This Row],[UDC]],TableAvailabilities[],3,FALSE)&gt;0,"Y",""),"")</f>
        <v/>
      </c>
      <c r="I105" s="55" t="str">
        <f>IFERROR(IF(VLOOKUP(TableHandbook[[#This Row],[UDC]],TableAvailabilities[],4,FALSE)&gt;0,"Y",""),"")</f>
        <v/>
      </c>
      <c r="J105" s="55" t="str">
        <f>IFERROR(IF(VLOOKUP(TableHandbook[[#This Row],[UDC]],TableAvailabilities[],5,FALSE)&gt;0,"Y",""),"")</f>
        <v/>
      </c>
      <c r="K105" s="55" t="str">
        <f>IFERROR(IF(VLOOKUP(TableHandbook[[#This Row],[UDC]],TableAvailabilities[],6,FALSE)&gt;0,"Y",""),"")</f>
        <v/>
      </c>
      <c r="L105" s="55" t="str">
        <f>IFERROR(IF(VLOOKUP(TableHandbook[[#This Row],[UDC]],TableAvailabilities[],7,FALSE)&gt;0,"Y",""),"")</f>
        <v/>
      </c>
      <c r="M105" s="55" t="str">
        <f>IFERROR(IF(VLOOKUP(TableHandbook[[#This Row],[UDC]],TableAvailabilities[],8,FALSE)&gt;0,"Y",""),"")</f>
        <v/>
      </c>
      <c r="N105" s="55" t="str">
        <f>IFERROR(IF(VLOOKUP(TableHandbook[[#This Row],[UDC]],TableAvailabilities[],9,FALSE)&gt;0,"Y",""),"")</f>
        <v/>
      </c>
      <c r="O105" s="230"/>
      <c r="P105" s="232" t="str">
        <f>IFERROR(VLOOKUP(TableHandbook[[#This Row],[UDC]],TableMCTEACH[],7,FALSE),"")</f>
        <v/>
      </c>
      <c r="Q105" s="231" t="str">
        <f>IFERROR(VLOOKUP(TableHandbook[[#This Row],[UDC]],TableMJRPTCHEC[],7,FALSE),"")</f>
        <v/>
      </c>
      <c r="R105" s="231" t="str">
        <f>IFERROR(VLOOKUP(TableHandbook[[#This Row],[UDC]],TableMJRPTCHPR[],7,FALSE),"")</f>
        <v/>
      </c>
      <c r="S105" s="231" t="str">
        <f>IFERROR(VLOOKUP(TableHandbook[[#This Row],[UDC]],TableMJRPTCHSC[],7,FALSE),"")</f>
        <v>Option</v>
      </c>
      <c r="T105" s="231" t="str">
        <f>IFERROR(VLOOKUP(TableHandbook[[#This Row],[UDC]],TableSTRPSCART[],7,FALSE),"")</f>
        <v/>
      </c>
      <c r="U105" s="231" t="str">
        <f>IFERROR(VLOOKUP(TableHandbook[[#This Row],[UDC]],TableSTRPSCENG[],7,FALSE),"")</f>
        <v/>
      </c>
      <c r="V105" s="231" t="str">
        <f>IFERROR(VLOOKUP(TableHandbook[[#This Row],[UDC]],TableSTRPSCHLP[],7,FALSE),"")</f>
        <v/>
      </c>
      <c r="W105" s="231" t="str">
        <f>IFERROR(VLOOKUP(TableHandbook[[#This Row],[UDC]],TableSTRPSCHUS[],7,FALSE),"")</f>
        <v/>
      </c>
      <c r="X105" s="231" t="str">
        <f>IFERROR(VLOOKUP(TableHandbook[[#This Row],[UDC]],TableSTRPSCMAT[],7,FALSE),"")</f>
        <v/>
      </c>
      <c r="Y105" s="231" t="str">
        <f>IFERROR(VLOOKUP(TableHandbook[[#This Row],[UDC]],TableSTRPSCSCI[],7,FALSE),"")</f>
        <v/>
      </c>
      <c r="Z105" s="231" t="str">
        <f>IFERROR(VLOOKUP(TableHandbook[[#This Row],[UDC]],TableSTRPSCFON[],7,FALSE),"")</f>
        <v/>
      </c>
      <c r="AA105" s="232" t="str">
        <f>IFERROR(VLOOKUP(TableHandbook[[#This Row],[UDC]],TableGCTESOL[],7,FALSE),"")</f>
        <v/>
      </c>
      <c r="AB105" s="231" t="str">
        <f>IFERROR(VLOOKUP(TableHandbook[[#This Row],[UDC]],TableMCTESOL[],7,FALSE),"")</f>
        <v/>
      </c>
      <c r="AC105" s="231" t="str">
        <f>IFERROR(VLOOKUP(TableHandbook[[#This Row],[UDC]],TableMCAPLING[],7,FALSE),"")</f>
        <v/>
      </c>
      <c r="AD105" s="232" t="str">
        <f>IFERROR(VLOOKUP(TableHandbook[[#This Row],[UDC]],TableGCEDHE[],7,FALSE),"")</f>
        <v/>
      </c>
      <c r="AE105" s="231" t="str">
        <f>IFERROR(VLOOKUP(TableHandbook[[#This Row],[UDC]],TableGCEDUC[],7,FALSE),"")</f>
        <v/>
      </c>
      <c r="AF105" s="231" t="str">
        <f>IFERROR(VLOOKUP(TableHandbook[[#This Row],[UDC]],TableGDEDUC[],7,FALSE),"")</f>
        <v/>
      </c>
      <c r="AG105" s="231" t="str">
        <f>IFERROR(VLOOKUP(TableHandbook[[#This Row],[UDC]],TableMJRPEDUPR[],7,FALSE),"")</f>
        <v/>
      </c>
      <c r="AH105" s="231" t="str">
        <f>IFERROR(VLOOKUP(TableHandbook[[#This Row],[UDC]],TableMJRPEDUSC[],7,FALSE),"")</f>
        <v>Option</v>
      </c>
      <c r="AI105" s="232" t="str">
        <f>IFERROR(VLOOKUP(TableHandbook[[#This Row],[UDC]],TableMCEDUC[],7,FALSE),"")</f>
        <v/>
      </c>
      <c r="AJ105" s="231" t="str">
        <f>IFERROR(VLOOKUP(TableHandbook[[#This Row],[UDC]],TableSPPECULIN[],7,FALSE),"")</f>
        <v/>
      </c>
      <c r="AK105" s="231" t="str">
        <f>IFERROR(VLOOKUP(TableHandbook[[#This Row],[UDC]],TableSPPELNTCH[],7,FALSE),"")</f>
        <v/>
      </c>
      <c r="AL105" s="231" t="str">
        <f>IFERROR(VLOOKUP(TableHandbook[[#This Row],[UDC]],TableSPPESTEME[],7,FALSE),"")</f>
        <v/>
      </c>
    </row>
    <row r="106" spans="1:38" x14ac:dyDescent="0.25">
      <c r="A106" s="2" t="s">
        <v>290</v>
      </c>
      <c r="B106" s="3">
        <v>1</v>
      </c>
      <c r="C106" s="3"/>
      <c r="D106" s="2" t="s">
        <v>451</v>
      </c>
      <c r="E106" s="3">
        <v>50</v>
      </c>
      <c r="F106" s="54"/>
      <c r="G106" s="55" t="str">
        <f>IFERROR(IF(VLOOKUP(TableHandbook[[#This Row],[UDC]],TableAvailabilities[],2,FALSE)&gt;0,"Y",""),"")</f>
        <v/>
      </c>
      <c r="H106" s="55" t="str">
        <f>IFERROR(IF(VLOOKUP(TableHandbook[[#This Row],[UDC]],TableAvailabilities[],3,FALSE)&gt;0,"Y",""),"")</f>
        <v/>
      </c>
      <c r="I106" s="55" t="str">
        <f>IFERROR(IF(VLOOKUP(TableHandbook[[#This Row],[UDC]],TableAvailabilities[],4,FALSE)&gt;0,"Y",""),"")</f>
        <v/>
      </c>
      <c r="J106" s="55" t="str">
        <f>IFERROR(IF(VLOOKUP(TableHandbook[[#This Row],[UDC]],TableAvailabilities[],5,FALSE)&gt;0,"Y",""),"")</f>
        <v/>
      </c>
      <c r="K106" s="55" t="str">
        <f>IFERROR(IF(VLOOKUP(TableHandbook[[#This Row],[UDC]],TableAvailabilities[],6,FALSE)&gt;0,"Y",""),"")</f>
        <v/>
      </c>
      <c r="L106" s="55" t="str">
        <f>IFERROR(IF(VLOOKUP(TableHandbook[[#This Row],[UDC]],TableAvailabilities[],7,FALSE)&gt;0,"Y",""),"")</f>
        <v/>
      </c>
      <c r="M106" s="55" t="str">
        <f>IFERROR(IF(VLOOKUP(TableHandbook[[#This Row],[UDC]],TableAvailabilities[],8,FALSE)&gt;0,"Y",""),"")</f>
        <v/>
      </c>
      <c r="N106" s="55" t="str">
        <f>IFERROR(IF(VLOOKUP(TableHandbook[[#This Row],[UDC]],TableAvailabilities[],9,FALSE)&gt;0,"Y",""),"")</f>
        <v/>
      </c>
      <c r="O106" s="230"/>
      <c r="P106" s="232" t="str">
        <f>IFERROR(VLOOKUP(TableHandbook[[#This Row],[UDC]],TableMCTEACH[],7,FALSE),"")</f>
        <v/>
      </c>
      <c r="Q106" s="231" t="str">
        <f>IFERROR(VLOOKUP(TableHandbook[[#This Row],[UDC]],TableMJRPTCHEC[],7,FALSE),"")</f>
        <v/>
      </c>
      <c r="R106" s="231" t="str">
        <f>IFERROR(VLOOKUP(TableHandbook[[#This Row],[UDC]],TableMJRPTCHPR[],7,FALSE),"")</f>
        <v/>
      </c>
      <c r="S106" s="231" t="str">
        <f>IFERROR(VLOOKUP(TableHandbook[[#This Row],[UDC]],TableMJRPTCHSC[],7,FALSE),"")</f>
        <v>Option</v>
      </c>
      <c r="T106" s="231" t="str">
        <f>IFERROR(VLOOKUP(TableHandbook[[#This Row],[UDC]],TableSTRPSCART[],7,FALSE),"")</f>
        <v/>
      </c>
      <c r="U106" s="231" t="str">
        <f>IFERROR(VLOOKUP(TableHandbook[[#This Row],[UDC]],TableSTRPSCENG[],7,FALSE),"")</f>
        <v/>
      </c>
      <c r="V106" s="231" t="str">
        <f>IFERROR(VLOOKUP(TableHandbook[[#This Row],[UDC]],TableSTRPSCHLP[],7,FALSE),"")</f>
        <v/>
      </c>
      <c r="W106" s="231" t="str">
        <f>IFERROR(VLOOKUP(TableHandbook[[#This Row],[UDC]],TableSTRPSCHUS[],7,FALSE),"")</f>
        <v/>
      </c>
      <c r="X106" s="231" t="str">
        <f>IFERROR(VLOOKUP(TableHandbook[[#This Row],[UDC]],TableSTRPSCMAT[],7,FALSE),"")</f>
        <v/>
      </c>
      <c r="Y106" s="231" t="str">
        <f>IFERROR(VLOOKUP(TableHandbook[[#This Row],[UDC]],TableSTRPSCSCI[],7,FALSE),"")</f>
        <v/>
      </c>
      <c r="Z106" s="231" t="str">
        <f>IFERROR(VLOOKUP(TableHandbook[[#This Row],[UDC]],TableSTRPSCFON[],7,FALSE),"")</f>
        <v/>
      </c>
      <c r="AA106" s="232" t="str">
        <f>IFERROR(VLOOKUP(TableHandbook[[#This Row],[UDC]],TableGCTESOL[],7,FALSE),"")</f>
        <v/>
      </c>
      <c r="AB106" s="231" t="str">
        <f>IFERROR(VLOOKUP(TableHandbook[[#This Row],[UDC]],TableMCTESOL[],7,FALSE),"")</f>
        <v/>
      </c>
      <c r="AC106" s="231" t="str">
        <f>IFERROR(VLOOKUP(TableHandbook[[#This Row],[UDC]],TableMCAPLING[],7,FALSE),"")</f>
        <v/>
      </c>
      <c r="AD106" s="232" t="str">
        <f>IFERROR(VLOOKUP(TableHandbook[[#This Row],[UDC]],TableGCEDHE[],7,FALSE),"")</f>
        <v/>
      </c>
      <c r="AE106" s="231" t="str">
        <f>IFERROR(VLOOKUP(TableHandbook[[#This Row],[UDC]],TableGCEDUC[],7,FALSE),"")</f>
        <v/>
      </c>
      <c r="AF106" s="231" t="str">
        <f>IFERROR(VLOOKUP(TableHandbook[[#This Row],[UDC]],TableGDEDUC[],7,FALSE),"")</f>
        <v/>
      </c>
      <c r="AG106" s="231" t="str">
        <f>IFERROR(VLOOKUP(TableHandbook[[#This Row],[UDC]],TableMJRPEDUPR[],7,FALSE),"")</f>
        <v/>
      </c>
      <c r="AH106" s="231" t="str">
        <f>IFERROR(VLOOKUP(TableHandbook[[#This Row],[UDC]],TableMJRPEDUSC[],7,FALSE),"")</f>
        <v>Option</v>
      </c>
      <c r="AI106" s="232" t="str">
        <f>IFERROR(VLOOKUP(TableHandbook[[#This Row],[UDC]],TableMCEDUC[],7,FALSE),"")</f>
        <v/>
      </c>
      <c r="AJ106" s="231" t="str">
        <f>IFERROR(VLOOKUP(TableHandbook[[#This Row],[UDC]],TableSPPECULIN[],7,FALSE),"")</f>
        <v/>
      </c>
      <c r="AK106" s="231" t="str">
        <f>IFERROR(VLOOKUP(TableHandbook[[#This Row],[UDC]],TableSPPELNTCH[],7,FALSE),"")</f>
        <v/>
      </c>
      <c r="AL106" s="231" t="str">
        <f>IFERROR(VLOOKUP(TableHandbook[[#This Row],[UDC]],TableSPPESTEME[],7,FALSE),"")</f>
        <v/>
      </c>
    </row>
  </sheetData>
  <sortState xmlns:xlrd2="http://schemas.microsoft.com/office/spreadsheetml/2017/richdata2" ref="A25:D38">
    <sortCondition ref="A25"/>
  </sortState>
  <conditionalFormatting sqref="A2:A106">
    <cfRule type="duplicateValues" dxfId="91" priority="144"/>
  </conditionalFormatting>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26"/>
  <sheetViews>
    <sheetView zoomScale="70" zoomScaleNormal="70" workbookViewId="0">
      <pane ySplit="1" topLeftCell="A152" activePane="bottomLeft" state="frozen"/>
      <selection activeCell="A11" sqref="A11"/>
      <selection pane="bottomLeft" activeCell="A11" sqref="A11"/>
    </sheetView>
  </sheetViews>
  <sheetFormatPr defaultRowHeight="15.75" x14ac:dyDescent="0.25"/>
  <cols>
    <col min="1" max="1" width="14.75" bestFit="1" customWidth="1"/>
    <col min="2" max="2" width="13.375" style="1" bestFit="1" customWidth="1"/>
    <col min="3" max="3" width="12" bestFit="1" customWidth="1"/>
    <col min="4" max="4" width="56.25" customWidth="1"/>
    <col min="5" max="5" width="8.625" style="1" bestFit="1" customWidth="1"/>
    <col min="6" max="6" width="6.5" bestFit="1" customWidth="1"/>
    <col min="7" max="7" width="18.5" bestFit="1" customWidth="1"/>
    <col min="8" max="8" width="12" bestFit="1" customWidth="1"/>
    <col min="9" max="9" width="20" bestFit="1" customWidth="1"/>
    <col min="10" max="10" width="21.125" bestFit="1" customWidth="1"/>
    <col min="11" max="11" width="6.25" style="1" bestFit="1" customWidth="1"/>
    <col min="12" max="12" width="50.375" customWidth="1"/>
    <col min="13" max="13" width="14.375" bestFit="1" customWidth="1"/>
    <col min="14" max="14" width="12.5" bestFit="1" customWidth="1"/>
    <col min="15" max="15" width="11.25" bestFit="1" customWidth="1"/>
    <col min="16" max="16" width="10.125" bestFit="1" customWidth="1"/>
    <col min="17" max="17" width="14.75" bestFit="1" customWidth="1"/>
    <col min="18" max="18" width="11.5" bestFit="1" customWidth="1"/>
  </cols>
  <sheetData>
    <row r="1" spans="1:18" x14ac:dyDescent="0.25">
      <c r="A1" s="224"/>
      <c r="D1" s="227" t="s">
        <v>452</v>
      </c>
    </row>
    <row r="2" spans="1:18" x14ac:dyDescent="0.25">
      <c r="B2"/>
      <c r="E2"/>
      <c r="F2" s="50"/>
      <c r="G2" s="51" t="s">
        <v>453</v>
      </c>
      <c r="H2" s="254">
        <v>44562</v>
      </c>
      <c r="I2" s="50"/>
      <c r="J2" s="257" t="s">
        <v>105</v>
      </c>
      <c r="K2" s="255" t="s">
        <v>82</v>
      </c>
      <c r="L2" s="50" t="s">
        <v>11</v>
      </c>
      <c r="N2" t="s">
        <v>454</v>
      </c>
      <c r="O2" s="226">
        <v>45548</v>
      </c>
      <c r="P2" s="256">
        <v>45292</v>
      </c>
    </row>
    <row r="3" spans="1:18" x14ac:dyDescent="0.25">
      <c r="A3" t="s">
        <v>0</v>
      </c>
      <c r="B3" s="1" t="s">
        <v>455</v>
      </c>
      <c r="C3" t="s">
        <v>456</v>
      </c>
      <c r="D3" t="s">
        <v>3</v>
      </c>
      <c r="E3" s="53" t="s">
        <v>457</v>
      </c>
      <c r="F3" t="s">
        <v>458</v>
      </c>
      <c r="G3" t="s">
        <v>459</v>
      </c>
      <c r="H3" t="s">
        <v>460</v>
      </c>
      <c r="I3" t="s">
        <v>21</v>
      </c>
      <c r="J3" t="s">
        <v>461</v>
      </c>
      <c r="K3" s="1" t="s">
        <v>1</v>
      </c>
      <c r="L3" t="s">
        <v>462</v>
      </c>
      <c r="M3" t="s">
        <v>55</v>
      </c>
      <c r="N3" s="104" t="s">
        <v>463</v>
      </c>
      <c r="O3" s="104" t="s">
        <v>464</v>
      </c>
      <c r="Q3" t="s">
        <v>465</v>
      </c>
      <c r="R3" t="s">
        <v>466</v>
      </c>
    </row>
    <row r="4" spans="1:18" x14ac:dyDescent="0.25">
      <c r="A4" t="str">
        <f>TableMCTEACH[[#This Row],[Study Package Code]]</f>
        <v/>
      </c>
      <c r="B4" s="1">
        <f>TableMCTEACH[[#This Row],[Ver]]</f>
        <v>0</v>
      </c>
      <c r="D4" t="str">
        <f>TableMCTEACH[[#This Row],[Structure Line]]</f>
        <v>Majors</v>
      </c>
      <c r="E4" s="53">
        <f>TableMCTEACH[[#This Row],[Credit Points]]</f>
        <v>400</v>
      </c>
      <c r="F4">
        <v>1</v>
      </c>
      <c r="G4" t="s">
        <v>467</v>
      </c>
      <c r="H4">
        <v>1</v>
      </c>
      <c r="I4" t="s">
        <v>468</v>
      </c>
      <c r="J4" t="s">
        <v>469</v>
      </c>
      <c r="K4" s="1">
        <v>0</v>
      </c>
      <c r="L4" t="s">
        <v>470</v>
      </c>
      <c r="M4">
        <v>400</v>
      </c>
      <c r="N4" s="92"/>
      <c r="O4" s="92"/>
      <c r="Q4" t="s">
        <v>469</v>
      </c>
      <c r="R4">
        <v>0</v>
      </c>
    </row>
    <row r="5" spans="1:18" x14ac:dyDescent="0.25">
      <c r="A5" t="str">
        <f>TableMCTEACH[[#This Row],[Study Package Code]]</f>
        <v>MJRP-TCHEC</v>
      </c>
      <c r="B5" s="1">
        <f>TableMCTEACH[[#This Row],[Ver]]</f>
        <v>2</v>
      </c>
      <c r="D5" t="str">
        <f>TableMCTEACH[[#This Row],[Structure Line]]</f>
        <v>Early Childhood Education Major (MTeach)</v>
      </c>
      <c r="E5" s="53">
        <f>TableMCTEACH[[#This Row],[Credit Points]]</f>
        <v>400</v>
      </c>
      <c r="F5">
        <v>1</v>
      </c>
      <c r="G5" t="s">
        <v>467</v>
      </c>
      <c r="H5">
        <v>1</v>
      </c>
      <c r="I5" t="s">
        <v>468</v>
      </c>
      <c r="J5" t="s">
        <v>126</v>
      </c>
      <c r="K5" s="1">
        <v>2</v>
      </c>
      <c r="L5" t="s">
        <v>14</v>
      </c>
      <c r="M5">
        <v>400</v>
      </c>
      <c r="N5" s="92">
        <v>44562</v>
      </c>
      <c r="O5" s="92"/>
      <c r="Q5" t="s">
        <v>126</v>
      </c>
      <c r="R5">
        <v>2</v>
      </c>
    </row>
    <row r="6" spans="1:18" x14ac:dyDescent="0.25">
      <c r="A6" t="str">
        <f>TableMCTEACH[[#This Row],[Study Package Code]]</f>
        <v>MJRP-TCHPR</v>
      </c>
      <c r="B6" s="1">
        <f>TableMCTEACH[[#This Row],[Ver]]</f>
        <v>2</v>
      </c>
      <c r="D6" t="str">
        <f>TableMCTEACH[[#This Row],[Structure Line]]</f>
        <v>Primary Education Major (MTeach)</v>
      </c>
      <c r="E6" s="53">
        <f>TableMCTEACH[[#This Row],[Credit Points]]</f>
        <v>400</v>
      </c>
      <c r="F6">
        <v>1</v>
      </c>
      <c r="G6" t="s">
        <v>467</v>
      </c>
      <c r="H6">
        <v>1</v>
      </c>
      <c r="I6" t="s">
        <v>468</v>
      </c>
      <c r="J6" t="s">
        <v>129</v>
      </c>
      <c r="K6" s="1">
        <v>2</v>
      </c>
      <c r="L6" t="s">
        <v>38</v>
      </c>
      <c r="M6">
        <v>400</v>
      </c>
      <c r="N6" s="92">
        <v>44562</v>
      </c>
      <c r="O6" s="92"/>
      <c r="Q6" t="s">
        <v>129</v>
      </c>
      <c r="R6">
        <v>2</v>
      </c>
    </row>
    <row r="7" spans="1:18" x14ac:dyDescent="0.25">
      <c r="A7" t="str">
        <f>TableMCTEACH[[#This Row],[Study Package Code]]</f>
        <v>MJRP-TCHSC</v>
      </c>
      <c r="B7" s="1">
        <f>TableMCTEACH[[#This Row],[Ver]]</f>
        <v>2</v>
      </c>
      <c r="D7" t="str">
        <f>TableMCTEACH[[#This Row],[Structure Line]]</f>
        <v>Secondary Education Major (MTeach)</v>
      </c>
      <c r="E7" s="53">
        <f>TableMCTEACH[[#This Row],[Credit Points]]</f>
        <v>400</v>
      </c>
      <c r="F7">
        <v>1</v>
      </c>
      <c r="G7" t="s">
        <v>467</v>
      </c>
      <c r="H7">
        <v>1</v>
      </c>
      <c r="I7" t="s">
        <v>468</v>
      </c>
      <c r="J7" t="s">
        <v>131</v>
      </c>
      <c r="K7" s="1">
        <v>2</v>
      </c>
      <c r="L7" t="s">
        <v>130</v>
      </c>
      <c r="M7">
        <v>400</v>
      </c>
      <c r="N7" s="92">
        <v>44562</v>
      </c>
      <c r="O7" s="92"/>
      <c r="Q7" t="s">
        <v>131</v>
      </c>
      <c r="R7">
        <v>2</v>
      </c>
    </row>
    <row r="8" spans="1:18" x14ac:dyDescent="0.25">
      <c r="B8"/>
      <c r="E8"/>
      <c r="F8" s="50"/>
      <c r="G8" s="51" t="s">
        <v>453</v>
      </c>
      <c r="H8" s="254">
        <v>44562</v>
      </c>
      <c r="J8" s="257" t="s">
        <v>126</v>
      </c>
      <c r="K8" s="255" t="s">
        <v>82</v>
      </c>
      <c r="L8" s="50" t="s">
        <v>14</v>
      </c>
      <c r="N8" t="s">
        <v>454</v>
      </c>
      <c r="O8" s="226">
        <v>45548</v>
      </c>
    </row>
    <row r="9" spans="1:18" x14ac:dyDescent="0.25">
      <c r="A9" t="s">
        <v>0</v>
      </c>
      <c r="B9" s="1" t="s">
        <v>455</v>
      </c>
      <c r="C9" t="s">
        <v>456</v>
      </c>
      <c r="D9" t="s">
        <v>3</v>
      </c>
      <c r="E9" s="53" t="s">
        <v>457</v>
      </c>
      <c r="F9" t="s">
        <v>458</v>
      </c>
      <c r="G9" t="s">
        <v>459</v>
      </c>
      <c r="H9" t="s">
        <v>460</v>
      </c>
      <c r="I9" t="s">
        <v>21</v>
      </c>
      <c r="J9" t="s">
        <v>461</v>
      </c>
      <c r="K9" s="1" t="s">
        <v>1</v>
      </c>
      <c r="L9" t="s">
        <v>462</v>
      </c>
      <c r="M9" t="s">
        <v>55</v>
      </c>
      <c r="N9" s="104" t="s">
        <v>463</v>
      </c>
      <c r="O9" s="104" t="s">
        <v>464</v>
      </c>
      <c r="Q9" t="s">
        <v>465</v>
      </c>
      <c r="R9" t="s">
        <v>466</v>
      </c>
    </row>
    <row r="10" spans="1:18" x14ac:dyDescent="0.25">
      <c r="A10" t="str">
        <f>TableMJRPTCHEC[[#This Row],[Study Package Code]]</f>
        <v>EDUC5011</v>
      </c>
      <c r="B10" s="1">
        <f>TableMJRPTCHEC[[#This Row],[Ver]]</f>
        <v>1</v>
      </c>
      <c r="D10" t="str">
        <f>TableMJRPTCHEC[[#This Row],[Structure Line]]</f>
        <v>Developing Positive Learning Environments</v>
      </c>
      <c r="E10" s="53">
        <f>TableMJRPTCHEC[[#This Row],[Credit Points]]</f>
        <v>25</v>
      </c>
      <c r="F10">
        <v>1</v>
      </c>
      <c r="G10" t="s">
        <v>467</v>
      </c>
      <c r="H10">
        <v>1</v>
      </c>
      <c r="I10" t="s">
        <v>468</v>
      </c>
      <c r="J10" t="s">
        <v>88</v>
      </c>
      <c r="K10" s="1">
        <v>1</v>
      </c>
      <c r="L10" t="s">
        <v>393</v>
      </c>
      <c r="M10">
        <v>25</v>
      </c>
      <c r="N10" s="92">
        <v>43101</v>
      </c>
      <c r="O10" s="92"/>
      <c r="Q10" t="s">
        <v>88</v>
      </c>
      <c r="R10">
        <v>1</v>
      </c>
    </row>
    <row r="11" spans="1:18" x14ac:dyDescent="0.25">
      <c r="A11" t="str">
        <f>TableMJRPTCHEC[[#This Row],[Study Package Code]]</f>
        <v>EDEC5000</v>
      </c>
      <c r="B11" s="1">
        <f>TableMJRPTCHEC[[#This Row],[Ver]]</f>
        <v>1</v>
      </c>
      <c r="D11" t="str">
        <f>TableMJRPTCHEC[[#This Row],[Structure Line]]</f>
        <v>Early Childhood Professional Experience 1: Planning and Documentation</v>
      </c>
      <c r="E11" s="53">
        <f>TableMJRPTCHEC[[#This Row],[Credit Points]]</f>
        <v>25</v>
      </c>
      <c r="F11">
        <v>2</v>
      </c>
      <c r="G11" t="s">
        <v>467</v>
      </c>
      <c r="H11">
        <v>1</v>
      </c>
      <c r="I11" t="s">
        <v>468</v>
      </c>
      <c r="J11" t="s">
        <v>91</v>
      </c>
      <c r="K11" s="1">
        <v>1</v>
      </c>
      <c r="L11" t="s">
        <v>344</v>
      </c>
      <c r="M11">
        <v>25</v>
      </c>
      <c r="N11" s="92">
        <v>43101</v>
      </c>
      <c r="O11" s="92"/>
      <c r="Q11" t="s">
        <v>91</v>
      </c>
      <c r="R11">
        <v>1</v>
      </c>
    </row>
    <row r="12" spans="1:18" x14ac:dyDescent="0.25">
      <c r="A12" t="str">
        <f>TableMJRPTCHEC[[#This Row],[Study Package Code]]</f>
        <v>EDEC5001</v>
      </c>
      <c r="B12" s="1">
        <f>TableMJRPTCHEC[[#This Row],[Ver]]</f>
        <v>2</v>
      </c>
      <c r="D12" t="str">
        <f>TableMJRPTCHEC[[#This Row],[Structure Line]]</f>
        <v>Early Childhood Professional Experience 2: Planning for Writing, Assessment and Reporting</v>
      </c>
      <c r="E12" s="53">
        <f>TableMJRPTCHEC[[#This Row],[Credit Points]]</f>
        <v>25</v>
      </c>
      <c r="F12">
        <v>3</v>
      </c>
      <c r="G12" t="s">
        <v>467</v>
      </c>
      <c r="H12">
        <v>1</v>
      </c>
      <c r="I12" t="s">
        <v>468</v>
      </c>
      <c r="J12" t="s">
        <v>102</v>
      </c>
      <c r="K12" s="1">
        <v>2</v>
      </c>
      <c r="L12" t="s">
        <v>345</v>
      </c>
      <c r="M12">
        <v>25</v>
      </c>
      <c r="N12" s="92">
        <v>44562</v>
      </c>
      <c r="O12" s="92"/>
      <c r="Q12" t="s">
        <v>102</v>
      </c>
      <c r="R12">
        <v>2</v>
      </c>
    </row>
    <row r="13" spans="1:18" x14ac:dyDescent="0.25">
      <c r="A13" t="str">
        <f>TableMJRPTCHEC[[#This Row],[Study Package Code]]</f>
        <v>EDEC5010</v>
      </c>
      <c r="B13" s="1">
        <f>TableMJRPTCHEC[[#This Row],[Ver]]</f>
        <v>1</v>
      </c>
      <c r="D13" t="str">
        <f>TableMJRPTCHEC[[#This Row],[Structure Line]]</f>
        <v>Family and Community Contexts</v>
      </c>
      <c r="E13" s="53">
        <f>TableMJRPTCHEC[[#This Row],[Credit Points]]</f>
        <v>25</v>
      </c>
      <c r="F13">
        <v>4</v>
      </c>
      <c r="G13" t="s">
        <v>467</v>
      </c>
      <c r="H13">
        <v>1</v>
      </c>
      <c r="I13" t="s">
        <v>468</v>
      </c>
      <c r="J13" t="s">
        <v>103</v>
      </c>
      <c r="K13" s="1">
        <v>1</v>
      </c>
      <c r="L13" t="s">
        <v>353</v>
      </c>
      <c r="M13">
        <v>25</v>
      </c>
      <c r="N13" s="92">
        <v>43101</v>
      </c>
      <c r="O13" s="92"/>
      <c r="Q13" t="s">
        <v>103</v>
      </c>
      <c r="R13">
        <v>1</v>
      </c>
    </row>
    <row r="14" spans="1:18" x14ac:dyDescent="0.25">
      <c r="A14" t="str">
        <f>TableMJRPTCHEC[[#This Row],[Study Package Code]]</f>
        <v>EDEC5008</v>
      </c>
      <c r="B14" s="1">
        <f>TableMJRPTCHEC[[#This Row],[Ver]]</f>
        <v>1</v>
      </c>
      <c r="D14" t="str">
        <f>TableMJRPTCHEC[[#This Row],[Structure Line]]</f>
        <v>Health, Safety and Physical Education in Early Childhood</v>
      </c>
      <c r="E14" s="53">
        <f>TableMJRPTCHEC[[#This Row],[Credit Points]]</f>
        <v>25</v>
      </c>
      <c r="F14">
        <v>5</v>
      </c>
      <c r="G14" t="s">
        <v>467</v>
      </c>
      <c r="H14">
        <v>1</v>
      </c>
      <c r="I14" t="s">
        <v>468</v>
      </c>
      <c r="J14" t="s">
        <v>92</v>
      </c>
      <c r="K14" s="1">
        <v>1</v>
      </c>
      <c r="L14" t="s">
        <v>352</v>
      </c>
      <c r="M14">
        <v>25</v>
      </c>
      <c r="N14" s="92">
        <v>43101</v>
      </c>
      <c r="O14" s="92"/>
      <c r="Q14" t="s">
        <v>92</v>
      </c>
      <c r="R14">
        <v>1</v>
      </c>
    </row>
    <row r="15" spans="1:18" x14ac:dyDescent="0.25">
      <c r="A15" t="str">
        <f>TableMJRPTCHEC[[#This Row],[Study Package Code]]</f>
        <v>EDUC5031</v>
      </c>
      <c r="B15" s="1">
        <f>TableMJRPTCHEC[[#This Row],[Ver]]</f>
        <v>1</v>
      </c>
      <c r="D15" t="str">
        <f>TableMJRPTCHEC[[#This Row],[Structure Line]]</f>
        <v>Introduction to English: Reading</v>
      </c>
      <c r="E15" s="53">
        <f>TableMJRPTCHEC[[#This Row],[Credit Points]]</f>
        <v>25</v>
      </c>
      <c r="F15">
        <v>6</v>
      </c>
      <c r="G15" t="s">
        <v>467</v>
      </c>
      <c r="H15">
        <v>1</v>
      </c>
      <c r="I15" t="s">
        <v>468</v>
      </c>
      <c r="J15" t="s">
        <v>79</v>
      </c>
      <c r="K15" s="1">
        <v>1</v>
      </c>
      <c r="L15" t="s">
        <v>398</v>
      </c>
      <c r="M15">
        <v>25</v>
      </c>
      <c r="N15" s="92">
        <v>44562</v>
      </c>
      <c r="O15" s="92"/>
      <c r="Q15" t="s">
        <v>79</v>
      </c>
      <c r="R15">
        <v>1</v>
      </c>
    </row>
    <row r="16" spans="1:18" x14ac:dyDescent="0.25">
      <c r="A16" t="str">
        <f>TableMJRPTCHEC[[#This Row],[Study Package Code]]</f>
        <v>EDEC5002</v>
      </c>
      <c r="B16" s="1">
        <f>TableMJRPTCHEC[[#This Row],[Ver]]</f>
        <v>1</v>
      </c>
      <c r="D16" t="str">
        <f>TableMJRPTCHEC[[#This Row],[Structure Line]]</f>
        <v>Numeracy for 5 to 8 Year-Olds</v>
      </c>
      <c r="E16" s="53">
        <f>TableMJRPTCHEC[[#This Row],[Credit Points]]</f>
        <v>25</v>
      </c>
      <c r="F16">
        <v>7</v>
      </c>
      <c r="G16" t="s">
        <v>467</v>
      </c>
      <c r="H16">
        <v>1</v>
      </c>
      <c r="I16" t="s">
        <v>468</v>
      </c>
      <c r="J16" t="s">
        <v>83</v>
      </c>
      <c r="K16" s="1">
        <v>1</v>
      </c>
      <c r="L16" t="s">
        <v>347</v>
      </c>
      <c r="M16">
        <v>25</v>
      </c>
      <c r="N16" s="92">
        <v>43101</v>
      </c>
      <c r="O16" s="92"/>
      <c r="Q16" t="s">
        <v>83</v>
      </c>
      <c r="R16">
        <v>1</v>
      </c>
    </row>
    <row r="17" spans="1:18" x14ac:dyDescent="0.25">
      <c r="A17" t="str">
        <f>TableMJRPTCHEC[[#This Row],[Study Package Code]]</f>
        <v>EDUC5005</v>
      </c>
      <c r="B17" s="1">
        <f>TableMJRPTCHEC[[#This Row],[Ver]]</f>
        <v>2</v>
      </c>
      <c r="D17" t="str">
        <f>TableMJRPTCHEC[[#This Row],[Structure Line]]</f>
        <v>Theories of Development and Learning</v>
      </c>
      <c r="E17" s="53">
        <f>TableMJRPTCHEC[[#This Row],[Credit Points]]</f>
        <v>25</v>
      </c>
      <c r="F17">
        <v>8</v>
      </c>
      <c r="G17" t="s">
        <v>467</v>
      </c>
      <c r="H17">
        <v>1</v>
      </c>
      <c r="I17" t="s">
        <v>468</v>
      </c>
      <c r="J17" t="s">
        <v>74</v>
      </c>
      <c r="K17" s="1">
        <v>2</v>
      </c>
      <c r="L17" t="s">
        <v>390</v>
      </c>
      <c r="M17">
        <v>25</v>
      </c>
      <c r="N17" s="92">
        <v>44197</v>
      </c>
      <c r="O17" s="92"/>
      <c r="Q17" t="s">
        <v>74</v>
      </c>
      <c r="R17">
        <v>2</v>
      </c>
    </row>
    <row r="18" spans="1:18" x14ac:dyDescent="0.25">
      <c r="A18" t="str">
        <f>TableMJRPTCHEC[[#This Row],[Study Package Code]]</f>
        <v>EDEC5006</v>
      </c>
      <c r="B18" s="1">
        <f>TableMJRPTCHEC[[#This Row],[Ver]]</f>
        <v>1</v>
      </c>
      <c r="D18" t="str">
        <f>TableMJRPTCHEC[[#This Row],[Structure Line]]</f>
        <v>Creative and Media Arts in Early Childhood</v>
      </c>
      <c r="E18" s="53">
        <f>TableMJRPTCHEC[[#This Row],[Credit Points]]</f>
        <v>25</v>
      </c>
      <c r="F18">
        <v>9</v>
      </c>
      <c r="G18" t="s">
        <v>467</v>
      </c>
      <c r="H18">
        <v>2</v>
      </c>
      <c r="I18" t="s">
        <v>468</v>
      </c>
      <c r="J18" t="s">
        <v>119</v>
      </c>
      <c r="K18" s="1">
        <v>1</v>
      </c>
      <c r="L18" t="s">
        <v>350</v>
      </c>
      <c r="M18">
        <v>25</v>
      </c>
      <c r="N18" s="92">
        <v>43101</v>
      </c>
      <c r="O18" s="92"/>
      <c r="Q18" t="s">
        <v>119</v>
      </c>
      <c r="R18">
        <v>1</v>
      </c>
    </row>
    <row r="19" spans="1:18" x14ac:dyDescent="0.25">
      <c r="A19" t="str">
        <f>TableMJRPTCHEC[[#This Row],[Study Package Code]]</f>
        <v>EDUC5006</v>
      </c>
      <c r="B19" s="1">
        <f>TableMJRPTCHEC[[#This Row],[Ver]]</f>
        <v>1</v>
      </c>
      <c r="D19" t="str">
        <f>TableMJRPTCHEC[[#This Row],[Structure Line]]</f>
        <v>Creative Technologies</v>
      </c>
      <c r="E19" s="53">
        <f>TableMJRPTCHEC[[#This Row],[Credit Points]]</f>
        <v>25</v>
      </c>
      <c r="F19">
        <v>10</v>
      </c>
      <c r="G19" t="s">
        <v>467</v>
      </c>
      <c r="H19">
        <v>2</v>
      </c>
      <c r="I19" t="s">
        <v>468</v>
      </c>
      <c r="J19" t="s">
        <v>97</v>
      </c>
      <c r="K19" s="1">
        <v>1</v>
      </c>
      <c r="L19" t="s">
        <v>391</v>
      </c>
      <c r="M19">
        <v>25</v>
      </c>
      <c r="N19" s="92">
        <v>43101</v>
      </c>
      <c r="O19" s="92"/>
      <c r="Q19" t="s">
        <v>97</v>
      </c>
      <c r="R19">
        <v>1</v>
      </c>
    </row>
    <row r="20" spans="1:18" x14ac:dyDescent="0.25">
      <c r="A20" t="str">
        <f>TableMJRPTCHEC[[#This Row],[Study Package Code]]</f>
        <v>EDEC6001</v>
      </c>
      <c r="B20" s="1">
        <f>TableMJRPTCHEC[[#This Row],[Ver]]</f>
        <v>1</v>
      </c>
      <c r="D20" t="str">
        <f>TableMJRPTCHEC[[#This Row],[Structure Line]]</f>
        <v>Early Literacies and Play-Based Pedagogies</v>
      </c>
      <c r="E20" s="53">
        <f>TableMJRPTCHEC[[#This Row],[Credit Points]]</f>
        <v>25</v>
      </c>
      <c r="F20">
        <v>11</v>
      </c>
      <c r="G20" t="s">
        <v>467</v>
      </c>
      <c r="H20">
        <v>2</v>
      </c>
      <c r="I20" t="s">
        <v>468</v>
      </c>
      <c r="J20" t="s">
        <v>124</v>
      </c>
      <c r="K20" s="1">
        <v>1</v>
      </c>
      <c r="L20" t="s">
        <v>354</v>
      </c>
      <c r="M20">
        <v>25</v>
      </c>
      <c r="N20" s="92">
        <v>44562</v>
      </c>
      <c r="O20" s="92"/>
      <c r="Q20" t="s">
        <v>124</v>
      </c>
      <c r="R20">
        <v>1</v>
      </c>
    </row>
    <row r="21" spans="1:18" x14ac:dyDescent="0.25">
      <c r="A21" t="str">
        <f>TableMJRPTCHEC[[#This Row],[Study Package Code]]</f>
        <v>EDEC5005</v>
      </c>
      <c r="B21" s="1">
        <f>TableMJRPTCHEC[[#This Row],[Ver]]</f>
        <v>1</v>
      </c>
      <c r="D21" t="str">
        <f>TableMJRPTCHEC[[#This Row],[Structure Line]]</f>
        <v>Humanities and Science in Early Childhood</v>
      </c>
      <c r="E21" s="53">
        <f>TableMJRPTCHEC[[#This Row],[Credit Points]]</f>
        <v>25</v>
      </c>
      <c r="F21">
        <v>12</v>
      </c>
      <c r="G21" t="s">
        <v>467</v>
      </c>
      <c r="H21">
        <v>2</v>
      </c>
      <c r="I21" t="s">
        <v>468</v>
      </c>
      <c r="J21" t="s">
        <v>111</v>
      </c>
      <c r="K21" s="1">
        <v>1</v>
      </c>
      <c r="L21" t="s">
        <v>349</v>
      </c>
      <c r="M21">
        <v>25</v>
      </c>
      <c r="N21" s="92">
        <v>43101</v>
      </c>
      <c r="O21" s="92"/>
      <c r="Q21" t="s">
        <v>111</v>
      </c>
      <c r="R21">
        <v>1</v>
      </c>
    </row>
    <row r="22" spans="1:18" x14ac:dyDescent="0.25">
      <c r="A22" t="str">
        <f>TableMJRPTCHEC[[#This Row],[Study Package Code]]</f>
        <v>EDEC5007</v>
      </c>
      <c r="B22" s="1">
        <f>TableMJRPTCHEC[[#This Row],[Ver]]</f>
        <v>1</v>
      </c>
      <c r="D22" t="str">
        <f>TableMJRPTCHEC[[#This Row],[Structure Line]]</f>
        <v>Numeracy for Birth to 4 Year-Olds</v>
      </c>
      <c r="E22" s="53">
        <f>TableMJRPTCHEC[[#This Row],[Credit Points]]</f>
        <v>25</v>
      </c>
      <c r="F22">
        <v>13</v>
      </c>
      <c r="G22" t="s">
        <v>467</v>
      </c>
      <c r="H22">
        <v>2</v>
      </c>
      <c r="I22" t="s">
        <v>468</v>
      </c>
      <c r="J22" t="s">
        <v>127</v>
      </c>
      <c r="K22" s="1">
        <v>1</v>
      </c>
      <c r="L22" t="s">
        <v>351</v>
      </c>
      <c r="M22">
        <v>25</v>
      </c>
      <c r="N22" s="92">
        <v>43101</v>
      </c>
      <c r="O22" s="92"/>
      <c r="Q22" t="s">
        <v>127</v>
      </c>
      <c r="R22">
        <v>1</v>
      </c>
    </row>
    <row r="23" spans="1:18" x14ac:dyDescent="0.25">
      <c r="A23" t="str">
        <f>TableMJRPTCHEC[[#This Row],[Study Package Code]]</f>
        <v>EDEC6003</v>
      </c>
      <c r="B23" s="1">
        <f>TableMJRPTCHEC[[#This Row],[Ver]]</f>
        <v>1</v>
      </c>
      <c r="D23" t="str">
        <f>TableMJRPTCHEC[[#This Row],[Structure Line]]</f>
        <v>Philosophy, Management and Leadership in Early Childhood Education and Care</v>
      </c>
      <c r="E23" s="53">
        <f>TableMJRPTCHEC[[#This Row],[Credit Points]]</f>
        <v>25</v>
      </c>
      <c r="F23">
        <v>14</v>
      </c>
      <c r="G23" t="s">
        <v>467</v>
      </c>
      <c r="H23">
        <v>2</v>
      </c>
      <c r="I23" t="s">
        <v>468</v>
      </c>
      <c r="J23" t="s">
        <v>120</v>
      </c>
      <c r="K23" s="1">
        <v>1</v>
      </c>
      <c r="L23" t="s">
        <v>355</v>
      </c>
      <c r="M23">
        <v>25</v>
      </c>
      <c r="N23" s="92">
        <v>44562</v>
      </c>
      <c r="O23" s="92"/>
      <c r="Q23" t="s">
        <v>120</v>
      </c>
      <c r="R23">
        <v>1</v>
      </c>
    </row>
    <row r="24" spans="1:18" x14ac:dyDescent="0.25">
      <c r="A24" t="str">
        <f>TableMJRPTCHEC[[#This Row],[Study Package Code]]</f>
        <v>EDUC6062</v>
      </c>
      <c r="B24" s="1">
        <f>TableMJRPTCHEC[[#This Row],[Ver]]</f>
        <v>1</v>
      </c>
      <c r="D24" t="str">
        <f>TableMJRPTCHEC[[#This Row],[Structure Line]]</f>
        <v>Professional Experience 3: Using Data to Inform Teaching and Learning</v>
      </c>
      <c r="E24" s="53">
        <f>TableMJRPTCHEC[[#This Row],[Credit Points]]</f>
        <v>25</v>
      </c>
      <c r="F24">
        <v>15</v>
      </c>
      <c r="G24" t="s">
        <v>467</v>
      </c>
      <c r="H24">
        <v>2</v>
      </c>
      <c r="I24" t="s">
        <v>468</v>
      </c>
      <c r="J24" t="s">
        <v>121</v>
      </c>
      <c r="K24" s="1">
        <v>1</v>
      </c>
      <c r="L24" t="s">
        <v>415</v>
      </c>
      <c r="M24">
        <v>25</v>
      </c>
      <c r="N24" s="92">
        <v>44562</v>
      </c>
      <c r="O24" s="92"/>
      <c r="Q24" t="s">
        <v>121</v>
      </c>
      <c r="R24">
        <v>1</v>
      </c>
    </row>
    <row r="25" spans="1:18" x14ac:dyDescent="0.25">
      <c r="A25" t="str">
        <f>TableMJRPTCHEC[[#This Row],[Study Package Code]]</f>
        <v>EDUC6064</v>
      </c>
      <c r="B25" s="1">
        <f>TableMJRPTCHEC[[#This Row],[Ver]]</f>
        <v>1</v>
      </c>
      <c r="D25" t="str">
        <f>TableMJRPTCHEC[[#This Row],[Structure Line]]</f>
        <v>Professional Experience 4: Transition into the Profession</v>
      </c>
      <c r="E25" s="53">
        <f>TableMJRPTCHEC[[#This Row],[Credit Points]]</f>
        <v>25</v>
      </c>
      <c r="F25">
        <v>16</v>
      </c>
      <c r="G25" t="s">
        <v>467</v>
      </c>
      <c r="H25">
        <v>2</v>
      </c>
      <c r="I25" t="s">
        <v>468</v>
      </c>
      <c r="J25" t="s">
        <v>133</v>
      </c>
      <c r="K25" s="1">
        <v>1</v>
      </c>
      <c r="L25" t="s">
        <v>417</v>
      </c>
      <c r="M25">
        <v>25</v>
      </c>
      <c r="N25" s="92">
        <v>44562</v>
      </c>
      <c r="O25" s="92"/>
      <c r="Q25" t="s">
        <v>133</v>
      </c>
      <c r="R25">
        <v>1</v>
      </c>
    </row>
    <row r="26" spans="1:18" x14ac:dyDescent="0.25">
      <c r="B26"/>
      <c r="E26"/>
      <c r="F26" s="50"/>
      <c r="G26" s="51" t="s">
        <v>453</v>
      </c>
      <c r="H26" s="254">
        <v>44562</v>
      </c>
      <c r="J26" s="257" t="s">
        <v>129</v>
      </c>
      <c r="K26" s="255" t="s">
        <v>82</v>
      </c>
      <c r="L26" s="50" t="s">
        <v>38</v>
      </c>
      <c r="N26" t="s">
        <v>454</v>
      </c>
      <c r="O26" s="226">
        <v>45548</v>
      </c>
    </row>
    <row r="27" spans="1:18" x14ac:dyDescent="0.25">
      <c r="A27" t="s">
        <v>0</v>
      </c>
      <c r="B27" s="1" t="s">
        <v>455</v>
      </c>
      <c r="C27" t="s">
        <v>456</v>
      </c>
      <c r="D27" t="s">
        <v>3</v>
      </c>
      <c r="E27" s="53" t="s">
        <v>457</v>
      </c>
      <c r="F27" t="s">
        <v>458</v>
      </c>
      <c r="G27" t="s">
        <v>459</v>
      </c>
      <c r="H27" t="s">
        <v>460</v>
      </c>
      <c r="I27" t="s">
        <v>21</v>
      </c>
      <c r="J27" t="s">
        <v>461</v>
      </c>
      <c r="K27" s="1" t="s">
        <v>1</v>
      </c>
      <c r="L27" t="s">
        <v>462</v>
      </c>
      <c r="M27" t="s">
        <v>55</v>
      </c>
      <c r="N27" s="104" t="s">
        <v>463</v>
      </c>
      <c r="O27" s="104" t="s">
        <v>464</v>
      </c>
      <c r="Q27" t="s">
        <v>465</v>
      </c>
      <c r="R27" t="s">
        <v>466</v>
      </c>
    </row>
    <row r="28" spans="1:18" x14ac:dyDescent="0.25">
      <c r="A28" t="str">
        <f>TableMJRPTCHPR[[#This Row],[Study Package Code]]</f>
        <v>EDUC5006</v>
      </c>
      <c r="B28" s="1">
        <f>TableMJRPTCHPR[[#This Row],[Ver]]</f>
        <v>1</v>
      </c>
      <c r="D28" t="str">
        <f>TableMJRPTCHPR[[#This Row],[Structure Line]]</f>
        <v>Creative Technologies</v>
      </c>
      <c r="E28" s="53">
        <f>TableMJRPTCHPR[[#This Row],[Credit Points]]</f>
        <v>25</v>
      </c>
      <c r="F28">
        <v>1</v>
      </c>
      <c r="G28" t="s">
        <v>467</v>
      </c>
      <c r="H28">
        <v>1</v>
      </c>
      <c r="I28" t="s">
        <v>468</v>
      </c>
      <c r="J28" t="s">
        <v>97</v>
      </c>
      <c r="K28" s="1">
        <v>1</v>
      </c>
      <c r="L28" t="s">
        <v>391</v>
      </c>
      <c r="M28">
        <v>25</v>
      </c>
      <c r="N28" s="92">
        <v>43101</v>
      </c>
      <c r="O28" s="92"/>
      <c r="Q28" t="s">
        <v>97</v>
      </c>
      <c r="R28">
        <v>1</v>
      </c>
    </row>
    <row r="29" spans="1:18" x14ac:dyDescent="0.25">
      <c r="A29" t="str">
        <f>TableMJRPTCHPR[[#This Row],[Study Package Code]]</f>
        <v>EDUC5011</v>
      </c>
      <c r="B29" s="1">
        <f>TableMJRPTCHPR[[#This Row],[Ver]]</f>
        <v>1</v>
      </c>
      <c r="D29" t="str">
        <f>TableMJRPTCHPR[[#This Row],[Structure Line]]</f>
        <v>Developing Positive Learning Environments</v>
      </c>
      <c r="E29" s="53">
        <f>TableMJRPTCHPR[[#This Row],[Credit Points]]</f>
        <v>25</v>
      </c>
      <c r="F29">
        <v>2</v>
      </c>
      <c r="G29" t="s">
        <v>467</v>
      </c>
      <c r="H29">
        <v>1</v>
      </c>
      <c r="I29" t="s">
        <v>468</v>
      </c>
      <c r="J29" t="s">
        <v>88</v>
      </c>
      <c r="K29" s="1">
        <v>1</v>
      </c>
      <c r="L29" t="s">
        <v>393</v>
      </c>
      <c r="M29">
        <v>25</v>
      </c>
      <c r="N29" s="92">
        <v>43101</v>
      </c>
      <c r="O29" s="92"/>
      <c r="Q29" t="s">
        <v>88</v>
      </c>
      <c r="R29">
        <v>1</v>
      </c>
    </row>
    <row r="30" spans="1:18" x14ac:dyDescent="0.25">
      <c r="A30" t="str">
        <f>TableMJRPTCHPR[[#This Row],[Study Package Code]]</f>
        <v>EDUC5031</v>
      </c>
      <c r="B30" s="1">
        <f>TableMJRPTCHPR[[#This Row],[Ver]]</f>
        <v>1</v>
      </c>
      <c r="D30" t="str">
        <f>TableMJRPTCHPR[[#This Row],[Structure Line]]</f>
        <v>Introduction to English: Reading</v>
      </c>
      <c r="E30" s="53">
        <f>TableMJRPTCHPR[[#This Row],[Credit Points]]</f>
        <v>25</v>
      </c>
      <c r="F30">
        <v>3</v>
      </c>
      <c r="G30" t="s">
        <v>467</v>
      </c>
      <c r="H30">
        <v>1</v>
      </c>
      <c r="I30" t="s">
        <v>468</v>
      </c>
      <c r="J30" t="s">
        <v>79</v>
      </c>
      <c r="K30" s="1">
        <v>1</v>
      </c>
      <c r="L30" t="s">
        <v>398</v>
      </c>
      <c r="M30">
        <v>25</v>
      </c>
      <c r="N30" s="92">
        <v>44562</v>
      </c>
      <c r="O30" s="92"/>
      <c r="Q30" t="s">
        <v>79</v>
      </c>
      <c r="R30">
        <v>1</v>
      </c>
    </row>
    <row r="31" spans="1:18" x14ac:dyDescent="0.25">
      <c r="A31" t="str">
        <f>TableMJRPTCHPR[[#This Row],[Study Package Code]]</f>
        <v>EDPR5000</v>
      </c>
      <c r="B31" s="1">
        <f>TableMJRPTCHPR[[#This Row],[Ver]]</f>
        <v>2</v>
      </c>
      <c r="D31" t="str">
        <f>TableMJRPTCHPR[[#This Row],[Structure Line]]</f>
        <v>Primary Professional Experience 1: Planning for Writing</v>
      </c>
      <c r="E31" s="53">
        <f>TableMJRPTCHPR[[#This Row],[Credit Points]]</f>
        <v>25</v>
      </c>
      <c r="F31">
        <v>4</v>
      </c>
      <c r="G31" t="s">
        <v>467</v>
      </c>
      <c r="H31">
        <v>1</v>
      </c>
      <c r="I31" t="s">
        <v>468</v>
      </c>
      <c r="J31" t="s">
        <v>93</v>
      </c>
      <c r="K31" s="1">
        <v>2</v>
      </c>
      <c r="L31" t="s">
        <v>360</v>
      </c>
      <c r="M31">
        <v>25</v>
      </c>
      <c r="N31" s="92">
        <v>44562</v>
      </c>
      <c r="O31" s="92"/>
      <c r="Q31" t="s">
        <v>93</v>
      </c>
      <c r="R31">
        <v>2</v>
      </c>
    </row>
    <row r="32" spans="1:18" x14ac:dyDescent="0.25">
      <c r="A32" t="str">
        <f>TableMJRPTCHPR[[#This Row],[Study Package Code]]</f>
        <v>EDPR5001</v>
      </c>
      <c r="B32" s="1">
        <f>TableMJRPTCHPR[[#This Row],[Ver]]</f>
        <v>1</v>
      </c>
      <c r="D32" t="str">
        <f>TableMJRPTCHPR[[#This Row],[Structure Line]]</f>
        <v>Primary Professional Experience 2: Assessment and Reporting</v>
      </c>
      <c r="E32" s="53">
        <f>TableMJRPTCHPR[[#This Row],[Credit Points]]</f>
        <v>25</v>
      </c>
      <c r="F32">
        <v>5</v>
      </c>
      <c r="G32" t="s">
        <v>467</v>
      </c>
      <c r="H32">
        <v>1</v>
      </c>
      <c r="I32" t="s">
        <v>468</v>
      </c>
      <c r="J32" t="s">
        <v>104</v>
      </c>
      <c r="K32" s="1">
        <v>1</v>
      </c>
      <c r="L32" t="s">
        <v>361</v>
      </c>
      <c r="M32">
        <v>25</v>
      </c>
      <c r="N32" s="92">
        <v>43101</v>
      </c>
      <c r="O32" s="92"/>
      <c r="Q32" t="s">
        <v>104</v>
      </c>
      <c r="R32">
        <v>1</v>
      </c>
    </row>
    <row r="33" spans="1:18" x14ac:dyDescent="0.25">
      <c r="A33" t="str">
        <f>TableMJRPTCHPR[[#This Row],[Study Package Code]]</f>
        <v>EDPR5003</v>
      </c>
      <c r="B33" s="1">
        <f>TableMJRPTCHPR[[#This Row],[Ver]]</f>
        <v>1</v>
      </c>
      <c r="D33" t="str">
        <f>TableMJRPTCHPR[[#This Row],[Structure Line]]</f>
        <v>Teaching Number, Algebra and Probability in the Primary Years</v>
      </c>
      <c r="E33" s="53">
        <f>TableMJRPTCHPR[[#This Row],[Credit Points]]</f>
        <v>25</v>
      </c>
      <c r="F33">
        <v>6</v>
      </c>
      <c r="G33" t="s">
        <v>467</v>
      </c>
      <c r="H33">
        <v>1</v>
      </c>
      <c r="I33" t="s">
        <v>468</v>
      </c>
      <c r="J33" t="s">
        <v>89</v>
      </c>
      <c r="K33" s="1">
        <v>1</v>
      </c>
      <c r="L33" t="s">
        <v>362</v>
      </c>
      <c r="M33">
        <v>25</v>
      </c>
      <c r="N33" s="92">
        <v>43101</v>
      </c>
      <c r="O33" s="92"/>
      <c r="Q33" t="s">
        <v>89</v>
      </c>
      <c r="R33">
        <v>1</v>
      </c>
    </row>
    <row r="34" spans="1:18" x14ac:dyDescent="0.25">
      <c r="A34" t="str">
        <f>TableMJRPTCHPR[[#This Row],[Study Package Code]]</f>
        <v>EDPR5005</v>
      </c>
      <c r="B34" s="1">
        <f>TableMJRPTCHPR[[#This Row],[Ver]]</f>
        <v>1</v>
      </c>
      <c r="D34" t="str">
        <f>TableMJRPTCHPR[[#This Row],[Structure Line]]</f>
        <v>Teaching Science in the Primary Years</v>
      </c>
      <c r="E34" s="53">
        <f>TableMJRPTCHPR[[#This Row],[Credit Points]]</f>
        <v>25</v>
      </c>
      <c r="F34">
        <v>7</v>
      </c>
      <c r="G34" t="s">
        <v>467</v>
      </c>
      <c r="H34">
        <v>1</v>
      </c>
      <c r="I34" t="s">
        <v>468</v>
      </c>
      <c r="J34" t="s">
        <v>108</v>
      </c>
      <c r="K34" s="1">
        <v>1</v>
      </c>
      <c r="L34" t="s">
        <v>365</v>
      </c>
      <c r="M34">
        <v>25</v>
      </c>
      <c r="N34" s="92">
        <v>43101</v>
      </c>
      <c r="O34" s="92"/>
      <c r="Q34" t="s">
        <v>108</v>
      </c>
      <c r="R34">
        <v>1</v>
      </c>
    </row>
    <row r="35" spans="1:18" x14ac:dyDescent="0.25">
      <c r="A35" t="str">
        <f>TableMJRPTCHPR[[#This Row],[Study Package Code]]</f>
        <v>EDUC5005</v>
      </c>
      <c r="B35" s="1">
        <f>TableMJRPTCHPR[[#This Row],[Ver]]</f>
        <v>2</v>
      </c>
      <c r="D35" t="str">
        <f>TableMJRPTCHPR[[#This Row],[Structure Line]]</f>
        <v>Theories of Development and Learning</v>
      </c>
      <c r="E35" s="53">
        <f>TableMJRPTCHPR[[#This Row],[Credit Points]]</f>
        <v>25</v>
      </c>
      <c r="F35">
        <v>8</v>
      </c>
      <c r="G35" t="s">
        <v>467</v>
      </c>
      <c r="H35">
        <v>1</v>
      </c>
      <c r="I35" t="s">
        <v>468</v>
      </c>
      <c r="J35" t="s">
        <v>74</v>
      </c>
      <c r="K35" s="1">
        <v>2</v>
      </c>
      <c r="L35" t="s">
        <v>390</v>
      </c>
      <c r="M35">
        <v>25</v>
      </c>
      <c r="N35" s="92">
        <v>44197</v>
      </c>
      <c r="O35" s="92"/>
      <c r="Q35" t="s">
        <v>74</v>
      </c>
      <c r="R35">
        <v>2</v>
      </c>
    </row>
    <row r="36" spans="1:18" x14ac:dyDescent="0.25">
      <c r="A36" t="str">
        <f>TableMJRPTCHPR[[#This Row],[Study Package Code]]</f>
        <v>EDPR6000</v>
      </c>
      <c r="B36" s="1">
        <f>TableMJRPTCHPR[[#This Row],[Ver]]</f>
        <v>1</v>
      </c>
      <c r="D36" t="str">
        <f>TableMJRPTCHPR[[#This Row],[Structure Line]]</f>
        <v>Extending English in the Primary Years</v>
      </c>
      <c r="E36" s="53">
        <f>TableMJRPTCHPR[[#This Row],[Credit Points]]</f>
        <v>25</v>
      </c>
      <c r="F36">
        <v>9</v>
      </c>
      <c r="G36" t="s">
        <v>467</v>
      </c>
      <c r="H36">
        <v>2</v>
      </c>
      <c r="I36" t="s">
        <v>468</v>
      </c>
      <c r="J36" t="s">
        <v>122</v>
      </c>
      <c r="K36" s="1">
        <v>1</v>
      </c>
      <c r="L36" t="s">
        <v>368</v>
      </c>
      <c r="M36">
        <v>25</v>
      </c>
      <c r="N36" s="92">
        <v>44562</v>
      </c>
      <c r="O36" s="92"/>
      <c r="Q36" t="s">
        <v>122</v>
      </c>
      <c r="R36">
        <v>1</v>
      </c>
    </row>
    <row r="37" spans="1:18" x14ac:dyDescent="0.25">
      <c r="A37" t="str">
        <f>TableMJRPTCHPR[[#This Row],[Study Package Code]]</f>
        <v>EDUC5009</v>
      </c>
      <c r="B37" s="1">
        <f>TableMJRPTCHPR[[#This Row],[Ver]]</f>
        <v>1</v>
      </c>
      <c r="D37" t="str">
        <f>TableMJRPTCHPR[[#This Row],[Structure Line]]</f>
        <v>Pedagogies for Diversity</v>
      </c>
      <c r="E37" s="53">
        <f>TableMJRPTCHPR[[#This Row],[Credit Points]]</f>
        <v>25</v>
      </c>
      <c r="F37">
        <v>10</v>
      </c>
      <c r="G37" t="s">
        <v>467</v>
      </c>
      <c r="H37">
        <v>2</v>
      </c>
      <c r="I37" t="s">
        <v>468</v>
      </c>
      <c r="J37" t="s">
        <v>98</v>
      </c>
      <c r="K37" s="1">
        <v>1</v>
      </c>
      <c r="L37" t="s">
        <v>392</v>
      </c>
      <c r="M37">
        <v>25</v>
      </c>
      <c r="N37" s="92">
        <v>43101</v>
      </c>
      <c r="O37" s="92"/>
      <c r="Q37" t="s">
        <v>98</v>
      </c>
      <c r="R37">
        <v>1</v>
      </c>
    </row>
    <row r="38" spans="1:18" x14ac:dyDescent="0.25">
      <c r="A38" t="str">
        <f>TableMJRPTCHPR[[#This Row],[Study Package Code]]</f>
        <v>EDUC6062</v>
      </c>
      <c r="B38" s="1">
        <f>TableMJRPTCHPR[[#This Row],[Ver]]</f>
        <v>1</v>
      </c>
      <c r="D38" t="str">
        <f>TableMJRPTCHPR[[#This Row],[Structure Line]]</f>
        <v>Professional Experience 3: Using Data to Inform Teaching and Learning</v>
      </c>
      <c r="E38" s="53">
        <f>TableMJRPTCHPR[[#This Row],[Credit Points]]</f>
        <v>25</v>
      </c>
      <c r="F38">
        <v>11</v>
      </c>
      <c r="G38" t="s">
        <v>467</v>
      </c>
      <c r="H38">
        <v>2</v>
      </c>
      <c r="I38" t="s">
        <v>468</v>
      </c>
      <c r="J38" t="s">
        <v>121</v>
      </c>
      <c r="K38" s="1">
        <v>1</v>
      </c>
      <c r="L38" t="s">
        <v>415</v>
      </c>
      <c r="M38">
        <v>25</v>
      </c>
      <c r="N38" s="92">
        <v>44562</v>
      </c>
      <c r="O38" s="92"/>
      <c r="Q38" t="s">
        <v>121</v>
      </c>
      <c r="R38">
        <v>1</v>
      </c>
    </row>
    <row r="39" spans="1:18" x14ac:dyDescent="0.25">
      <c r="A39" t="str">
        <f>TableMJRPTCHPR[[#This Row],[Study Package Code]]</f>
        <v>EDUC6064</v>
      </c>
      <c r="B39" s="1">
        <f>TableMJRPTCHPR[[#This Row],[Ver]]</f>
        <v>1</v>
      </c>
      <c r="D39" t="str">
        <f>TableMJRPTCHPR[[#This Row],[Structure Line]]</f>
        <v>Professional Experience 4: Transition into the Profession</v>
      </c>
      <c r="E39" s="53">
        <f>TableMJRPTCHPR[[#This Row],[Credit Points]]</f>
        <v>25</v>
      </c>
      <c r="F39">
        <v>12</v>
      </c>
      <c r="G39" t="s">
        <v>467</v>
      </c>
      <c r="H39">
        <v>2</v>
      </c>
      <c r="I39" t="s">
        <v>468</v>
      </c>
      <c r="J39" t="s">
        <v>133</v>
      </c>
      <c r="K39" s="1">
        <v>1</v>
      </c>
      <c r="L39" t="s">
        <v>417</v>
      </c>
      <c r="M39">
        <v>25</v>
      </c>
      <c r="N39" s="92">
        <v>44562</v>
      </c>
      <c r="O39" s="92"/>
      <c r="Q39" t="s">
        <v>133</v>
      </c>
      <c r="R39">
        <v>1</v>
      </c>
    </row>
    <row r="40" spans="1:18" x14ac:dyDescent="0.25">
      <c r="A40" t="str">
        <f>TableMJRPTCHPR[[#This Row],[Study Package Code]]</f>
        <v>EDPR5007</v>
      </c>
      <c r="B40" s="1">
        <f>TableMJRPTCHPR[[#This Row],[Ver]]</f>
        <v>2</v>
      </c>
      <c r="D40" t="str">
        <f>TableMJRPTCHPR[[#This Row],[Structure Line]]</f>
        <v>Statistics For Educators</v>
      </c>
      <c r="E40" s="53">
        <f>TableMJRPTCHPR[[#This Row],[Credit Points]]</f>
        <v>25</v>
      </c>
      <c r="F40">
        <v>13</v>
      </c>
      <c r="G40" t="s">
        <v>467</v>
      </c>
      <c r="H40">
        <v>2</v>
      </c>
      <c r="I40" t="s">
        <v>468</v>
      </c>
      <c r="J40" t="s">
        <v>125</v>
      </c>
      <c r="K40" s="1">
        <v>2</v>
      </c>
      <c r="L40" t="s">
        <v>366</v>
      </c>
      <c r="M40">
        <v>25</v>
      </c>
      <c r="N40" s="92">
        <v>45292</v>
      </c>
      <c r="O40" s="92"/>
      <c r="Q40" t="s">
        <v>125</v>
      </c>
      <c r="R40">
        <v>1</v>
      </c>
    </row>
    <row r="41" spans="1:18" x14ac:dyDescent="0.25">
      <c r="A41" t="str">
        <f>TableMJRPTCHPR[[#This Row],[Study Package Code]]</f>
        <v>EDUC6066</v>
      </c>
      <c r="B41" s="1">
        <f>TableMJRPTCHPR[[#This Row],[Ver]]</f>
        <v>1</v>
      </c>
      <c r="D41" t="str">
        <f>TableMJRPTCHPR[[#This Row],[Structure Line]]</f>
        <v>Schooling and Australian Society</v>
      </c>
      <c r="E41" s="53">
        <f>TableMJRPTCHPR[[#This Row],[Credit Points]]</f>
        <v>25</v>
      </c>
      <c r="F41">
        <v>14</v>
      </c>
      <c r="G41" t="s">
        <v>467</v>
      </c>
      <c r="H41">
        <v>2</v>
      </c>
      <c r="I41" t="s">
        <v>468</v>
      </c>
      <c r="J41" t="s">
        <v>128</v>
      </c>
      <c r="K41" s="1">
        <v>1</v>
      </c>
      <c r="L41" t="s">
        <v>418</v>
      </c>
      <c r="M41">
        <v>25</v>
      </c>
      <c r="N41" s="92">
        <v>44562</v>
      </c>
      <c r="O41" s="92"/>
      <c r="Q41" t="s">
        <v>128</v>
      </c>
      <c r="R41">
        <v>1</v>
      </c>
    </row>
    <row r="42" spans="1:18" x14ac:dyDescent="0.25">
      <c r="A42" t="str">
        <f>TableMJRPTCHPR[[#This Row],[Study Package Code]]</f>
        <v>EDPR5008</v>
      </c>
      <c r="B42" s="1">
        <f>TableMJRPTCHPR[[#This Row],[Ver]]</f>
        <v>1</v>
      </c>
      <c r="D42" t="str">
        <f>TableMJRPTCHPR[[#This Row],[Structure Line]]</f>
        <v>Teaching Arts in the Primary Years</v>
      </c>
      <c r="E42" s="53">
        <f>TableMJRPTCHPR[[#This Row],[Credit Points]]</f>
        <v>25</v>
      </c>
      <c r="F42">
        <v>15</v>
      </c>
      <c r="G42" t="s">
        <v>467</v>
      </c>
      <c r="H42">
        <v>2</v>
      </c>
      <c r="I42" t="s">
        <v>468</v>
      </c>
      <c r="J42" t="s">
        <v>117</v>
      </c>
      <c r="K42" s="1">
        <v>1</v>
      </c>
      <c r="L42" t="s">
        <v>367</v>
      </c>
      <c r="M42">
        <v>25</v>
      </c>
      <c r="N42" s="92">
        <v>43101</v>
      </c>
      <c r="O42" s="92"/>
      <c r="Q42" t="s">
        <v>117</v>
      </c>
      <c r="R42">
        <v>1</v>
      </c>
    </row>
    <row r="43" spans="1:18" x14ac:dyDescent="0.25">
      <c r="A43" t="str">
        <f>TableMJRPTCHPR[[#This Row],[Study Package Code]]</f>
        <v>EDPR5004</v>
      </c>
      <c r="B43" s="1">
        <f>TableMJRPTCHPR[[#This Row],[Ver]]</f>
        <v>1</v>
      </c>
      <c r="D43" t="str">
        <f>TableMJRPTCHPR[[#This Row],[Structure Line]]</f>
        <v>Teaching Humanities and Social Sciences in the Primary Years</v>
      </c>
      <c r="E43" s="53">
        <f>TableMJRPTCHPR[[#This Row],[Credit Points]]</f>
        <v>25</v>
      </c>
      <c r="F43">
        <v>16</v>
      </c>
      <c r="G43" t="s">
        <v>467</v>
      </c>
      <c r="H43">
        <v>2</v>
      </c>
      <c r="I43" t="s">
        <v>468</v>
      </c>
      <c r="J43" t="s">
        <v>112</v>
      </c>
      <c r="K43" s="1">
        <v>1</v>
      </c>
      <c r="L43" t="s">
        <v>364</v>
      </c>
      <c r="M43">
        <v>25</v>
      </c>
      <c r="N43" s="92">
        <v>43101</v>
      </c>
      <c r="O43" s="92"/>
      <c r="Q43" t="s">
        <v>112</v>
      </c>
      <c r="R43">
        <v>1</v>
      </c>
    </row>
    <row r="44" spans="1:18" x14ac:dyDescent="0.25">
      <c r="A44" s="50" t="s">
        <v>131</v>
      </c>
      <c r="B44" s="52" t="s">
        <v>82</v>
      </c>
      <c r="C44" s="50"/>
      <c r="D44" s="50" t="s">
        <v>130</v>
      </c>
      <c r="E44" s="52"/>
      <c r="F44" s="50"/>
      <c r="G44" s="51" t="s">
        <v>453</v>
      </c>
      <c r="H44" s="254">
        <v>44562</v>
      </c>
      <c r="J44" s="257" t="s">
        <v>131</v>
      </c>
      <c r="K44" s="255" t="s">
        <v>82</v>
      </c>
      <c r="L44" s="50" t="s">
        <v>130</v>
      </c>
      <c r="N44" t="s">
        <v>454</v>
      </c>
      <c r="O44" s="226">
        <v>45548</v>
      </c>
    </row>
    <row r="45" spans="1:18" x14ac:dyDescent="0.25">
      <c r="A45" t="s">
        <v>0</v>
      </c>
      <c r="B45" s="1" t="s">
        <v>455</v>
      </c>
      <c r="C45" t="s">
        <v>456</v>
      </c>
      <c r="D45" t="s">
        <v>3</v>
      </c>
      <c r="E45" s="53" t="s">
        <v>457</v>
      </c>
      <c r="F45" t="s">
        <v>458</v>
      </c>
      <c r="G45" t="s">
        <v>459</v>
      </c>
      <c r="H45" t="s">
        <v>460</v>
      </c>
      <c r="I45" t="s">
        <v>21</v>
      </c>
      <c r="J45" t="s">
        <v>461</v>
      </c>
      <c r="K45" s="1" t="s">
        <v>1</v>
      </c>
      <c r="L45" t="s">
        <v>462</v>
      </c>
      <c r="M45" t="s">
        <v>55</v>
      </c>
      <c r="N45" s="104" t="s">
        <v>463</v>
      </c>
      <c r="O45" s="104" t="s">
        <v>464</v>
      </c>
      <c r="Q45" t="s">
        <v>465</v>
      </c>
      <c r="R45" t="s">
        <v>466</v>
      </c>
    </row>
    <row r="46" spans="1:18" x14ac:dyDescent="0.25">
      <c r="A46" t="str">
        <f>TableMJRPTCHSC[[#This Row],[Study Package Code]]</f>
        <v>EDSC5021</v>
      </c>
      <c r="B46" s="1">
        <f>TableMJRPTCHSC[[#This Row],[Ver]]</f>
        <v>1</v>
      </c>
      <c r="D46" t="str">
        <f>TableMJRPTCHSC[[#This Row],[Structure Line]]</f>
        <v>Literacy and Numeracy across the Curriculum</v>
      </c>
      <c r="E46" s="53">
        <f>TableMJRPTCHSC[[#This Row],[Credit Points]]</f>
        <v>25</v>
      </c>
      <c r="F46">
        <v>1</v>
      </c>
      <c r="G46" t="s">
        <v>467</v>
      </c>
      <c r="H46">
        <v>1</v>
      </c>
      <c r="I46" t="s">
        <v>468</v>
      </c>
      <c r="J46" t="s">
        <v>275</v>
      </c>
      <c r="K46" s="1">
        <v>1</v>
      </c>
      <c r="L46" t="s">
        <v>370</v>
      </c>
      <c r="M46">
        <v>25</v>
      </c>
      <c r="N46" s="92">
        <v>43101</v>
      </c>
      <c r="O46" s="92"/>
      <c r="Q46" t="s">
        <v>275</v>
      </c>
      <c r="R46">
        <v>1</v>
      </c>
    </row>
    <row r="47" spans="1:18" x14ac:dyDescent="0.25">
      <c r="A47" t="str">
        <f>TableMJRPTCHSC[[#This Row],[Study Package Code]]</f>
        <v>EDSC5022</v>
      </c>
      <c r="B47" s="1">
        <f>TableMJRPTCHSC[[#This Row],[Ver]]</f>
        <v>1</v>
      </c>
      <c r="D47" t="str">
        <f>TableMJRPTCHSC[[#This Row],[Structure Line]]</f>
        <v>Managing the Learning Environment</v>
      </c>
      <c r="E47" s="53">
        <f>TableMJRPTCHSC[[#This Row],[Credit Points]]</f>
        <v>25</v>
      </c>
      <c r="F47">
        <v>2</v>
      </c>
      <c r="G47" t="s">
        <v>467</v>
      </c>
      <c r="H47">
        <v>1</v>
      </c>
      <c r="I47" t="s">
        <v>468</v>
      </c>
      <c r="J47" t="s">
        <v>185</v>
      </c>
      <c r="K47" s="1">
        <v>1</v>
      </c>
      <c r="L47" t="s">
        <v>371</v>
      </c>
      <c r="M47">
        <v>25</v>
      </c>
      <c r="N47" s="92">
        <v>43101</v>
      </c>
      <c r="O47" s="92"/>
      <c r="Q47" t="s">
        <v>185</v>
      </c>
      <c r="R47">
        <v>1</v>
      </c>
    </row>
    <row r="48" spans="1:18" x14ac:dyDescent="0.25">
      <c r="A48" t="str">
        <f>TableMJRPTCHSC[[#This Row],[Study Package Code]]</f>
        <v>EDSC5028</v>
      </c>
      <c r="B48" s="1">
        <f>TableMJRPTCHSC[[#This Row],[Ver]]</f>
        <v>1</v>
      </c>
      <c r="D48" t="str">
        <f>TableMJRPTCHSC[[#This Row],[Structure Line]]</f>
        <v>Secondary Professional Experience 1: Planning</v>
      </c>
      <c r="E48" s="53">
        <f>TableMJRPTCHSC[[#This Row],[Credit Points]]</f>
        <v>25</v>
      </c>
      <c r="F48">
        <v>3</v>
      </c>
      <c r="G48" t="s">
        <v>467</v>
      </c>
      <c r="H48">
        <v>1</v>
      </c>
      <c r="I48" t="s">
        <v>468</v>
      </c>
      <c r="J48" t="s">
        <v>278</v>
      </c>
      <c r="K48" s="1">
        <v>1</v>
      </c>
      <c r="L48" t="s">
        <v>377</v>
      </c>
      <c r="M48">
        <v>25</v>
      </c>
      <c r="N48" s="92">
        <v>43101</v>
      </c>
      <c r="O48" s="92"/>
      <c r="Q48" t="s">
        <v>278</v>
      </c>
      <c r="R48">
        <v>1</v>
      </c>
    </row>
    <row r="49" spans="1:18" x14ac:dyDescent="0.25">
      <c r="A49" t="str">
        <f>TableMJRPTCHSC[[#This Row],[Study Package Code]]</f>
        <v>EDSC5029</v>
      </c>
      <c r="B49" s="1">
        <f>TableMJRPTCHSC[[#This Row],[Ver]]</f>
        <v>1</v>
      </c>
      <c r="D49" t="str">
        <f>TableMJRPTCHSC[[#This Row],[Structure Line]]</f>
        <v>Secondary Professional Experience 2: Assessment and Reporting</v>
      </c>
      <c r="E49" s="53">
        <f>TableMJRPTCHSC[[#This Row],[Credit Points]]</f>
        <v>25</v>
      </c>
      <c r="F49">
        <v>4</v>
      </c>
      <c r="G49" t="s">
        <v>467</v>
      </c>
      <c r="H49">
        <v>1</v>
      </c>
      <c r="I49" t="s">
        <v>468</v>
      </c>
      <c r="J49" t="s">
        <v>283</v>
      </c>
      <c r="K49" s="1">
        <v>1</v>
      </c>
      <c r="L49" t="s">
        <v>378</v>
      </c>
      <c r="M49">
        <v>25</v>
      </c>
      <c r="N49" s="92">
        <v>43101</v>
      </c>
      <c r="O49" s="92"/>
      <c r="Q49" t="s">
        <v>283</v>
      </c>
      <c r="R49">
        <v>1</v>
      </c>
    </row>
    <row r="50" spans="1:18" x14ac:dyDescent="0.25">
      <c r="A50" t="str">
        <f>TableMJRPTCHSC[[#This Row],[Study Package Code]]</f>
        <v>EDSC5035</v>
      </c>
      <c r="B50" s="1">
        <f>TableMJRPTCHSC[[#This Row],[Ver]]</f>
        <v>1</v>
      </c>
      <c r="D50" t="str">
        <f>TableMJRPTCHSC[[#This Row],[Structure Line]]</f>
        <v>Teaching in the Secondary School</v>
      </c>
      <c r="E50" s="53">
        <f>TableMJRPTCHSC[[#This Row],[Credit Points]]</f>
        <v>25</v>
      </c>
      <c r="F50">
        <v>5</v>
      </c>
      <c r="G50" t="s">
        <v>467</v>
      </c>
      <c r="H50">
        <v>1</v>
      </c>
      <c r="I50" t="s">
        <v>468</v>
      </c>
      <c r="J50" t="s">
        <v>269</v>
      </c>
      <c r="K50" s="1">
        <v>1</v>
      </c>
      <c r="L50" t="s">
        <v>384</v>
      </c>
      <c r="M50">
        <v>25</v>
      </c>
      <c r="N50" s="92">
        <v>43101</v>
      </c>
      <c r="O50" s="92"/>
      <c r="Q50" t="s">
        <v>269</v>
      </c>
      <c r="R50">
        <v>1</v>
      </c>
    </row>
    <row r="51" spans="1:18" x14ac:dyDescent="0.25">
      <c r="A51" t="str">
        <f>TableMJRPTCHSC[[#This Row],[Study Package Code]]</f>
        <v>Option</v>
      </c>
      <c r="B51" s="1">
        <f>TableMJRPTCHSC[[#This Row],[Ver]]</f>
        <v>0</v>
      </c>
      <c r="D51" t="str">
        <f>TableMJRPTCHSC[[#This Row],[Structure Line]]</f>
        <v>First Teaching Area Options</v>
      </c>
      <c r="E51" s="53">
        <f>TableMJRPTCHSC[[#This Row],[Credit Points]]</f>
        <v>50</v>
      </c>
      <c r="F51">
        <v>6</v>
      </c>
      <c r="G51" t="s">
        <v>438</v>
      </c>
      <c r="H51">
        <v>1</v>
      </c>
      <c r="I51" t="s">
        <v>468</v>
      </c>
      <c r="J51" t="s">
        <v>438</v>
      </c>
      <c r="K51" s="1">
        <v>0</v>
      </c>
      <c r="L51" t="s">
        <v>423</v>
      </c>
      <c r="M51">
        <v>50</v>
      </c>
      <c r="N51" s="92"/>
      <c r="O51" s="92"/>
      <c r="Q51" t="s">
        <v>438</v>
      </c>
      <c r="R51">
        <v>0</v>
      </c>
    </row>
    <row r="52" spans="1:18" x14ac:dyDescent="0.25">
      <c r="A52" t="str">
        <f>TableMJRPTCHSC[[#This Row],[Study Package Code]]</f>
        <v>EDUC5005</v>
      </c>
      <c r="B52" s="1">
        <f>TableMJRPTCHSC[[#This Row],[Ver]]</f>
        <v>2</v>
      </c>
      <c r="D52" t="str">
        <f>TableMJRPTCHSC[[#This Row],[Structure Line]]</f>
        <v>Theories of Development and Learning</v>
      </c>
      <c r="E52" s="53">
        <f>TableMJRPTCHSC[[#This Row],[Credit Points]]</f>
        <v>25</v>
      </c>
      <c r="F52">
        <v>7</v>
      </c>
      <c r="G52" t="s">
        <v>467</v>
      </c>
      <c r="H52">
        <v>1</v>
      </c>
      <c r="I52" t="s">
        <v>468</v>
      </c>
      <c r="J52" t="s">
        <v>74</v>
      </c>
      <c r="K52" s="1">
        <v>2</v>
      </c>
      <c r="L52" t="s">
        <v>390</v>
      </c>
      <c r="M52">
        <v>25</v>
      </c>
      <c r="N52" s="92">
        <v>44197</v>
      </c>
      <c r="O52" s="92"/>
      <c r="Q52" t="s">
        <v>74</v>
      </c>
      <c r="R52">
        <v>2</v>
      </c>
    </row>
    <row r="53" spans="1:18" x14ac:dyDescent="0.25">
      <c r="A53" t="str">
        <f>TableMJRPTCHSC[[#This Row],[Study Package Code]]</f>
        <v>EDUC5006</v>
      </c>
      <c r="B53" s="1">
        <f>TableMJRPTCHSC[[#This Row],[Ver]]</f>
        <v>1</v>
      </c>
      <c r="D53" t="str">
        <f>TableMJRPTCHSC[[#This Row],[Structure Line]]</f>
        <v>Creative Technologies</v>
      </c>
      <c r="E53" s="53">
        <f>TableMJRPTCHSC[[#This Row],[Credit Points]]</f>
        <v>25</v>
      </c>
      <c r="F53">
        <v>8</v>
      </c>
      <c r="G53" t="s">
        <v>467</v>
      </c>
      <c r="H53">
        <v>2</v>
      </c>
      <c r="I53" t="s">
        <v>468</v>
      </c>
      <c r="J53" t="s">
        <v>97</v>
      </c>
      <c r="K53" s="1">
        <v>1</v>
      </c>
      <c r="L53" t="s">
        <v>391</v>
      </c>
      <c r="M53">
        <v>25</v>
      </c>
      <c r="N53" s="92">
        <v>43101</v>
      </c>
      <c r="O53" s="92"/>
      <c r="Q53" t="s">
        <v>97</v>
      </c>
      <c r="R53">
        <v>1</v>
      </c>
    </row>
    <row r="54" spans="1:18" x14ac:dyDescent="0.25">
      <c r="A54" t="str">
        <f>TableMJRPTCHSC[[#This Row],[Study Package Code]]</f>
        <v>EDUC5009</v>
      </c>
      <c r="B54" s="1">
        <f>TableMJRPTCHSC[[#This Row],[Ver]]</f>
        <v>1</v>
      </c>
      <c r="D54" t="str">
        <f>TableMJRPTCHSC[[#This Row],[Structure Line]]</f>
        <v>Pedagogies for Diversity</v>
      </c>
      <c r="E54" s="53">
        <f>TableMJRPTCHSC[[#This Row],[Credit Points]]</f>
        <v>25</v>
      </c>
      <c r="F54">
        <v>9</v>
      </c>
      <c r="G54" t="s">
        <v>467</v>
      </c>
      <c r="H54">
        <v>2</v>
      </c>
      <c r="I54" t="s">
        <v>468</v>
      </c>
      <c r="J54" t="s">
        <v>98</v>
      </c>
      <c r="K54" s="1">
        <v>1</v>
      </c>
      <c r="L54" t="s">
        <v>392</v>
      </c>
      <c r="M54">
        <v>25</v>
      </c>
      <c r="N54" s="92">
        <v>43101</v>
      </c>
      <c r="O54" s="92"/>
      <c r="Q54" t="s">
        <v>98</v>
      </c>
      <c r="R54">
        <v>1</v>
      </c>
    </row>
    <row r="55" spans="1:18" x14ac:dyDescent="0.25">
      <c r="A55" t="str">
        <f>TableMJRPTCHSC[[#This Row],[Study Package Code]]</f>
        <v>EDUC6062</v>
      </c>
      <c r="B55" s="1">
        <f>TableMJRPTCHSC[[#This Row],[Ver]]</f>
        <v>1</v>
      </c>
      <c r="D55" t="str">
        <f>TableMJRPTCHSC[[#This Row],[Structure Line]]</f>
        <v>Professional Experience 3: Using Data to Inform Teaching and Learning</v>
      </c>
      <c r="E55" s="53">
        <f>TableMJRPTCHSC[[#This Row],[Credit Points]]</f>
        <v>25</v>
      </c>
      <c r="F55">
        <v>10</v>
      </c>
      <c r="G55" t="s">
        <v>467</v>
      </c>
      <c r="H55">
        <v>2</v>
      </c>
      <c r="I55" t="s">
        <v>468</v>
      </c>
      <c r="J55" t="s">
        <v>121</v>
      </c>
      <c r="K55" s="1">
        <v>1</v>
      </c>
      <c r="L55" t="s">
        <v>415</v>
      </c>
      <c r="M55">
        <v>25</v>
      </c>
      <c r="N55" s="92">
        <v>44562</v>
      </c>
      <c r="O55" s="92"/>
      <c r="Q55" t="s">
        <v>121</v>
      </c>
      <c r="R55">
        <v>1</v>
      </c>
    </row>
    <row r="56" spans="1:18" x14ac:dyDescent="0.25">
      <c r="A56" t="str">
        <f>TableMJRPTCHSC[[#This Row],[Study Package Code]]</f>
        <v>EDUC6064</v>
      </c>
      <c r="B56" s="1">
        <f>TableMJRPTCHSC[[#This Row],[Ver]]</f>
        <v>1</v>
      </c>
      <c r="D56" t="str">
        <f>TableMJRPTCHSC[[#This Row],[Structure Line]]</f>
        <v>Professional Experience 4: Transition into the Profession</v>
      </c>
      <c r="E56" s="53">
        <f>TableMJRPTCHSC[[#This Row],[Credit Points]]</f>
        <v>25</v>
      </c>
      <c r="F56">
        <v>11</v>
      </c>
      <c r="G56" t="s">
        <v>467</v>
      </c>
      <c r="H56">
        <v>2</v>
      </c>
      <c r="I56" t="s">
        <v>468</v>
      </c>
      <c r="J56" t="s">
        <v>133</v>
      </c>
      <c r="K56" s="1">
        <v>1</v>
      </c>
      <c r="L56" t="s">
        <v>417</v>
      </c>
      <c r="M56">
        <v>25</v>
      </c>
      <c r="N56" s="92">
        <v>44562</v>
      </c>
      <c r="O56" s="92"/>
      <c r="Q56" t="s">
        <v>133</v>
      </c>
      <c r="R56">
        <v>1</v>
      </c>
    </row>
    <row r="57" spans="1:18" x14ac:dyDescent="0.25">
      <c r="A57" t="str">
        <f>TableMJRPTCHSC[[#This Row],[Study Package Code]]</f>
        <v>EDSC6000</v>
      </c>
      <c r="B57" s="1">
        <f>TableMJRPTCHSC[[#This Row],[Ver]]</f>
        <v>1</v>
      </c>
      <c r="D57" t="str">
        <f>TableMJRPTCHSC[[#This Row],[Structure Line]]</f>
        <v>Research-Based Inquiry to Enhance Practice</v>
      </c>
      <c r="E57" s="53">
        <f>TableMJRPTCHSC[[#This Row],[Credit Points]]</f>
        <v>25</v>
      </c>
      <c r="F57">
        <v>12</v>
      </c>
      <c r="G57" t="s">
        <v>467</v>
      </c>
      <c r="H57">
        <v>2</v>
      </c>
      <c r="I57" t="s">
        <v>468</v>
      </c>
      <c r="J57" t="s">
        <v>291</v>
      </c>
      <c r="K57" s="1">
        <v>1</v>
      </c>
      <c r="L57" t="s">
        <v>389</v>
      </c>
      <c r="M57">
        <v>25</v>
      </c>
      <c r="N57" s="92">
        <v>44562</v>
      </c>
      <c r="O57" s="92"/>
      <c r="Q57" t="s">
        <v>291</v>
      </c>
      <c r="R57">
        <v>1</v>
      </c>
    </row>
    <row r="58" spans="1:18" x14ac:dyDescent="0.25">
      <c r="A58" t="str">
        <f>TableMJRPTCHSC[[#This Row],[Study Package Code]]</f>
        <v>EDUC6066</v>
      </c>
      <c r="B58" s="1">
        <f>TableMJRPTCHSC[[#This Row],[Ver]]</f>
        <v>1</v>
      </c>
      <c r="D58" t="str">
        <f>TableMJRPTCHSC[[#This Row],[Structure Line]]</f>
        <v>Schooling and Australian Society</v>
      </c>
      <c r="E58" s="53">
        <f>TableMJRPTCHSC[[#This Row],[Credit Points]]</f>
        <v>25</v>
      </c>
      <c r="F58">
        <v>13</v>
      </c>
      <c r="G58" t="s">
        <v>467</v>
      </c>
      <c r="H58">
        <v>2</v>
      </c>
      <c r="I58" t="s">
        <v>468</v>
      </c>
      <c r="J58" t="s">
        <v>128</v>
      </c>
      <c r="K58" s="1">
        <v>1</v>
      </c>
      <c r="L58" t="s">
        <v>418</v>
      </c>
      <c r="M58">
        <v>25</v>
      </c>
      <c r="N58" s="92">
        <v>44562</v>
      </c>
      <c r="O58" s="92"/>
      <c r="Q58" t="s">
        <v>128</v>
      </c>
      <c r="R58">
        <v>1</v>
      </c>
    </row>
    <row r="59" spans="1:18" x14ac:dyDescent="0.25">
      <c r="A59" t="str">
        <f>TableMJRPTCHSC[[#This Row],[Study Package Code]]</f>
        <v>Option</v>
      </c>
      <c r="B59" s="1">
        <f>TableMJRPTCHSC[[#This Row],[Ver]]</f>
        <v>0</v>
      </c>
      <c r="D59" t="str">
        <f>TableMJRPTCHSC[[#This Row],[Structure Line]]</f>
        <v>Second Teaching Area Options</v>
      </c>
      <c r="E59" s="53">
        <f>TableMJRPTCHSC[[#This Row],[Credit Points]]</f>
        <v>50</v>
      </c>
      <c r="F59">
        <v>14</v>
      </c>
      <c r="G59" t="s">
        <v>438</v>
      </c>
      <c r="H59">
        <v>2</v>
      </c>
      <c r="I59" t="s">
        <v>468</v>
      </c>
      <c r="J59" t="s">
        <v>438</v>
      </c>
      <c r="K59" s="1">
        <v>0</v>
      </c>
      <c r="L59" t="s">
        <v>443</v>
      </c>
      <c r="M59">
        <v>50</v>
      </c>
      <c r="N59" s="92"/>
      <c r="O59" s="92"/>
      <c r="Q59" t="s">
        <v>438</v>
      </c>
      <c r="R59">
        <v>0</v>
      </c>
    </row>
    <row r="60" spans="1:18" x14ac:dyDescent="0.25">
      <c r="A60" t="str">
        <f>TableMJRPTCHSC[[#This Row],[Study Package Code]]</f>
        <v>STRP-SCART</v>
      </c>
      <c r="B60" s="1">
        <f>TableMJRPTCHSC[[#This Row],[Ver]]</f>
        <v>1</v>
      </c>
      <c r="D60" t="str">
        <f>TableMJRPTCHSC[[#This Row],[Structure Line]]</f>
        <v>The Arts Teaching Area Stream (MTch Sec)</v>
      </c>
      <c r="E60" s="53">
        <f>TableMJRPTCHSC[[#This Row],[Credit Points]]</f>
        <v>50</v>
      </c>
      <c r="F60">
        <v>6</v>
      </c>
      <c r="G60" t="s">
        <v>438</v>
      </c>
      <c r="H60">
        <v>1</v>
      </c>
      <c r="I60" t="s">
        <v>468</v>
      </c>
      <c r="J60" t="s">
        <v>274</v>
      </c>
      <c r="K60" s="1">
        <v>1</v>
      </c>
      <c r="L60" t="s">
        <v>445</v>
      </c>
      <c r="M60">
        <v>50</v>
      </c>
      <c r="N60" s="92">
        <v>44562</v>
      </c>
      <c r="O60" s="92"/>
      <c r="Q60" t="s">
        <v>274</v>
      </c>
      <c r="R60">
        <v>1</v>
      </c>
    </row>
    <row r="61" spans="1:18" x14ac:dyDescent="0.25">
      <c r="A61" t="str">
        <f>TableMJRPTCHSC[[#This Row],[Study Package Code]]</f>
        <v>STRP-SCENG</v>
      </c>
      <c r="B61" s="1">
        <f>TableMJRPTCHSC[[#This Row],[Ver]]</f>
        <v>1</v>
      </c>
      <c r="D61" t="str">
        <f>TableMJRPTCHSC[[#This Row],[Structure Line]]</f>
        <v>English Teaching Area Stream (MTch Sec)</v>
      </c>
      <c r="E61" s="53">
        <f>TableMJRPTCHSC[[#This Row],[Credit Points]]</f>
        <v>50</v>
      </c>
      <c r="F61">
        <v>6</v>
      </c>
      <c r="G61" t="s">
        <v>438</v>
      </c>
      <c r="H61">
        <v>1</v>
      </c>
      <c r="I61" t="s">
        <v>468</v>
      </c>
      <c r="J61" t="s">
        <v>280</v>
      </c>
      <c r="K61" s="1">
        <v>1</v>
      </c>
      <c r="L61" t="s">
        <v>446</v>
      </c>
      <c r="M61">
        <v>50</v>
      </c>
      <c r="N61" s="92">
        <v>44562</v>
      </c>
      <c r="O61" s="92"/>
      <c r="Q61" t="s">
        <v>280</v>
      </c>
      <c r="R61">
        <v>1</v>
      </c>
    </row>
    <row r="62" spans="1:18" x14ac:dyDescent="0.25">
      <c r="A62" t="str">
        <f>TableMJRPTCHSC[[#This Row],[Study Package Code]]</f>
        <v>STRP-SCHLP</v>
      </c>
      <c r="B62" s="1">
        <f>TableMJRPTCHSC[[#This Row],[Ver]]</f>
        <v>1</v>
      </c>
      <c r="D62" t="str">
        <f>TableMJRPTCHSC[[#This Row],[Structure Line]]</f>
        <v>Health and Physical Education Teaching Area Stream (MTch Sec)</v>
      </c>
      <c r="E62" s="53">
        <f>TableMJRPTCHSC[[#This Row],[Credit Points]]</f>
        <v>50</v>
      </c>
      <c r="F62">
        <v>6</v>
      </c>
      <c r="G62" t="s">
        <v>438</v>
      </c>
      <c r="H62">
        <v>1</v>
      </c>
      <c r="I62" t="s">
        <v>468</v>
      </c>
      <c r="J62" t="s">
        <v>282</v>
      </c>
      <c r="K62" s="1">
        <v>1</v>
      </c>
      <c r="L62" t="s">
        <v>448</v>
      </c>
      <c r="M62">
        <v>50</v>
      </c>
      <c r="N62" s="92">
        <v>44562</v>
      </c>
      <c r="O62" s="92"/>
      <c r="Q62" t="s">
        <v>282</v>
      </c>
      <c r="R62">
        <v>1</v>
      </c>
    </row>
    <row r="63" spans="1:18" x14ac:dyDescent="0.25">
      <c r="A63" t="str">
        <f>TableMJRPTCHSC[[#This Row],[Study Package Code]]</f>
        <v>STRP-SCHUS</v>
      </c>
      <c r="B63" s="1">
        <f>TableMJRPTCHSC[[#This Row],[Ver]]</f>
        <v>1</v>
      </c>
      <c r="D63" t="str">
        <f>TableMJRPTCHSC[[#This Row],[Structure Line]]</f>
        <v>Humanities and Social Sciences Teaching Area Stream (MTch Sec)</v>
      </c>
      <c r="E63" s="53">
        <f>TableMJRPTCHSC[[#This Row],[Credit Points]]</f>
        <v>50</v>
      </c>
      <c r="F63">
        <v>6</v>
      </c>
      <c r="G63" t="s">
        <v>438</v>
      </c>
      <c r="H63">
        <v>1</v>
      </c>
      <c r="I63" t="s">
        <v>468</v>
      </c>
      <c r="J63" t="s">
        <v>285</v>
      </c>
      <c r="K63" s="1">
        <v>1</v>
      </c>
      <c r="L63" t="s">
        <v>449</v>
      </c>
      <c r="M63">
        <v>50</v>
      </c>
      <c r="N63" s="92">
        <v>44562</v>
      </c>
      <c r="O63" s="92"/>
      <c r="Q63" t="s">
        <v>285</v>
      </c>
      <c r="R63">
        <v>1</v>
      </c>
    </row>
    <row r="64" spans="1:18" x14ac:dyDescent="0.25">
      <c r="A64" t="str">
        <f>TableMJRPTCHSC[[#This Row],[Study Package Code]]</f>
        <v>STRP-SCMAT</v>
      </c>
      <c r="B64" s="1">
        <f>TableMJRPTCHSC[[#This Row],[Ver]]</f>
        <v>1</v>
      </c>
      <c r="D64" t="str">
        <f>TableMJRPTCHSC[[#This Row],[Structure Line]]</f>
        <v>Mathematics Teaching Area Stream (MTch Sec)</v>
      </c>
      <c r="E64" s="53">
        <f>TableMJRPTCHSC[[#This Row],[Credit Points]]</f>
        <v>50</v>
      </c>
      <c r="F64">
        <v>6</v>
      </c>
      <c r="G64" t="s">
        <v>438</v>
      </c>
      <c r="H64">
        <v>1</v>
      </c>
      <c r="I64" t="s">
        <v>468</v>
      </c>
      <c r="J64" t="s">
        <v>287</v>
      </c>
      <c r="K64" s="1">
        <v>1</v>
      </c>
      <c r="L64" t="s">
        <v>450</v>
      </c>
      <c r="M64">
        <v>50</v>
      </c>
      <c r="N64" s="92">
        <v>44562</v>
      </c>
      <c r="O64" s="92"/>
      <c r="Q64" t="s">
        <v>287</v>
      </c>
      <c r="R64">
        <v>1</v>
      </c>
    </row>
    <row r="65" spans="1:18" x14ac:dyDescent="0.25">
      <c r="A65" t="str">
        <f>TableMJRPTCHSC[[#This Row],[Study Package Code]]</f>
        <v>STRP-SCSCI</v>
      </c>
      <c r="B65" s="1">
        <f>TableMJRPTCHSC[[#This Row],[Ver]]</f>
        <v>1</v>
      </c>
      <c r="D65" t="str">
        <f>TableMJRPTCHSC[[#This Row],[Structure Line]]</f>
        <v>Science Teaching Area Stream (MTch Sec)</v>
      </c>
      <c r="E65" s="53">
        <f>TableMJRPTCHSC[[#This Row],[Credit Points]]</f>
        <v>50</v>
      </c>
      <c r="F65">
        <v>6</v>
      </c>
      <c r="G65" t="s">
        <v>438</v>
      </c>
      <c r="H65">
        <v>1</v>
      </c>
      <c r="I65" t="s">
        <v>468</v>
      </c>
      <c r="J65" t="s">
        <v>290</v>
      </c>
      <c r="K65" s="1">
        <v>1</v>
      </c>
      <c r="L65" t="s">
        <v>451</v>
      </c>
      <c r="M65">
        <v>50</v>
      </c>
      <c r="N65" s="92">
        <v>44562</v>
      </c>
      <c r="O65" s="92"/>
      <c r="Q65" t="s">
        <v>290</v>
      </c>
      <c r="R65">
        <v>1</v>
      </c>
    </row>
    <row r="66" spans="1:18" x14ac:dyDescent="0.25">
      <c r="A66" t="str">
        <f>TableMJRPTCHSC[[#This Row],[Study Package Code]]</f>
        <v>STRP-SCART</v>
      </c>
      <c r="B66" s="1">
        <f>TableMJRPTCHSC[[#This Row],[Ver]]</f>
        <v>1</v>
      </c>
      <c r="D66" t="str">
        <f>TableMJRPTCHSC[[#This Row],[Structure Line]]</f>
        <v>The Arts Teaching Area Stream (MTch Sec)</v>
      </c>
      <c r="E66" s="53">
        <f>TableMJRPTCHSC[[#This Row],[Credit Points]]</f>
        <v>50</v>
      </c>
      <c r="F66">
        <v>14</v>
      </c>
      <c r="G66" t="s">
        <v>438</v>
      </c>
      <c r="H66">
        <v>2</v>
      </c>
      <c r="I66" t="s">
        <v>468</v>
      </c>
      <c r="J66" t="s">
        <v>274</v>
      </c>
      <c r="K66" s="1">
        <v>1</v>
      </c>
      <c r="L66" t="s">
        <v>445</v>
      </c>
      <c r="M66">
        <v>50</v>
      </c>
      <c r="N66" s="92">
        <v>44562</v>
      </c>
      <c r="O66" s="92"/>
      <c r="Q66" t="s">
        <v>274</v>
      </c>
      <c r="R66">
        <v>1</v>
      </c>
    </row>
    <row r="67" spans="1:18" x14ac:dyDescent="0.25">
      <c r="A67" t="str">
        <f>TableMJRPTCHSC[[#This Row],[Study Package Code]]</f>
        <v>STRP-SCENG</v>
      </c>
      <c r="B67" s="1">
        <f>TableMJRPTCHSC[[#This Row],[Ver]]</f>
        <v>1</v>
      </c>
      <c r="D67" t="str">
        <f>TableMJRPTCHSC[[#This Row],[Structure Line]]</f>
        <v>English Teaching Area Stream (MTch Sec)</v>
      </c>
      <c r="E67" s="53">
        <f>TableMJRPTCHSC[[#This Row],[Credit Points]]</f>
        <v>50</v>
      </c>
      <c r="F67">
        <v>14</v>
      </c>
      <c r="G67" t="s">
        <v>438</v>
      </c>
      <c r="H67">
        <v>2</v>
      </c>
      <c r="I67" t="s">
        <v>468</v>
      </c>
      <c r="J67" t="s">
        <v>280</v>
      </c>
      <c r="K67" s="1">
        <v>1</v>
      </c>
      <c r="L67" t="s">
        <v>446</v>
      </c>
      <c r="M67">
        <v>50</v>
      </c>
      <c r="N67" s="92">
        <v>44562</v>
      </c>
      <c r="O67" s="92"/>
      <c r="Q67" t="s">
        <v>280</v>
      </c>
      <c r="R67">
        <v>1</v>
      </c>
    </row>
    <row r="68" spans="1:18" x14ac:dyDescent="0.25">
      <c r="A68" t="str">
        <f>TableMJRPTCHSC[[#This Row],[Study Package Code]]</f>
        <v>STRP-SCFON</v>
      </c>
      <c r="B68" s="1">
        <f>TableMJRPTCHSC[[#This Row],[Ver]]</f>
        <v>1</v>
      </c>
      <c r="D68" t="str">
        <f>TableMJRPTCHSC[[#This Row],[Structure Line]]</f>
        <v>First Teaching Area Only Stream (MTch Sec)</v>
      </c>
      <c r="E68" s="53">
        <f>TableMJRPTCHSC[[#This Row],[Credit Points]]</f>
        <v>50</v>
      </c>
      <c r="F68">
        <v>14</v>
      </c>
      <c r="G68" t="s">
        <v>438</v>
      </c>
      <c r="H68">
        <v>2</v>
      </c>
      <c r="I68" t="s">
        <v>468</v>
      </c>
      <c r="J68" t="s">
        <v>277</v>
      </c>
      <c r="K68" s="1">
        <v>1</v>
      </c>
      <c r="L68" t="s">
        <v>447</v>
      </c>
      <c r="M68">
        <v>50</v>
      </c>
      <c r="N68" s="92">
        <v>44562</v>
      </c>
      <c r="O68" s="92"/>
      <c r="Q68" t="s">
        <v>277</v>
      </c>
      <c r="R68">
        <v>1</v>
      </c>
    </row>
    <row r="69" spans="1:18" x14ac:dyDescent="0.25">
      <c r="A69" t="str">
        <f>TableMJRPTCHSC[[#This Row],[Study Package Code]]</f>
        <v>STRP-SCHLP</v>
      </c>
      <c r="B69" s="1">
        <f>TableMJRPTCHSC[[#This Row],[Ver]]</f>
        <v>1</v>
      </c>
      <c r="D69" t="str">
        <f>TableMJRPTCHSC[[#This Row],[Structure Line]]</f>
        <v>Health and Physical Education Teaching Area Stream (MTch Sec)</v>
      </c>
      <c r="E69" s="53">
        <f>TableMJRPTCHSC[[#This Row],[Credit Points]]</f>
        <v>50</v>
      </c>
      <c r="F69">
        <v>14</v>
      </c>
      <c r="G69" t="s">
        <v>438</v>
      </c>
      <c r="H69">
        <v>2</v>
      </c>
      <c r="I69" t="s">
        <v>468</v>
      </c>
      <c r="J69" t="s">
        <v>282</v>
      </c>
      <c r="K69" s="1">
        <v>1</v>
      </c>
      <c r="L69" t="s">
        <v>448</v>
      </c>
      <c r="M69">
        <v>50</v>
      </c>
      <c r="N69" s="92">
        <v>44562</v>
      </c>
      <c r="O69" s="92"/>
      <c r="Q69" t="s">
        <v>282</v>
      </c>
      <c r="R69">
        <v>1</v>
      </c>
    </row>
    <row r="70" spans="1:18" x14ac:dyDescent="0.25">
      <c r="A70" t="str">
        <f>TableMJRPTCHSC[[#This Row],[Study Package Code]]</f>
        <v>STRP-SCHUS</v>
      </c>
      <c r="B70" s="1">
        <f>TableMJRPTCHSC[[#This Row],[Ver]]</f>
        <v>1</v>
      </c>
      <c r="D70" t="str">
        <f>TableMJRPTCHSC[[#This Row],[Structure Line]]</f>
        <v>Humanities and Social Sciences Teaching Area Stream (MTch Sec)</v>
      </c>
      <c r="E70" s="53">
        <f>TableMJRPTCHSC[[#This Row],[Credit Points]]</f>
        <v>50</v>
      </c>
      <c r="F70">
        <v>14</v>
      </c>
      <c r="G70" t="s">
        <v>438</v>
      </c>
      <c r="H70">
        <v>2</v>
      </c>
      <c r="I70" t="s">
        <v>468</v>
      </c>
      <c r="J70" t="s">
        <v>285</v>
      </c>
      <c r="K70" s="1">
        <v>1</v>
      </c>
      <c r="L70" t="s">
        <v>449</v>
      </c>
      <c r="M70">
        <v>50</v>
      </c>
      <c r="N70" s="92">
        <v>44562</v>
      </c>
      <c r="O70" s="92"/>
      <c r="Q70" t="s">
        <v>285</v>
      </c>
      <c r="R70">
        <v>1</v>
      </c>
    </row>
    <row r="71" spans="1:18" x14ac:dyDescent="0.25">
      <c r="A71" t="str">
        <f>TableMJRPTCHSC[[#This Row],[Study Package Code]]</f>
        <v>STRP-SCMAT</v>
      </c>
      <c r="B71" s="1">
        <f>TableMJRPTCHSC[[#This Row],[Ver]]</f>
        <v>1</v>
      </c>
      <c r="D71" t="str">
        <f>TableMJRPTCHSC[[#This Row],[Structure Line]]</f>
        <v>Mathematics Teaching Area Stream (MTch Sec)</v>
      </c>
      <c r="E71" s="53">
        <f>TableMJRPTCHSC[[#This Row],[Credit Points]]</f>
        <v>50</v>
      </c>
      <c r="F71">
        <v>14</v>
      </c>
      <c r="G71" t="s">
        <v>438</v>
      </c>
      <c r="H71">
        <v>2</v>
      </c>
      <c r="I71" t="s">
        <v>468</v>
      </c>
      <c r="J71" t="s">
        <v>287</v>
      </c>
      <c r="K71" s="1">
        <v>1</v>
      </c>
      <c r="L71" t="s">
        <v>450</v>
      </c>
      <c r="M71">
        <v>50</v>
      </c>
      <c r="N71" s="92">
        <v>44562</v>
      </c>
      <c r="O71" s="92"/>
      <c r="Q71" t="s">
        <v>287</v>
      </c>
      <c r="R71">
        <v>1</v>
      </c>
    </row>
    <row r="72" spans="1:18" x14ac:dyDescent="0.25">
      <c r="A72" t="str">
        <f>TableMJRPTCHSC[[#This Row],[Study Package Code]]</f>
        <v>STRP-SCSCI</v>
      </c>
      <c r="B72" s="1">
        <f>TableMJRPTCHSC[[#This Row],[Ver]]</f>
        <v>1</v>
      </c>
      <c r="D72" t="str">
        <f>TableMJRPTCHSC[[#This Row],[Structure Line]]</f>
        <v>Science Teaching Area Stream (MTch Sec)</v>
      </c>
      <c r="E72" s="53">
        <f>TableMJRPTCHSC[[#This Row],[Credit Points]]</f>
        <v>50</v>
      </c>
      <c r="F72">
        <v>14</v>
      </c>
      <c r="G72" t="s">
        <v>438</v>
      </c>
      <c r="H72">
        <v>2</v>
      </c>
      <c r="I72" t="s">
        <v>468</v>
      </c>
      <c r="J72" t="s">
        <v>290</v>
      </c>
      <c r="K72" s="1">
        <v>1</v>
      </c>
      <c r="L72" t="s">
        <v>451</v>
      </c>
      <c r="M72">
        <v>50</v>
      </c>
      <c r="N72" s="92">
        <v>44562</v>
      </c>
      <c r="O72" s="92"/>
      <c r="Q72" t="s">
        <v>290</v>
      </c>
      <c r="R72">
        <v>1</v>
      </c>
    </row>
    <row r="73" spans="1:18" x14ac:dyDescent="0.25">
      <c r="B73"/>
      <c r="E73"/>
      <c r="F73" s="50"/>
      <c r="G73" s="51" t="s">
        <v>453</v>
      </c>
      <c r="H73" s="254">
        <v>44562</v>
      </c>
      <c r="J73" s="257" t="s">
        <v>274</v>
      </c>
      <c r="K73" s="255" t="s">
        <v>58</v>
      </c>
      <c r="L73" s="50" t="s">
        <v>445</v>
      </c>
      <c r="N73" t="s">
        <v>454</v>
      </c>
      <c r="O73" s="226">
        <v>45548</v>
      </c>
    </row>
    <row r="74" spans="1:18" x14ac:dyDescent="0.25">
      <c r="A74" t="s">
        <v>0</v>
      </c>
      <c r="B74" s="1" t="s">
        <v>455</v>
      </c>
      <c r="C74" t="s">
        <v>456</v>
      </c>
      <c r="D74" t="s">
        <v>3</v>
      </c>
      <c r="E74" s="53" t="s">
        <v>457</v>
      </c>
      <c r="F74" t="s">
        <v>458</v>
      </c>
      <c r="G74" t="s">
        <v>459</v>
      </c>
      <c r="H74" t="s">
        <v>460</v>
      </c>
      <c r="I74" t="s">
        <v>21</v>
      </c>
      <c r="J74" t="s">
        <v>461</v>
      </c>
      <c r="K74" s="1" t="s">
        <v>1</v>
      </c>
      <c r="L74" t="s">
        <v>462</v>
      </c>
      <c r="M74" t="s">
        <v>55</v>
      </c>
      <c r="N74" s="104" t="s">
        <v>463</v>
      </c>
      <c r="O74" s="104" t="s">
        <v>464</v>
      </c>
      <c r="Q74" t="s">
        <v>465</v>
      </c>
      <c r="R74" t="s">
        <v>466</v>
      </c>
    </row>
    <row r="75" spans="1:18" x14ac:dyDescent="0.25">
      <c r="A75" t="str">
        <f>TableSTRPSCART[[#This Row],[Study Package Code]]</f>
        <v>EDSC5023</v>
      </c>
      <c r="B75" s="1">
        <f>TableSTRPSCART[[#This Row],[Ver]]</f>
        <v>2</v>
      </c>
      <c r="D75" t="str">
        <f>TableSTRPSCART[[#This Row],[Structure Line]]</f>
        <v>Curriculum and Instruction Lower Secondary: The Arts</v>
      </c>
      <c r="E75" s="53">
        <f>TableSTRPSCART[[#This Row],[Credit Points]]</f>
        <v>25</v>
      </c>
      <c r="F75">
        <v>1</v>
      </c>
      <c r="G75" t="s">
        <v>467</v>
      </c>
      <c r="H75">
        <v>1</v>
      </c>
      <c r="I75" t="s">
        <v>468</v>
      </c>
      <c r="J75" t="s">
        <v>301</v>
      </c>
      <c r="K75" s="1">
        <v>2</v>
      </c>
      <c r="L75" t="s">
        <v>372</v>
      </c>
      <c r="M75">
        <v>25</v>
      </c>
      <c r="N75" s="92">
        <v>44562</v>
      </c>
      <c r="O75" s="92"/>
      <c r="Q75" t="s">
        <v>301</v>
      </c>
      <c r="R75">
        <v>2</v>
      </c>
    </row>
    <row r="76" spans="1:18" x14ac:dyDescent="0.25">
      <c r="A76" t="str">
        <f>TableSTRPSCART[[#This Row],[Study Package Code]]</f>
        <v>EDSC5030</v>
      </c>
      <c r="B76" s="1">
        <f>TableSTRPSCART[[#This Row],[Ver]]</f>
        <v>2</v>
      </c>
      <c r="D76" t="str">
        <f>TableSTRPSCART[[#This Row],[Structure Line]]</f>
        <v>Curriculum and Instruction Senior Secondary: The Arts</v>
      </c>
      <c r="E76" s="53">
        <f>TableSTRPSCART[[#This Row],[Credit Points]]</f>
        <v>25</v>
      </c>
      <c r="F76">
        <v>2</v>
      </c>
      <c r="G76" t="s">
        <v>467</v>
      </c>
      <c r="H76">
        <v>2</v>
      </c>
      <c r="I76" t="s">
        <v>468</v>
      </c>
      <c r="J76" t="s">
        <v>309</v>
      </c>
      <c r="K76" s="1">
        <v>2</v>
      </c>
      <c r="L76" t="s">
        <v>379</v>
      </c>
      <c r="M76">
        <v>25</v>
      </c>
      <c r="N76" s="92">
        <v>43831</v>
      </c>
      <c r="O76" s="92"/>
      <c r="Q76" t="s">
        <v>309</v>
      </c>
      <c r="R76">
        <v>2</v>
      </c>
    </row>
    <row r="77" spans="1:18" x14ac:dyDescent="0.25">
      <c r="B77"/>
      <c r="E77"/>
      <c r="F77" s="50"/>
      <c r="G77" s="51" t="s">
        <v>453</v>
      </c>
      <c r="H77" s="254">
        <v>44562</v>
      </c>
      <c r="J77" s="257" t="s">
        <v>280</v>
      </c>
      <c r="K77" s="255" t="s">
        <v>58</v>
      </c>
      <c r="L77" s="50" t="s">
        <v>446</v>
      </c>
      <c r="N77" t="s">
        <v>454</v>
      </c>
      <c r="O77" s="226">
        <v>45548</v>
      </c>
    </row>
    <row r="78" spans="1:18" x14ac:dyDescent="0.25">
      <c r="A78" t="s">
        <v>0</v>
      </c>
      <c r="B78" s="1" t="s">
        <v>455</v>
      </c>
      <c r="C78" t="s">
        <v>456</v>
      </c>
      <c r="D78" t="s">
        <v>3</v>
      </c>
      <c r="E78" s="53" t="s">
        <v>457</v>
      </c>
      <c r="F78" t="s">
        <v>458</v>
      </c>
      <c r="G78" t="s">
        <v>459</v>
      </c>
      <c r="H78" t="s">
        <v>460</v>
      </c>
      <c r="I78" t="s">
        <v>21</v>
      </c>
      <c r="J78" t="s">
        <v>461</v>
      </c>
      <c r="K78" s="1" t="s">
        <v>1</v>
      </c>
      <c r="L78" t="s">
        <v>462</v>
      </c>
      <c r="M78" t="s">
        <v>55</v>
      </c>
      <c r="N78" s="104" t="s">
        <v>463</v>
      </c>
      <c r="O78" s="104" t="s">
        <v>464</v>
      </c>
      <c r="Q78" t="s">
        <v>465</v>
      </c>
      <c r="R78" t="s">
        <v>466</v>
      </c>
    </row>
    <row r="79" spans="1:18" x14ac:dyDescent="0.25">
      <c r="A79" t="str">
        <f>TableSTRPSCENG[[#This Row],[Study Package Code]]</f>
        <v>EDSC5053</v>
      </c>
      <c r="B79" s="1">
        <f>TableSTRPSCENG[[#This Row],[Ver]]</f>
        <v>1</v>
      </c>
      <c r="D79" t="str">
        <f>TableSTRPSCENG[[#This Row],[Structure Line]]</f>
        <v>Curriculum and Instruction Senior Secondary: English</v>
      </c>
      <c r="E79" s="53">
        <f>TableSTRPSCENG[[#This Row],[Credit Points]]</f>
        <v>25</v>
      </c>
      <c r="F79">
        <v>1</v>
      </c>
      <c r="G79" t="s">
        <v>467</v>
      </c>
      <c r="H79">
        <v>1</v>
      </c>
      <c r="I79" t="s">
        <v>468</v>
      </c>
      <c r="J79" t="s">
        <v>310</v>
      </c>
      <c r="K79" s="1">
        <v>1</v>
      </c>
      <c r="L79" t="s">
        <v>385</v>
      </c>
      <c r="M79">
        <v>25</v>
      </c>
      <c r="N79" s="92">
        <v>43831</v>
      </c>
      <c r="O79" s="92"/>
      <c r="Q79" t="s">
        <v>310</v>
      </c>
      <c r="R79">
        <v>1</v>
      </c>
    </row>
    <row r="80" spans="1:18" x14ac:dyDescent="0.25">
      <c r="A80" t="str">
        <f>TableSTRPSCENG[[#This Row],[Study Package Code]]</f>
        <v>EDSC5024</v>
      </c>
      <c r="B80" s="1">
        <f>TableSTRPSCENG[[#This Row],[Ver]]</f>
        <v>1</v>
      </c>
      <c r="D80" t="str">
        <f>TableSTRPSCENG[[#This Row],[Structure Line]]</f>
        <v>Curriculum and Instruction Lower Secondary: English</v>
      </c>
      <c r="E80" s="53">
        <f>TableSTRPSCENG[[#This Row],[Credit Points]]</f>
        <v>25</v>
      </c>
      <c r="F80">
        <v>2</v>
      </c>
      <c r="G80" t="s">
        <v>467</v>
      </c>
      <c r="H80">
        <v>2</v>
      </c>
      <c r="I80" t="s">
        <v>468</v>
      </c>
      <c r="J80" t="s">
        <v>302</v>
      </c>
      <c r="K80" s="1">
        <v>1</v>
      </c>
      <c r="L80" t="s">
        <v>373</v>
      </c>
      <c r="M80">
        <v>25</v>
      </c>
      <c r="N80" s="92">
        <v>43101</v>
      </c>
      <c r="O80" s="92"/>
      <c r="Q80" t="s">
        <v>302</v>
      </c>
      <c r="R80">
        <v>1</v>
      </c>
    </row>
    <row r="81" spans="1:18" x14ac:dyDescent="0.25">
      <c r="B81"/>
      <c r="E81"/>
      <c r="F81" s="50"/>
      <c r="G81" s="51" t="s">
        <v>453</v>
      </c>
      <c r="H81" s="254">
        <v>44562</v>
      </c>
      <c r="J81" s="257" t="s">
        <v>282</v>
      </c>
      <c r="K81" s="255" t="s">
        <v>58</v>
      </c>
      <c r="L81" s="50" t="s">
        <v>448</v>
      </c>
      <c r="N81" t="s">
        <v>454</v>
      </c>
      <c r="O81" s="226">
        <v>45548</v>
      </c>
    </row>
    <row r="82" spans="1:18" x14ac:dyDescent="0.25">
      <c r="A82" t="s">
        <v>0</v>
      </c>
      <c r="B82" s="1" t="s">
        <v>455</v>
      </c>
      <c r="C82" t="s">
        <v>456</v>
      </c>
      <c r="D82" t="s">
        <v>3</v>
      </c>
      <c r="E82" s="53" t="s">
        <v>457</v>
      </c>
      <c r="F82" t="s">
        <v>458</v>
      </c>
      <c r="G82" t="s">
        <v>459</v>
      </c>
      <c r="H82" t="s">
        <v>460</v>
      </c>
      <c r="I82" t="s">
        <v>21</v>
      </c>
      <c r="J82" t="s">
        <v>461</v>
      </c>
      <c r="K82" s="1" t="s">
        <v>1</v>
      </c>
      <c r="L82" t="s">
        <v>462</v>
      </c>
      <c r="M82" t="s">
        <v>55</v>
      </c>
      <c r="N82" s="104" t="s">
        <v>463</v>
      </c>
      <c r="O82" s="104" t="s">
        <v>464</v>
      </c>
      <c r="Q82" t="s">
        <v>465</v>
      </c>
      <c r="R82" t="s">
        <v>466</v>
      </c>
    </row>
    <row r="83" spans="1:18" x14ac:dyDescent="0.25">
      <c r="A83" t="str">
        <f>TableSTRPSCHLP[[#This Row],[Study Package Code]]</f>
        <v>EDSC5055</v>
      </c>
      <c r="B83" s="1">
        <f>TableSTRPSCHLP[[#This Row],[Ver]]</f>
        <v>1</v>
      </c>
      <c r="D83" t="str">
        <f>TableSTRPSCHLP[[#This Row],[Structure Line]]</f>
        <v>Curriculum and Instruction Lower Secondary: Health and Physical Education</v>
      </c>
      <c r="E83" s="53">
        <f>TableSTRPSCHLP[[#This Row],[Credit Points]]</f>
        <v>25</v>
      </c>
      <c r="F83">
        <v>1</v>
      </c>
      <c r="G83" t="s">
        <v>467</v>
      </c>
      <c r="H83">
        <v>1</v>
      </c>
      <c r="I83" t="s">
        <v>468</v>
      </c>
      <c r="J83" t="s">
        <v>303</v>
      </c>
      <c r="K83" s="1">
        <v>1</v>
      </c>
      <c r="L83" t="s">
        <v>386</v>
      </c>
      <c r="M83">
        <v>25</v>
      </c>
      <c r="N83" s="92">
        <v>43831</v>
      </c>
      <c r="O83" s="92"/>
      <c r="Q83" t="s">
        <v>303</v>
      </c>
      <c r="R83">
        <v>1</v>
      </c>
    </row>
    <row r="84" spans="1:18" x14ac:dyDescent="0.25">
      <c r="A84" t="str">
        <f>TableSTRPSCHLP[[#This Row],[Study Package Code]]</f>
        <v>EDSC5057</v>
      </c>
      <c r="B84" s="1">
        <f>TableSTRPSCHLP[[#This Row],[Ver]]</f>
        <v>1</v>
      </c>
      <c r="D84" t="str">
        <f>TableSTRPSCHLP[[#This Row],[Structure Line]]</f>
        <v>Curriculum and Instruction Senior Secondary: Health and Physical Education</v>
      </c>
      <c r="E84" s="53">
        <f>TableSTRPSCHLP[[#This Row],[Credit Points]]</f>
        <v>25</v>
      </c>
      <c r="F84">
        <v>2</v>
      </c>
      <c r="G84" t="s">
        <v>467</v>
      </c>
      <c r="H84">
        <v>2</v>
      </c>
      <c r="I84" t="s">
        <v>468</v>
      </c>
      <c r="J84" t="s">
        <v>311</v>
      </c>
      <c r="K84" s="1">
        <v>1</v>
      </c>
      <c r="L84" t="s">
        <v>387</v>
      </c>
      <c r="M84">
        <v>25</v>
      </c>
      <c r="N84" s="92">
        <v>43831</v>
      </c>
      <c r="O84" s="92"/>
      <c r="Q84" t="s">
        <v>311</v>
      </c>
      <c r="R84">
        <v>1</v>
      </c>
    </row>
    <row r="85" spans="1:18" x14ac:dyDescent="0.25">
      <c r="B85"/>
      <c r="E85"/>
      <c r="F85" s="50"/>
      <c r="G85" s="51" t="s">
        <v>453</v>
      </c>
      <c r="H85" s="254">
        <v>44562</v>
      </c>
      <c r="J85" s="257" t="s">
        <v>285</v>
      </c>
      <c r="K85" s="255" t="s">
        <v>58</v>
      </c>
      <c r="L85" s="50" t="s">
        <v>449</v>
      </c>
      <c r="N85" t="s">
        <v>454</v>
      </c>
      <c r="O85" s="226">
        <v>45548</v>
      </c>
    </row>
    <row r="86" spans="1:18" x14ac:dyDescent="0.25">
      <c r="A86" t="s">
        <v>0</v>
      </c>
      <c r="B86" s="1" t="s">
        <v>455</v>
      </c>
      <c r="C86" t="s">
        <v>456</v>
      </c>
      <c r="D86" t="s">
        <v>3</v>
      </c>
      <c r="E86" s="53" t="s">
        <v>457</v>
      </c>
      <c r="F86" t="s">
        <v>458</v>
      </c>
      <c r="G86" t="s">
        <v>459</v>
      </c>
      <c r="H86" t="s">
        <v>460</v>
      </c>
      <c r="I86" t="s">
        <v>21</v>
      </c>
      <c r="J86" t="s">
        <v>461</v>
      </c>
      <c r="K86" s="1" t="s">
        <v>1</v>
      </c>
      <c r="L86" t="s">
        <v>462</v>
      </c>
      <c r="M86" t="s">
        <v>55</v>
      </c>
      <c r="N86" s="104" t="s">
        <v>463</v>
      </c>
      <c r="O86" s="104" t="s">
        <v>464</v>
      </c>
      <c r="Q86" t="s">
        <v>465</v>
      </c>
      <c r="R86" t="s">
        <v>466</v>
      </c>
    </row>
    <row r="87" spans="1:18" x14ac:dyDescent="0.25">
      <c r="A87" t="str">
        <f>TableSTRPSCHUS[[#This Row],[Study Package Code]]</f>
        <v>EDSC5025</v>
      </c>
      <c r="B87" s="1">
        <f>TableSTRPSCHUS[[#This Row],[Ver]]</f>
        <v>1</v>
      </c>
      <c r="D87" t="str">
        <f>TableSTRPSCHUS[[#This Row],[Structure Line]]</f>
        <v>Curriculum and Instruction Lower Secondary: Humanities and Social Sciences</v>
      </c>
      <c r="E87" s="53">
        <f>TableSTRPSCHUS[[#This Row],[Credit Points]]</f>
        <v>25</v>
      </c>
      <c r="F87">
        <v>1</v>
      </c>
      <c r="G87" t="s">
        <v>467</v>
      </c>
      <c r="H87">
        <v>1</v>
      </c>
      <c r="I87" t="s">
        <v>468</v>
      </c>
      <c r="J87" t="s">
        <v>304</v>
      </c>
      <c r="K87" s="1">
        <v>1</v>
      </c>
      <c r="L87" t="s">
        <v>374</v>
      </c>
      <c r="M87">
        <v>25</v>
      </c>
      <c r="N87" s="92">
        <v>43101</v>
      </c>
      <c r="O87" s="92"/>
      <c r="Q87" t="s">
        <v>304</v>
      </c>
      <c r="R87">
        <v>1</v>
      </c>
    </row>
    <row r="88" spans="1:18" x14ac:dyDescent="0.25">
      <c r="A88" t="str">
        <f>TableSTRPSCHUS[[#This Row],[Study Package Code]]</f>
        <v>EDSC5032</v>
      </c>
      <c r="B88" s="1">
        <f>TableSTRPSCHUS[[#This Row],[Ver]]</f>
        <v>2</v>
      </c>
      <c r="D88" t="str">
        <f>TableSTRPSCHUS[[#This Row],[Structure Line]]</f>
        <v>Curriculum and Instruction Senior Secondary: Humanities and Social Sciences</v>
      </c>
      <c r="E88" s="53">
        <f>TableSTRPSCHUS[[#This Row],[Credit Points]]</f>
        <v>25</v>
      </c>
      <c r="F88">
        <v>2</v>
      </c>
      <c r="G88" t="s">
        <v>467</v>
      </c>
      <c r="H88">
        <v>2</v>
      </c>
      <c r="I88" t="s">
        <v>468</v>
      </c>
      <c r="J88" t="s">
        <v>312</v>
      </c>
      <c r="K88" s="1">
        <v>2</v>
      </c>
      <c r="L88" t="s">
        <v>381</v>
      </c>
      <c r="M88">
        <v>25</v>
      </c>
      <c r="N88" s="92">
        <v>43831</v>
      </c>
      <c r="O88" s="92"/>
      <c r="Q88" t="s">
        <v>312</v>
      </c>
      <c r="R88">
        <v>2</v>
      </c>
    </row>
    <row r="89" spans="1:18" x14ac:dyDescent="0.25">
      <c r="B89"/>
      <c r="E89"/>
      <c r="F89" s="50"/>
      <c r="G89" s="51" t="s">
        <v>453</v>
      </c>
      <c r="H89" s="254">
        <v>44562</v>
      </c>
      <c r="J89" s="257" t="s">
        <v>287</v>
      </c>
      <c r="K89" s="255" t="s">
        <v>58</v>
      </c>
      <c r="L89" s="50" t="s">
        <v>450</v>
      </c>
      <c r="N89" t="s">
        <v>454</v>
      </c>
      <c r="O89" s="226">
        <v>45548</v>
      </c>
    </row>
    <row r="90" spans="1:18" x14ac:dyDescent="0.25">
      <c r="A90" t="s">
        <v>0</v>
      </c>
      <c r="B90" s="1" t="s">
        <v>455</v>
      </c>
      <c r="C90" t="s">
        <v>456</v>
      </c>
      <c r="D90" t="s">
        <v>3</v>
      </c>
      <c r="E90" s="53" t="s">
        <v>457</v>
      </c>
      <c r="F90" t="s">
        <v>458</v>
      </c>
      <c r="G90" t="s">
        <v>459</v>
      </c>
      <c r="H90" t="s">
        <v>460</v>
      </c>
      <c r="I90" t="s">
        <v>21</v>
      </c>
      <c r="J90" t="s">
        <v>461</v>
      </c>
      <c r="K90" s="1" t="s">
        <v>1</v>
      </c>
      <c r="L90" t="s">
        <v>462</v>
      </c>
      <c r="M90" t="s">
        <v>55</v>
      </c>
      <c r="N90" s="104" t="s">
        <v>463</v>
      </c>
      <c r="O90" s="104" t="s">
        <v>464</v>
      </c>
      <c r="Q90" t="s">
        <v>465</v>
      </c>
      <c r="R90" t="s">
        <v>466</v>
      </c>
    </row>
    <row r="91" spans="1:18" x14ac:dyDescent="0.25">
      <c r="A91" t="str">
        <f>TableSTRPSCMAT[[#This Row],[Study Package Code]]</f>
        <v>EDSC5026</v>
      </c>
      <c r="B91" s="1">
        <f>TableSTRPSCMAT[[#This Row],[Ver]]</f>
        <v>1</v>
      </c>
      <c r="D91" t="str">
        <f>TableSTRPSCMAT[[#This Row],[Structure Line]]</f>
        <v>Curriculum and Instruction Lower Secondary: Mathematics</v>
      </c>
      <c r="E91" s="53">
        <f>TableSTRPSCMAT[[#This Row],[Credit Points]]</f>
        <v>25</v>
      </c>
      <c r="F91">
        <v>1</v>
      </c>
      <c r="G91" t="s">
        <v>467</v>
      </c>
      <c r="H91">
        <v>1</v>
      </c>
      <c r="I91" t="s">
        <v>468</v>
      </c>
      <c r="J91" t="s">
        <v>305</v>
      </c>
      <c r="K91" s="1">
        <v>1</v>
      </c>
      <c r="L91" t="s">
        <v>375</v>
      </c>
      <c r="M91">
        <v>25</v>
      </c>
      <c r="N91" s="92">
        <v>43101</v>
      </c>
      <c r="O91" s="92"/>
      <c r="Q91" t="s">
        <v>305</v>
      </c>
      <c r="R91">
        <v>1</v>
      </c>
    </row>
    <row r="92" spans="1:18" x14ac:dyDescent="0.25">
      <c r="A92" t="str">
        <f>TableSTRPSCMAT[[#This Row],[Study Package Code]]</f>
        <v>EDSC5033</v>
      </c>
      <c r="B92" s="1">
        <f>TableSTRPSCMAT[[#This Row],[Ver]]</f>
        <v>2</v>
      </c>
      <c r="D92" t="str">
        <f>TableSTRPSCMAT[[#This Row],[Structure Line]]</f>
        <v>Curriculum and Instruction Senior Secondary: Mathematics</v>
      </c>
      <c r="E92" s="53">
        <f>TableSTRPSCMAT[[#This Row],[Credit Points]]</f>
        <v>25</v>
      </c>
      <c r="F92">
        <v>2</v>
      </c>
      <c r="G92" t="s">
        <v>467</v>
      </c>
      <c r="H92">
        <v>2</v>
      </c>
      <c r="I92" t="s">
        <v>468</v>
      </c>
      <c r="J92" t="s">
        <v>313</v>
      </c>
      <c r="K92" s="1">
        <v>2</v>
      </c>
      <c r="L92" t="s">
        <v>382</v>
      </c>
      <c r="M92">
        <v>25</v>
      </c>
      <c r="N92" s="92">
        <v>43831</v>
      </c>
      <c r="O92" s="92"/>
      <c r="Q92" t="s">
        <v>313</v>
      </c>
      <c r="R92">
        <v>2</v>
      </c>
    </row>
    <row r="93" spans="1:18" x14ac:dyDescent="0.25">
      <c r="B93"/>
      <c r="E93"/>
      <c r="F93" s="50"/>
      <c r="G93" s="51" t="s">
        <v>453</v>
      </c>
      <c r="H93" s="254">
        <v>44562</v>
      </c>
      <c r="J93" s="257" t="s">
        <v>290</v>
      </c>
      <c r="K93" s="255" t="s">
        <v>58</v>
      </c>
      <c r="L93" s="50" t="s">
        <v>451</v>
      </c>
      <c r="N93" t="s">
        <v>454</v>
      </c>
      <c r="O93" s="226">
        <v>45548</v>
      </c>
    </row>
    <row r="94" spans="1:18" x14ac:dyDescent="0.25">
      <c r="A94" t="s">
        <v>0</v>
      </c>
      <c r="B94" s="1" t="s">
        <v>455</v>
      </c>
      <c r="C94" t="s">
        <v>456</v>
      </c>
      <c r="D94" t="s">
        <v>3</v>
      </c>
      <c r="E94" s="53" t="s">
        <v>457</v>
      </c>
      <c r="F94" t="s">
        <v>458</v>
      </c>
      <c r="G94" t="s">
        <v>459</v>
      </c>
      <c r="H94" t="s">
        <v>460</v>
      </c>
      <c r="I94" t="s">
        <v>21</v>
      </c>
      <c r="J94" t="s">
        <v>461</v>
      </c>
      <c r="K94" s="1" t="s">
        <v>1</v>
      </c>
      <c r="L94" t="s">
        <v>462</v>
      </c>
      <c r="M94" t="s">
        <v>55</v>
      </c>
      <c r="N94" s="104" t="s">
        <v>463</v>
      </c>
      <c r="O94" s="104" t="s">
        <v>464</v>
      </c>
      <c r="Q94" t="s">
        <v>465</v>
      </c>
      <c r="R94" t="s">
        <v>466</v>
      </c>
    </row>
    <row r="95" spans="1:18" x14ac:dyDescent="0.25">
      <c r="A95" t="str">
        <f>TableSTRPSCSCI[[#This Row],[Study Package Code]]</f>
        <v>EDSC5027</v>
      </c>
      <c r="B95" s="1">
        <f>TableSTRPSCSCI[[#This Row],[Ver]]</f>
        <v>1</v>
      </c>
      <c r="D95" t="str">
        <f>TableSTRPSCSCI[[#This Row],[Structure Line]]</f>
        <v>Curriculum and Instruction Lower Secondary: Science</v>
      </c>
      <c r="E95" s="53">
        <f>TableSTRPSCSCI[[#This Row],[Credit Points]]</f>
        <v>25</v>
      </c>
      <c r="F95">
        <v>1</v>
      </c>
      <c r="G95" t="s">
        <v>467</v>
      </c>
      <c r="H95">
        <v>1</v>
      </c>
      <c r="I95" t="s">
        <v>468</v>
      </c>
      <c r="J95" t="s">
        <v>306</v>
      </c>
      <c r="K95" s="1">
        <v>1</v>
      </c>
      <c r="L95" t="s">
        <v>376</v>
      </c>
      <c r="M95">
        <v>25</v>
      </c>
      <c r="N95" s="92">
        <v>43101</v>
      </c>
      <c r="O95" s="92"/>
      <c r="Q95" t="s">
        <v>306</v>
      </c>
      <c r="R95">
        <v>1</v>
      </c>
    </row>
    <row r="96" spans="1:18" x14ac:dyDescent="0.25">
      <c r="A96" t="str">
        <f>TableSTRPSCSCI[[#This Row],[Study Package Code]]</f>
        <v>EDSC5034</v>
      </c>
      <c r="B96" s="1">
        <f>TableSTRPSCSCI[[#This Row],[Ver]]</f>
        <v>2</v>
      </c>
      <c r="D96" t="str">
        <f>TableSTRPSCSCI[[#This Row],[Structure Line]]</f>
        <v>Curriculum and Instruction Senior Secondary: Science</v>
      </c>
      <c r="E96" s="53">
        <f>TableSTRPSCSCI[[#This Row],[Credit Points]]</f>
        <v>25</v>
      </c>
      <c r="F96">
        <v>2</v>
      </c>
      <c r="G96" t="s">
        <v>467</v>
      </c>
      <c r="H96">
        <v>2</v>
      </c>
      <c r="I96" t="s">
        <v>468</v>
      </c>
      <c r="J96" t="s">
        <v>314</v>
      </c>
      <c r="K96" s="1">
        <v>2</v>
      </c>
      <c r="L96" t="s">
        <v>383</v>
      </c>
      <c r="M96">
        <v>25</v>
      </c>
      <c r="N96" s="92">
        <v>43831</v>
      </c>
      <c r="O96" s="92"/>
      <c r="Q96" t="s">
        <v>314</v>
      </c>
      <c r="R96">
        <v>2</v>
      </c>
    </row>
    <row r="97" spans="1:18" x14ac:dyDescent="0.25">
      <c r="B97"/>
      <c r="E97"/>
      <c r="F97" s="50"/>
      <c r="G97" s="51" t="s">
        <v>453</v>
      </c>
      <c r="H97" s="254">
        <v>44562</v>
      </c>
      <c r="J97" s="257" t="s">
        <v>277</v>
      </c>
      <c r="K97" s="255" t="s">
        <v>58</v>
      </c>
      <c r="L97" s="50" t="s">
        <v>447</v>
      </c>
      <c r="N97" t="s">
        <v>454</v>
      </c>
      <c r="O97" s="226">
        <v>45548</v>
      </c>
    </row>
    <row r="98" spans="1:18" x14ac:dyDescent="0.25">
      <c r="A98" t="s">
        <v>0</v>
      </c>
      <c r="B98" s="1" t="s">
        <v>455</v>
      </c>
      <c r="C98" t="s">
        <v>456</v>
      </c>
      <c r="D98" t="s">
        <v>3</v>
      </c>
      <c r="E98" s="53" t="s">
        <v>457</v>
      </c>
      <c r="F98" t="s">
        <v>458</v>
      </c>
      <c r="G98" t="s">
        <v>459</v>
      </c>
      <c r="H98" t="s">
        <v>460</v>
      </c>
      <c r="I98" t="s">
        <v>21</v>
      </c>
      <c r="J98" t="s">
        <v>461</v>
      </c>
      <c r="K98" s="1" t="s">
        <v>1</v>
      </c>
      <c r="L98" t="s">
        <v>462</v>
      </c>
      <c r="M98" t="s">
        <v>55</v>
      </c>
      <c r="N98" s="104" t="s">
        <v>463</v>
      </c>
      <c r="O98" s="104" t="s">
        <v>464</v>
      </c>
      <c r="Q98" t="s">
        <v>465</v>
      </c>
      <c r="R98" t="s">
        <v>466</v>
      </c>
    </row>
    <row r="99" spans="1:18" x14ac:dyDescent="0.25">
      <c r="A99" t="str">
        <f>TableSTRPSCFON[[#This Row],[Study Package Code]]</f>
        <v>EDUC5033</v>
      </c>
      <c r="B99" s="1">
        <f>TableSTRPSCFON[[#This Row],[Ver]]</f>
        <v>1</v>
      </c>
      <c r="D99" t="str">
        <f>TableSTRPSCFON[[#This Row],[Structure Line]]</f>
        <v>Mentoring, Coaching and Tutoring</v>
      </c>
      <c r="E99" s="53">
        <f>TableSTRPSCFON[[#This Row],[Credit Points]]</f>
        <v>25</v>
      </c>
      <c r="F99">
        <v>1</v>
      </c>
      <c r="G99" t="s">
        <v>467</v>
      </c>
      <c r="H99">
        <v>1</v>
      </c>
      <c r="I99" t="s">
        <v>468</v>
      </c>
      <c r="J99" t="s">
        <v>182</v>
      </c>
      <c r="K99" s="1">
        <v>1</v>
      </c>
      <c r="L99" t="s">
        <v>399</v>
      </c>
      <c r="M99">
        <v>25</v>
      </c>
      <c r="N99" s="92">
        <v>44562</v>
      </c>
      <c r="O99" s="92"/>
      <c r="Q99" t="s">
        <v>182</v>
      </c>
      <c r="R99">
        <v>1</v>
      </c>
    </row>
    <row r="100" spans="1:18" x14ac:dyDescent="0.25">
      <c r="A100" t="str">
        <f>TableSTRPSCFON[[#This Row],[Study Package Code]]</f>
        <v>EDSC5059</v>
      </c>
      <c r="B100" s="1">
        <f>TableSTRPSCFON[[#This Row],[Ver]]</f>
        <v>1</v>
      </c>
      <c r="D100" t="str">
        <f>TableSTRPSCFON[[#This Row],[Structure Line]]</f>
        <v>Integrated Practice in the Secondary School</v>
      </c>
      <c r="E100" s="53">
        <f>TableSTRPSCFON[[#This Row],[Credit Points]]</f>
        <v>25</v>
      </c>
      <c r="F100">
        <v>2</v>
      </c>
      <c r="G100" t="s">
        <v>467</v>
      </c>
      <c r="H100">
        <v>2</v>
      </c>
      <c r="I100" t="s">
        <v>468</v>
      </c>
      <c r="J100" t="s">
        <v>320</v>
      </c>
      <c r="K100" s="1">
        <v>1</v>
      </c>
      <c r="L100" t="s">
        <v>388</v>
      </c>
      <c r="M100">
        <v>25</v>
      </c>
      <c r="N100" s="92">
        <v>44562</v>
      </c>
      <c r="O100" s="92"/>
      <c r="Q100" t="s">
        <v>320</v>
      </c>
      <c r="R100">
        <v>1</v>
      </c>
    </row>
    <row r="101" spans="1:18" x14ac:dyDescent="0.25">
      <c r="B101"/>
      <c r="E101"/>
    </row>
    <row r="102" spans="1:18" x14ac:dyDescent="0.25">
      <c r="B102"/>
      <c r="E102"/>
      <c r="F102" s="50"/>
      <c r="G102" s="51" t="s">
        <v>453</v>
      </c>
      <c r="H102" s="254">
        <v>43831</v>
      </c>
      <c r="J102" s="257" t="s">
        <v>110</v>
      </c>
      <c r="K102" s="255" t="s">
        <v>82</v>
      </c>
      <c r="L102" s="50" t="s">
        <v>109</v>
      </c>
      <c r="N102" t="s">
        <v>454</v>
      </c>
      <c r="O102" s="226">
        <v>45548</v>
      </c>
    </row>
    <row r="103" spans="1:18" x14ac:dyDescent="0.25">
      <c r="A103" t="s">
        <v>0</v>
      </c>
      <c r="B103" s="1" t="s">
        <v>455</v>
      </c>
      <c r="C103" t="s">
        <v>456</v>
      </c>
      <c r="D103" t="s">
        <v>3</v>
      </c>
      <c r="E103" s="53" t="s">
        <v>457</v>
      </c>
      <c r="F103" t="s">
        <v>458</v>
      </c>
      <c r="G103" t="s">
        <v>459</v>
      </c>
      <c r="H103" t="s">
        <v>460</v>
      </c>
      <c r="I103" t="s">
        <v>21</v>
      </c>
      <c r="J103" t="s">
        <v>461</v>
      </c>
      <c r="K103" s="1" t="s">
        <v>1</v>
      </c>
      <c r="L103" t="s">
        <v>462</v>
      </c>
      <c r="M103" t="s">
        <v>55</v>
      </c>
      <c r="N103" s="104" t="s">
        <v>463</v>
      </c>
      <c r="O103" s="104" t="s">
        <v>464</v>
      </c>
      <c r="Q103" t="s">
        <v>465</v>
      </c>
      <c r="R103" t="s">
        <v>466</v>
      </c>
    </row>
    <row r="104" spans="1:18" x14ac:dyDescent="0.25">
      <c r="A104" t="str">
        <f>TableMCTESOL[[#This Row],[Study Package Code]]</f>
        <v>EDUC5006</v>
      </c>
      <c r="B104" s="1">
        <f>TableMCTESOL[[#This Row],[Ver]]</f>
        <v>1</v>
      </c>
      <c r="D104" t="str">
        <f>TableMCTESOL[[#This Row],[Structure Line]]</f>
        <v>Creative Technologies</v>
      </c>
      <c r="E104" s="53">
        <f>TableMCTESOL[[#This Row],[Credit Points]]</f>
        <v>25</v>
      </c>
      <c r="F104">
        <v>1</v>
      </c>
      <c r="G104" t="s">
        <v>467</v>
      </c>
      <c r="H104">
        <v>1</v>
      </c>
      <c r="I104" t="s">
        <v>468</v>
      </c>
      <c r="J104" t="s">
        <v>97</v>
      </c>
      <c r="K104" s="1">
        <v>1</v>
      </c>
      <c r="L104" t="s">
        <v>391</v>
      </c>
      <c r="M104">
        <v>25</v>
      </c>
      <c r="N104" s="92">
        <v>43101</v>
      </c>
      <c r="O104" s="92"/>
      <c r="Q104" t="s">
        <v>97</v>
      </c>
      <c r="R104">
        <v>1</v>
      </c>
    </row>
    <row r="105" spans="1:18" x14ac:dyDescent="0.25">
      <c r="A105" t="str">
        <f>TableMCTESOL[[#This Row],[Study Package Code]]</f>
        <v>EDUC5019</v>
      </c>
      <c r="B105" s="1">
        <f>TableMCTESOL[[#This Row],[Ver]]</f>
        <v>1</v>
      </c>
      <c r="D105" t="str">
        <f>TableMCTESOL[[#This Row],[Structure Line]]</f>
        <v>Introduction to Language</v>
      </c>
      <c r="E105" s="53">
        <f>TableMCTESOL[[#This Row],[Credit Points]]</f>
        <v>25</v>
      </c>
      <c r="F105">
        <v>2</v>
      </c>
      <c r="G105" t="s">
        <v>467</v>
      </c>
      <c r="H105">
        <v>1</v>
      </c>
      <c r="I105" t="s">
        <v>468</v>
      </c>
      <c r="J105" t="s">
        <v>172</v>
      </c>
      <c r="K105" s="1">
        <v>1</v>
      </c>
      <c r="L105" t="s">
        <v>394</v>
      </c>
      <c r="M105">
        <v>25</v>
      </c>
      <c r="N105" s="92">
        <v>42736</v>
      </c>
      <c r="O105" s="92"/>
      <c r="Q105" t="s">
        <v>172</v>
      </c>
      <c r="R105">
        <v>1</v>
      </c>
    </row>
    <row r="106" spans="1:18" x14ac:dyDescent="0.25">
      <c r="A106" t="str">
        <f>TableMCTESOL[[#This Row],[Study Package Code]]</f>
        <v>EDSC5022</v>
      </c>
      <c r="B106" s="1">
        <f>TableMCTESOL[[#This Row],[Ver]]</f>
        <v>1</v>
      </c>
      <c r="D106" t="str">
        <f>TableMCTESOL[[#This Row],[Structure Line]]</f>
        <v>Managing the Learning Environment</v>
      </c>
      <c r="E106" s="53">
        <f>TableMCTESOL[[#This Row],[Credit Points]]</f>
        <v>25</v>
      </c>
      <c r="F106">
        <v>3</v>
      </c>
      <c r="G106" t="s">
        <v>467</v>
      </c>
      <c r="H106">
        <v>1</v>
      </c>
      <c r="I106" t="s">
        <v>468</v>
      </c>
      <c r="J106" t="s">
        <v>185</v>
      </c>
      <c r="K106" s="1">
        <v>1</v>
      </c>
      <c r="L106" t="s">
        <v>371</v>
      </c>
      <c r="M106">
        <v>25</v>
      </c>
      <c r="N106" s="92">
        <v>43101</v>
      </c>
      <c r="O106" s="92"/>
      <c r="Q106" t="s">
        <v>185</v>
      </c>
      <c r="R106">
        <v>1</v>
      </c>
    </row>
    <row r="107" spans="1:18" x14ac:dyDescent="0.25">
      <c r="A107" t="str">
        <f>TableMCTESOL[[#This Row],[Study Package Code]]</f>
        <v>EDUC5021</v>
      </c>
      <c r="B107" s="1">
        <f>TableMCTESOL[[#This Row],[Ver]]</f>
        <v>1</v>
      </c>
      <c r="D107" t="str">
        <f>TableMCTESOL[[#This Row],[Structure Line]]</f>
        <v>Materials Design and Assessment</v>
      </c>
      <c r="E107" s="53">
        <f>TableMCTESOL[[#This Row],[Credit Points]]</f>
        <v>25</v>
      </c>
      <c r="F107">
        <v>4</v>
      </c>
      <c r="G107" t="s">
        <v>467</v>
      </c>
      <c r="H107">
        <v>1</v>
      </c>
      <c r="I107" t="s">
        <v>468</v>
      </c>
      <c r="J107" t="s">
        <v>160</v>
      </c>
      <c r="K107" s="1">
        <v>1</v>
      </c>
      <c r="L107" t="s">
        <v>395</v>
      </c>
      <c r="M107">
        <v>25</v>
      </c>
      <c r="N107" s="92">
        <v>42736</v>
      </c>
      <c r="O107" s="92"/>
      <c r="Q107" t="s">
        <v>160</v>
      </c>
      <c r="R107">
        <v>1</v>
      </c>
    </row>
    <row r="108" spans="1:18" x14ac:dyDescent="0.25">
      <c r="A108" t="str">
        <f>TableMCTESOL[[#This Row],[Study Package Code]]</f>
        <v>EDUC5033</v>
      </c>
      <c r="B108" s="1">
        <f>TableMCTESOL[[#This Row],[Ver]]</f>
        <v>1</v>
      </c>
      <c r="D108" t="str">
        <f>TableMCTESOL[[#This Row],[Structure Line]]</f>
        <v>Mentoring, Coaching and Tutoring</v>
      </c>
      <c r="E108" s="53">
        <f>TableMCTESOL[[#This Row],[Credit Points]]</f>
        <v>25</v>
      </c>
      <c r="F108">
        <v>5</v>
      </c>
      <c r="G108" t="s">
        <v>467</v>
      </c>
      <c r="H108">
        <v>1</v>
      </c>
      <c r="I108" t="s">
        <v>468</v>
      </c>
      <c r="J108" t="s">
        <v>182</v>
      </c>
      <c r="K108" s="1">
        <v>1</v>
      </c>
      <c r="L108" t="s">
        <v>399</v>
      </c>
      <c r="M108">
        <v>25</v>
      </c>
      <c r="N108" s="92">
        <v>44562</v>
      </c>
      <c r="O108" s="92"/>
      <c r="Q108" t="s">
        <v>182</v>
      </c>
      <c r="R108">
        <v>1</v>
      </c>
    </row>
    <row r="109" spans="1:18" x14ac:dyDescent="0.25">
      <c r="A109" t="str">
        <f>TableMCTESOL[[#This Row],[Study Package Code]]</f>
        <v>EDUC5023</v>
      </c>
      <c r="B109" s="1">
        <f>TableMCTESOL[[#This Row],[Ver]]</f>
        <v>1</v>
      </c>
      <c r="D109" t="str">
        <f>TableMCTESOL[[#This Row],[Structure Line]]</f>
        <v>Teaching English to Speakers of Other Languages Methodologies</v>
      </c>
      <c r="E109" s="53">
        <f>TableMCTESOL[[#This Row],[Credit Points]]</f>
        <v>25</v>
      </c>
      <c r="F109">
        <v>6</v>
      </c>
      <c r="G109" t="s">
        <v>467</v>
      </c>
      <c r="H109">
        <v>1</v>
      </c>
      <c r="I109" t="s">
        <v>468</v>
      </c>
      <c r="J109" t="s">
        <v>165</v>
      </c>
      <c r="K109" s="1">
        <v>1</v>
      </c>
      <c r="L109" t="s">
        <v>396</v>
      </c>
      <c r="M109">
        <v>25</v>
      </c>
      <c r="N109" s="92">
        <v>42736</v>
      </c>
      <c r="O109" s="92"/>
      <c r="Q109" t="s">
        <v>165</v>
      </c>
      <c r="R109">
        <v>1</v>
      </c>
    </row>
    <row r="110" spans="1:18" x14ac:dyDescent="0.25">
      <c r="A110" t="str">
        <f>TableMCTESOL[[#This Row],[Study Package Code]]</f>
        <v>EDUC5005</v>
      </c>
      <c r="B110" s="1">
        <f>TableMCTESOL[[#This Row],[Ver]]</f>
        <v>2</v>
      </c>
      <c r="D110" t="str">
        <f>TableMCTESOL[[#This Row],[Structure Line]]</f>
        <v>Theories of Development and Learning</v>
      </c>
      <c r="E110" s="53">
        <f>TableMCTESOL[[#This Row],[Credit Points]]</f>
        <v>25</v>
      </c>
      <c r="F110">
        <v>7</v>
      </c>
      <c r="G110" t="s">
        <v>467</v>
      </c>
      <c r="H110">
        <v>1</v>
      </c>
      <c r="I110" t="s">
        <v>468</v>
      </c>
      <c r="J110" t="s">
        <v>74</v>
      </c>
      <c r="K110" s="1">
        <v>2</v>
      </c>
      <c r="L110" t="s">
        <v>390</v>
      </c>
      <c r="M110">
        <v>25</v>
      </c>
      <c r="N110" s="92">
        <v>44197</v>
      </c>
      <c r="O110" s="92"/>
      <c r="Q110" t="s">
        <v>74</v>
      </c>
      <c r="R110">
        <v>2</v>
      </c>
    </row>
    <row r="111" spans="1:18" x14ac:dyDescent="0.25">
      <c r="A111" t="str">
        <f>TableMCTESOL[[#This Row],[Study Package Code]]</f>
        <v>EDUC5025</v>
      </c>
      <c r="B111" s="1">
        <f>TableMCTESOL[[#This Row],[Ver]]</f>
        <v>1</v>
      </c>
      <c r="D111" t="str">
        <f>TableMCTESOL[[#This Row],[Structure Line]]</f>
        <v>Transcultural Communication</v>
      </c>
      <c r="E111" s="53">
        <f>TableMCTESOL[[#This Row],[Credit Points]]</f>
        <v>25</v>
      </c>
      <c r="F111">
        <v>8</v>
      </c>
      <c r="G111" t="s">
        <v>467</v>
      </c>
      <c r="H111">
        <v>1</v>
      </c>
      <c r="I111" t="s">
        <v>468</v>
      </c>
      <c r="J111" t="s">
        <v>179</v>
      </c>
      <c r="K111" s="1">
        <v>1</v>
      </c>
      <c r="L111" t="s">
        <v>397</v>
      </c>
      <c r="M111">
        <v>25</v>
      </c>
      <c r="N111" s="92">
        <v>42736</v>
      </c>
      <c r="O111" s="92"/>
      <c r="Q111" t="s">
        <v>179</v>
      </c>
      <c r="R111">
        <v>1</v>
      </c>
    </row>
    <row r="112" spans="1:18" x14ac:dyDescent="0.25">
      <c r="A112" t="str">
        <f>TableMCTESOL[[#This Row],[Study Package Code]]</f>
        <v>LING6000</v>
      </c>
      <c r="B112" s="1">
        <f>TableMCTESOL[[#This Row],[Ver]]</f>
        <v>2</v>
      </c>
      <c r="D112" t="str">
        <f>TableMCTESOL[[#This Row],[Structure Line]]</f>
        <v>Language Acquisition</v>
      </c>
      <c r="E112" s="53">
        <f>TableMCTESOL[[#This Row],[Credit Points]]</f>
        <v>25</v>
      </c>
      <c r="F112">
        <v>9</v>
      </c>
      <c r="G112" t="s">
        <v>467</v>
      </c>
      <c r="H112">
        <v>2</v>
      </c>
      <c r="I112" t="s">
        <v>468</v>
      </c>
      <c r="J112" t="s">
        <v>432</v>
      </c>
      <c r="K112" s="1">
        <v>2</v>
      </c>
      <c r="L112" t="s">
        <v>433</v>
      </c>
      <c r="M112">
        <v>25</v>
      </c>
      <c r="N112" s="92">
        <v>42736</v>
      </c>
      <c r="O112" s="92"/>
      <c r="Q112" t="s">
        <v>432</v>
      </c>
      <c r="R112">
        <v>2</v>
      </c>
    </row>
    <row r="113" spans="1:18" x14ac:dyDescent="0.25">
      <c r="A113" t="str">
        <f>TableMCTESOL[[#This Row],[Study Package Code]]</f>
        <v>LING6001</v>
      </c>
      <c r="B113" s="1">
        <f>TableMCTESOL[[#This Row],[Ver]]</f>
        <v>2</v>
      </c>
      <c r="D113" t="str">
        <f>TableMCTESOL[[#This Row],[Structure Line]]</f>
        <v>Language in Society</v>
      </c>
      <c r="E113" s="53">
        <f>TableMCTESOL[[#This Row],[Credit Points]]</f>
        <v>25</v>
      </c>
      <c r="F113">
        <v>10</v>
      </c>
      <c r="G113" t="s">
        <v>467</v>
      </c>
      <c r="H113">
        <v>2</v>
      </c>
      <c r="I113" t="s">
        <v>468</v>
      </c>
      <c r="J113" t="s">
        <v>184</v>
      </c>
      <c r="K113" s="1">
        <v>2</v>
      </c>
      <c r="L113" t="s">
        <v>434</v>
      </c>
      <c r="M113">
        <v>25</v>
      </c>
      <c r="N113" s="92">
        <v>42736</v>
      </c>
      <c r="O113" s="92"/>
      <c r="Q113" t="s">
        <v>184</v>
      </c>
      <c r="R113">
        <v>2</v>
      </c>
    </row>
    <row r="114" spans="1:18" x14ac:dyDescent="0.25">
      <c r="A114" t="str">
        <f>TableMCTESOL[[#This Row],[Study Package Code]]</f>
        <v>EDUC6027</v>
      </c>
      <c r="B114" s="1">
        <f>TableMCTESOL[[#This Row],[Ver]]</f>
        <v>1</v>
      </c>
      <c r="D114" t="str">
        <f>TableMCTESOL[[#This Row],[Structure Line]]</f>
        <v>Language Teaching Course Design and Assessment</v>
      </c>
      <c r="E114" s="53">
        <f>TableMCTESOL[[#This Row],[Credit Points]]</f>
        <v>25</v>
      </c>
      <c r="F114">
        <v>11</v>
      </c>
      <c r="G114" t="s">
        <v>467</v>
      </c>
      <c r="H114">
        <v>2</v>
      </c>
      <c r="I114" t="s">
        <v>468</v>
      </c>
      <c r="J114" t="s">
        <v>181</v>
      </c>
      <c r="K114" s="1">
        <v>1</v>
      </c>
      <c r="L114" t="s">
        <v>404</v>
      </c>
      <c r="M114">
        <v>25</v>
      </c>
      <c r="N114" s="92">
        <v>42736</v>
      </c>
      <c r="O114" s="92"/>
      <c r="Q114" t="s">
        <v>181</v>
      </c>
      <c r="R114">
        <v>1</v>
      </c>
    </row>
    <row r="115" spans="1:18" x14ac:dyDescent="0.25">
      <c r="A115" t="str">
        <f>TableMCTESOL[[#This Row],[Study Package Code]]</f>
        <v>EDUC6025</v>
      </c>
      <c r="B115" s="1">
        <f>TableMCTESOL[[#This Row],[Ver]]</f>
        <v>2</v>
      </c>
      <c r="D115" t="str">
        <f>TableMCTESOL[[#This Row],[Structure Line]]</f>
        <v>Language Teaching Methodologies</v>
      </c>
      <c r="E115" s="53">
        <f>TableMCTESOL[[#This Row],[Credit Points]]</f>
        <v>25</v>
      </c>
      <c r="F115">
        <v>12</v>
      </c>
      <c r="G115" t="s">
        <v>467</v>
      </c>
      <c r="H115">
        <v>2</v>
      </c>
      <c r="I115" t="s">
        <v>468</v>
      </c>
      <c r="J115" t="s">
        <v>167</v>
      </c>
      <c r="K115" s="1">
        <v>2</v>
      </c>
      <c r="L115" t="s">
        <v>403</v>
      </c>
      <c r="M115">
        <v>25</v>
      </c>
      <c r="N115" s="92">
        <v>44562</v>
      </c>
      <c r="O115" s="92"/>
      <c r="Q115" t="s">
        <v>167</v>
      </c>
      <c r="R115">
        <v>2</v>
      </c>
    </row>
    <row r="116" spans="1:18" x14ac:dyDescent="0.25">
      <c r="A116" t="str">
        <f>TableMCTESOL[[#This Row],[Study Package Code]]</f>
        <v>EDUC6041</v>
      </c>
      <c r="B116" s="1">
        <f>TableMCTESOL[[#This Row],[Ver]]</f>
        <v>1</v>
      </c>
      <c r="D116" t="str">
        <f>TableMCTESOL[[#This Row],[Structure Line]]</f>
        <v>Research Methods in Applied Linguistics</v>
      </c>
      <c r="E116" s="53">
        <f>TableMCTESOL[[#This Row],[Credit Points]]</f>
        <v>25</v>
      </c>
      <c r="F116">
        <v>13</v>
      </c>
      <c r="G116" t="s">
        <v>467</v>
      </c>
      <c r="H116">
        <v>2</v>
      </c>
      <c r="I116" t="s">
        <v>468</v>
      </c>
      <c r="J116" t="s">
        <v>162</v>
      </c>
      <c r="K116" s="1">
        <v>1</v>
      </c>
      <c r="L116" t="s">
        <v>406</v>
      </c>
      <c r="M116">
        <v>25</v>
      </c>
      <c r="N116" s="92">
        <v>42736</v>
      </c>
      <c r="O116" s="92"/>
      <c r="Q116" t="s">
        <v>187</v>
      </c>
      <c r="R116">
        <v>2</v>
      </c>
    </row>
    <row r="117" spans="1:18" x14ac:dyDescent="0.25">
      <c r="A117" t="str">
        <f>TableMCTESOL[[#This Row],[Study Package Code]]</f>
        <v>EDUC6040</v>
      </c>
      <c r="B117" s="1">
        <f>TableMCTESOL[[#This Row],[Ver]]</f>
        <v>1</v>
      </c>
      <c r="D117" t="str">
        <f>TableMCTESOL[[#This Row],[Structure Line]]</f>
        <v>Special Topics in Applied Linguistics</v>
      </c>
      <c r="E117" s="53">
        <f>TableMCTESOL[[#This Row],[Credit Points]]</f>
        <v>25</v>
      </c>
      <c r="F117">
        <v>14</v>
      </c>
      <c r="G117" t="s">
        <v>467</v>
      </c>
      <c r="H117">
        <v>2</v>
      </c>
      <c r="I117" t="s">
        <v>468</v>
      </c>
      <c r="J117" t="s">
        <v>173</v>
      </c>
      <c r="K117" s="1">
        <v>1</v>
      </c>
      <c r="L117" t="s">
        <v>405</v>
      </c>
      <c r="M117">
        <v>25</v>
      </c>
      <c r="N117" s="92">
        <v>42736</v>
      </c>
      <c r="O117" s="92"/>
      <c r="Q117" t="s">
        <v>162</v>
      </c>
      <c r="R117">
        <v>1</v>
      </c>
    </row>
    <row r="118" spans="1:18" x14ac:dyDescent="0.25">
      <c r="A118" t="str">
        <f>TableMCTESOL[[#This Row],[Study Package Code]]</f>
        <v>EDUC6015</v>
      </c>
      <c r="B118" s="1">
        <f>TableMCTESOL[[#This Row],[Ver]]</f>
        <v>2</v>
      </c>
      <c r="D118" t="str">
        <f>TableMCTESOL[[#This Row],[Structure Line]]</f>
        <v>Negotiated Capstone Project</v>
      </c>
      <c r="E118" s="53">
        <f>TableMCTESOL[[#This Row],[Credit Points]]</f>
        <v>50</v>
      </c>
      <c r="F118">
        <v>15</v>
      </c>
      <c r="G118" t="s">
        <v>467</v>
      </c>
      <c r="H118">
        <v>2</v>
      </c>
      <c r="I118" t="s">
        <v>468</v>
      </c>
      <c r="J118" t="s">
        <v>187</v>
      </c>
      <c r="K118" s="1">
        <v>2</v>
      </c>
      <c r="L118" t="s">
        <v>401</v>
      </c>
      <c r="M118">
        <v>50</v>
      </c>
      <c r="N118" s="92">
        <v>44562</v>
      </c>
      <c r="O118" s="92"/>
      <c r="Q118" t="s">
        <v>173</v>
      </c>
      <c r="R118">
        <v>1</v>
      </c>
    </row>
    <row r="119" spans="1:18" x14ac:dyDescent="0.25">
      <c r="B119"/>
      <c r="E119"/>
      <c r="F119" s="50"/>
      <c r="G119" s="51" t="s">
        <v>453</v>
      </c>
      <c r="H119" s="254">
        <v>42736</v>
      </c>
      <c r="J119" s="257" t="s">
        <v>95</v>
      </c>
      <c r="K119" s="255" t="s">
        <v>96</v>
      </c>
      <c r="L119" s="50" t="s">
        <v>94</v>
      </c>
      <c r="N119" t="s">
        <v>454</v>
      </c>
      <c r="O119" s="226">
        <v>45548</v>
      </c>
    </row>
    <row r="120" spans="1:18" x14ac:dyDescent="0.25">
      <c r="A120" t="s">
        <v>0</v>
      </c>
      <c r="B120" s="1" t="s">
        <v>455</v>
      </c>
      <c r="C120" t="s">
        <v>456</v>
      </c>
      <c r="D120" t="s">
        <v>3</v>
      </c>
      <c r="E120" s="53" t="s">
        <v>457</v>
      </c>
      <c r="F120" t="s">
        <v>458</v>
      </c>
      <c r="G120" t="s">
        <v>459</v>
      </c>
      <c r="H120" t="s">
        <v>460</v>
      </c>
      <c r="I120" t="s">
        <v>21</v>
      </c>
      <c r="J120" t="s">
        <v>461</v>
      </c>
      <c r="K120" s="1" t="s">
        <v>1</v>
      </c>
      <c r="L120" t="s">
        <v>462</v>
      </c>
      <c r="M120" t="s">
        <v>55</v>
      </c>
      <c r="N120" s="104" t="s">
        <v>463</v>
      </c>
      <c r="O120" s="104" t="s">
        <v>464</v>
      </c>
      <c r="Q120" t="s">
        <v>465</v>
      </c>
      <c r="R120" t="s">
        <v>466</v>
      </c>
    </row>
    <row r="121" spans="1:18" x14ac:dyDescent="0.25">
      <c r="A121" t="str">
        <f>TableMCAPLING[[#This Row],[Study Package Code]]</f>
        <v>LING6000</v>
      </c>
      <c r="B121" s="1">
        <f>TableMCAPLING[[#This Row],[Ver]]</f>
        <v>2</v>
      </c>
      <c r="D121" t="str">
        <f>TableMCAPLING[[#This Row],[Structure Line]]</f>
        <v>Language Acquisition</v>
      </c>
      <c r="E121" s="53">
        <f>TableMCAPLING[[#This Row],[Credit Points]]</f>
        <v>25</v>
      </c>
      <c r="F121">
        <v>1</v>
      </c>
      <c r="G121" t="s">
        <v>467</v>
      </c>
      <c r="H121">
        <v>1</v>
      </c>
      <c r="I121" t="s">
        <v>468</v>
      </c>
      <c r="J121" t="s">
        <v>432</v>
      </c>
      <c r="K121" s="1">
        <v>2</v>
      </c>
      <c r="L121" t="s">
        <v>433</v>
      </c>
      <c r="M121">
        <v>25</v>
      </c>
      <c r="N121" s="92">
        <v>42736</v>
      </c>
      <c r="O121" s="92"/>
      <c r="Q121" t="s">
        <v>432</v>
      </c>
      <c r="R121">
        <v>2</v>
      </c>
    </row>
    <row r="122" spans="1:18" x14ac:dyDescent="0.25">
      <c r="A122" t="str">
        <f>TableMCAPLING[[#This Row],[Study Package Code]]</f>
        <v>EDUC6025</v>
      </c>
      <c r="B122" s="1">
        <f>TableMCAPLING[[#This Row],[Ver]]</f>
        <v>2</v>
      </c>
      <c r="D122" t="str">
        <f>TableMCAPLING[[#This Row],[Structure Line]]</f>
        <v>Language Teaching Methodologies</v>
      </c>
      <c r="E122" s="53">
        <f>TableMCAPLING[[#This Row],[Credit Points]]</f>
        <v>25</v>
      </c>
      <c r="F122">
        <v>2</v>
      </c>
      <c r="G122" t="s">
        <v>467</v>
      </c>
      <c r="H122">
        <v>1</v>
      </c>
      <c r="I122" t="s">
        <v>468</v>
      </c>
      <c r="J122" t="s">
        <v>167</v>
      </c>
      <c r="K122" s="1">
        <v>2</v>
      </c>
      <c r="L122" t="s">
        <v>403</v>
      </c>
      <c r="M122">
        <v>25</v>
      </c>
      <c r="N122" s="92">
        <v>44562</v>
      </c>
      <c r="O122" s="92"/>
      <c r="Q122" t="s">
        <v>167</v>
      </c>
      <c r="R122">
        <v>2</v>
      </c>
    </row>
    <row r="123" spans="1:18" x14ac:dyDescent="0.25">
      <c r="A123" t="str">
        <f>TableMCAPLING[[#This Row],[Study Package Code]]</f>
        <v>EDUC6041</v>
      </c>
      <c r="B123" s="1">
        <f>TableMCAPLING[[#This Row],[Ver]]</f>
        <v>1</v>
      </c>
      <c r="D123" t="str">
        <f>TableMCAPLING[[#This Row],[Structure Line]]</f>
        <v>Research Methods in Applied Linguistics</v>
      </c>
      <c r="E123" s="53">
        <f>TableMCAPLING[[#This Row],[Credit Points]]</f>
        <v>25</v>
      </c>
      <c r="F123">
        <v>3</v>
      </c>
      <c r="G123" t="s">
        <v>467</v>
      </c>
      <c r="H123">
        <v>1</v>
      </c>
      <c r="I123" t="s">
        <v>468</v>
      </c>
      <c r="J123" t="s">
        <v>162</v>
      </c>
      <c r="K123" s="1">
        <v>1</v>
      </c>
      <c r="L123" t="s">
        <v>406</v>
      </c>
      <c r="M123">
        <v>25</v>
      </c>
      <c r="N123" s="92">
        <v>42736</v>
      </c>
      <c r="O123" s="92"/>
      <c r="Q123" t="s">
        <v>162</v>
      </c>
      <c r="R123">
        <v>1</v>
      </c>
    </row>
    <row r="124" spans="1:18" x14ac:dyDescent="0.25">
      <c r="A124" t="str">
        <f>TableMCAPLING[[#This Row],[Study Package Code]]</f>
        <v>LING6001</v>
      </c>
      <c r="B124" s="1">
        <f>TableMCAPLING[[#This Row],[Ver]]</f>
        <v>2</v>
      </c>
      <c r="D124" t="str">
        <f>TableMCAPLING[[#This Row],[Structure Line]]</f>
        <v>Language in Society</v>
      </c>
      <c r="E124" s="53">
        <f>TableMCAPLING[[#This Row],[Credit Points]]</f>
        <v>25</v>
      </c>
      <c r="F124">
        <v>4</v>
      </c>
      <c r="G124" t="s">
        <v>467</v>
      </c>
      <c r="H124">
        <v>1</v>
      </c>
      <c r="I124" t="s">
        <v>468</v>
      </c>
      <c r="J124" t="s">
        <v>184</v>
      </c>
      <c r="K124" s="1">
        <v>2</v>
      </c>
      <c r="L124" t="s">
        <v>434</v>
      </c>
      <c r="M124">
        <v>25</v>
      </c>
      <c r="N124" s="92">
        <v>42736</v>
      </c>
      <c r="O124" s="92"/>
      <c r="Q124" t="s">
        <v>184</v>
      </c>
      <c r="R124">
        <v>2</v>
      </c>
    </row>
    <row r="125" spans="1:18" x14ac:dyDescent="0.25">
      <c r="A125" t="str">
        <f>TableMCAPLING[[#This Row],[Study Package Code]]</f>
        <v>EDUC6040</v>
      </c>
      <c r="B125" s="1">
        <f>TableMCAPLING[[#This Row],[Ver]]</f>
        <v>1</v>
      </c>
      <c r="D125" t="str">
        <f>TableMCAPLING[[#This Row],[Structure Line]]</f>
        <v>Special Topics in Applied Linguistics</v>
      </c>
      <c r="E125" s="53">
        <f>TableMCAPLING[[#This Row],[Credit Points]]</f>
        <v>25</v>
      </c>
      <c r="F125">
        <v>5</v>
      </c>
      <c r="G125" t="s">
        <v>467</v>
      </c>
      <c r="H125">
        <v>1</v>
      </c>
      <c r="I125" t="s">
        <v>468</v>
      </c>
      <c r="J125" t="s">
        <v>173</v>
      </c>
      <c r="K125" s="1">
        <v>1</v>
      </c>
      <c r="L125" t="s">
        <v>405</v>
      </c>
      <c r="M125">
        <v>25</v>
      </c>
      <c r="N125" s="92">
        <v>42736</v>
      </c>
      <c r="O125" s="92"/>
      <c r="Q125" t="s">
        <v>173</v>
      </c>
      <c r="R125">
        <v>1</v>
      </c>
    </row>
    <row r="126" spans="1:18" x14ac:dyDescent="0.25">
      <c r="A126" t="str">
        <f>TableMCAPLING[[#This Row],[Study Package Code]]</f>
        <v>EDUC6027</v>
      </c>
      <c r="B126" s="1">
        <f>TableMCAPLING[[#This Row],[Ver]]</f>
        <v>1</v>
      </c>
      <c r="D126" t="str">
        <f>TableMCAPLING[[#This Row],[Structure Line]]</f>
        <v>Language Teaching Course Design and Assessment</v>
      </c>
      <c r="E126" s="53">
        <f>TableMCAPLING[[#This Row],[Credit Points]]</f>
        <v>25</v>
      </c>
      <c r="F126">
        <v>6</v>
      </c>
      <c r="G126" t="s">
        <v>467</v>
      </c>
      <c r="H126">
        <v>1</v>
      </c>
      <c r="I126" t="s">
        <v>468</v>
      </c>
      <c r="J126" t="s">
        <v>181</v>
      </c>
      <c r="K126" s="1">
        <v>1</v>
      </c>
      <c r="L126" t="s">
        <v>404</v>
      </c>
      <c r="M126">
        <v>25</v>
      </c>
      <c r="N126" s="92">
        <v>42736</v>
      </c>
      <c r="O126" s="92"/>
      <c r="Q126" t="s">
        <v>181</v>
      </c>
      <c r="R126">
        <v>1</v>
      </c>
    </row>
    <row r="127" spans="1:18" x14ac:dyDescent="0.25">
      <c r="A127" t="str">
        <f>TableMCAPLING[[#This Row],[Study Package Code]]</f>
        <v>EDUC6015</v>
      </c>
      <c r="B127" s="1">
        <f>TableMCAPLING[[#This Row],[Ver]]</f>
        <v>2</v>
      </c>
      <c r="D127" t="str">
        <f>TableMCAPLING[[#This Row],[Structure Line]]</f>
        <v>Negotiated Capstone Project</v>
      </c>
      <c r="E127" s="53">
        <f>TableMCAPLING[[#This Row],[Credit Points]]</f>
        <v>50</v>
      </c>
      <c r="F127">
        <v>7</v>
      </c>
      <c r="G127" t="s">
        <v>467</v>
      </c>
      <c r="H127">
        <v>1</v>
      </c>
      <c r="I127" t="s">
        <v>468</v>
      </c>
      <c r="J127" t="s">
        <v>187</v>
      </c>
      <c r="K127" s="1">
        <v>2</v>
      </c>
      <c r="L127" t="s">
        <v>401</v>
      </c>
      <c r="M127">
        <v>50</v>
      </c>
      <c r="N127" s="92">
        <v>44562</v>
      </c>
      <c r="O127" s="92"/>
      <c r="Q127" t="s">
        <v>187</v>
      </c>
      <c r="R127">
        <v>2</v>
      </c>
    </row>
    <row r="128" spans="1:18" x14ac:dyDescent="0.25">
      <c r="B128"/>
      <c r="E128"/>
      <c r="F128" s="50"/>
      <c r="G128" s="51" t="s">
        <v>453</v>
      </c>
      <c r="H128" s="254">
        <v>42736</v>
      </c>
      <c r="J128" s="257" t="s">
        <v>81</v>
      </c>
      <c r="K128" s="255" t="s">
        <v>82</v>
      </c>
      <c r="L128" s="50" t="s">
        <v>471</v>
      </c>
      <c r="N128" t="s">
        <v>454</v>
      </c>
      <c r="O128" s="226">
        <v>45548</v>
      </c>
    </row>
    <row r="129" spans="1:18" x14ac:dyDescent="0.25">
      <c r="A129" t="s">
        <v>0</v>
      </c>
      <c r="B129" s="1" t="s">
        <v>455</v>
      </c>
      <c r="C129" t="s">
        <v>456</v>
      </c>
      <c r="D129" t="s">
        <v>3</v>
      </c>
      <c r="E129" s="53" t="s">
        <v>457</v>
      </c>
      <c r="F129" t="s">
        <v>458</v>
      </c>
      <c r="G129" t="s">
        <v>459</v>
      </c>
      <c r="H129" t="s">
        <v>460</v>
      </c>
      <c r="I129" t="s">
        <v>21</v>
      </c>
      <c r="J129" t="s">
        <v>461</v>
      </c>
      <c r="K129" s="1" t="s">
        <v>1</v>
      </c>
      <c r="L129" t="s">
        <v>462</v>
      </c>
      <c r="M129" t="s">
        <v>55</v>
      </c>
      <c r="N129" s="104" t="s">
        <v>463</v>
      </c>
      <c r="O129" s="104" t="s">
        <v>464</v>
      </c>
      <c r="Q129" t="s">
        <v>465</v>
      </c>
      <c r="R129" t="s">
        <v>466</v>
      </c>
    </row>
    <row r="130" spans="1:18" x14ac:dyDescent="0.25">
      <c r="A130" t="str">
        <f>TableGCTESOL[[#This Row],[Study Package Code]]</f>
        <v>EDUC5019</v>
      </c>
      <c r="B130" s="1">
        <f>TableGCTESOL[[#This Row],[Ver]]</f>
        <v>1</v>
      </c>
      <c r="D130" t="str">
        <f>TableGCTESOL[[#This Row],[Structure Line]]</f>
        <v>Introduction to Language</v>
      </c>
      <c r="E130" s="53">
        <f>TableGCTESOL[[#This Row],[Credit Points]]</f>
        <v>25</v>
      </c>
      <c r="F130">
        <v>1</v>
      </c>
      <c r="G130" t="s">
        <v>467</v>
      </c>
      <c r="H130">
        <v>1</v>
      </c>
      <c r="I130" t="s">
        <v>468</v>
      </c>
      <c r="J130" t="s">
        <v>172</v>
      </c>
      <c r="K130" s="1">
        <v>1</v>
      </c>
      <c r="L130" t="s">
        <v>394</v>
      </c>
      <c r="M130">
        <v>25</v>
      </c>
      <c r="N130" s="92">
        <v>42736</v>
      </c>
      <c r="O130" s="92"/>
      <c r="Q130" t="s">
        <v>172</v>
      </c>
      <c r="R130">
        <v>1</v>
      </c>
    </row>
    <row r="131" spans="1:18" x14ac:dyDescent="0.25">
      <c r="A131" t="str">
        <f>TableGCTESOL[[#This Row],[Study Package Code]]</f>
        <v>EDUC5021</v>
      </c>
      <c r="B131" s="1">
        <f>TableGCTESOL[[#This Row],[Ver]]</f>
        <v>1</v>
      </c>
      <c r="D131" t="str">
        <f>TableGCTESOL[[#This Row],[Structure Line]]</f>
        <v>Materials Design and Assessment</v>
      </c>
      <c r="E131" s="53">
        <f>TableGCTESOL[[#This Row],[Credit Points]]</f>
        <v>25</v>
      </c>
      <c r="F131">
        <v>2</v>
      </c>
      <c r="G131" t="s">
        <v>467</v>
      </c>
      <c r="H131">
        <v>1</v>
      </c>
      <c r="I131" t="s">
        <v>468</v>
      </c>
      <c r="J131" t="s">
        <v>160</v>
      </c>
      <c r="K131" s="1">
        <v>1</v>
      </c>
      <c r="L131" t="s">
        <v>395</v>
      </c>
      <c r="M131">
        <v>25</v>
      </c>
      <c r="N131" s="92">
        <v>42736</v>
      </c>
      <c r="O131" s="92"/>
      <c r="Q131" t="s">
        <v>160</v>
      </c>
      <c r="R131">
        <v>1</v>
      </c>
    </row>
    <row r="132" spans="1:18" x14ac:dyDescent="0.25">
      <c r="A132" t="str">
        <f>TableGCTESOL[[#This Row],[Study Package Code]]</f>
        <v>EDUC5023</v>
      </c>
      <c r="B132" s="1">
        <f>TableGCTESOL[[#This Row],[Ver]]</f>
        <v>1</v>
      </c>
      <c r="D132" t="str">
        <f>TableGCTESOL[[#This Row],[Structure Line]]</f>
        <v>Teaching English to Speakers of Other Languages Methodologies</v>
      </c>
      <c r="E132" s="53">
        <f>TableGCTESOL[[#This Row],[Credit Points]]</f>
        <v>25</v>
      </c>
      <c r="F132">
        <v>3</v>
      </c>
      <c r="G132" t="s">
        <v>467</v>
      </c>
      <c r="H132">
        <v>1</v>
      </c>
      <c r="I132" t="s">
        <v>468</v>
      </c>
      <c r="J132" t="s">
        <v>165</v>
      </c>
      <c r="K132" s="1">
        <v>1</v>
      </c>
      <c r="L132" t="s">
        <v>396</v>
      </c>
      <c r="M132">
        <v>25</v>
      </c>
      <c r="N132" s="92">
        <v>42736</v>
      </c>
      <c r="O132" s="92"/>
      <c r="Q132" t="s">
        <v>165</v>
      </c>
      <c r="R132">
        <v>1</v>
      </c>
    </row>
    <row r="133" spans="1:18" x14ac:dyDescent="0.25">
      <c r="A133" t="str">
        <f>TableGCTESOL[[#This Row],[Study Package Code]]</f>
        <v>EDUC5025</v>
      </c>
      <c r="B133" s="1">
        <f>TableGCTESOL[[#This Row],[Ver]]</f>
        <v>1</v>
      </c>
      <c r="D133" t="str">
        <f>TableGCTESOL[[#This Row],[Structure Line]]</f>
        <v>Transcultural Communication</v>
      </c>
      <c r="E133" s="53">
        <f>TableGCTESOL[[#This Row],[Credit Points]]</f>
        <v>25</v>
      </c>
      <c r="F133">
        <v>4</v>
      </c>
      <c r="G133" t="s">
        <v>467</v>
      </c>
      <c r="H133">
        <v>1</v>
      </c>
      <c r="I133" t="s">
        <v>468</v>
      </c>
      <c r="J133" t="s">
        <v>179</v>
      </c>
      <c r="K133" s="1">
        <v>1</v>
      </c>
      <c r="L133" t="s">
        <v>397</v>
      </c>
      <c r="M133">
        <v>25</v>
      </c>
      <c r="N133" s="92">
        <v>42736</v>
      </c>
      <c r="O133" s="92"/>
      <c r="Q133" t="s">
        <v>179</v>
      </c>
      <c r="R133">
        <v>1</v>
      </c>
    </row>
    <row r="135" spans="1:18" x14ac:dyDescent="0.25">
      <c r="B135"/>
      <c r="E135"/>
      <c r="F135" s="50"/>
      <c r="G135" s="51" t="s">
        <v>453</v>
      </c>
      <c r="H135" s="254">
        <v>44197</v>
      </c>
      <c r="J135" s="257" t="s">
        <v>99</v>
      </c>
      <c r="K135" s="255" t="s">
        <v>100</v>
      </c>
      <c r="L135" s="50" t="s">
        <v>472</v>
      </c>
      <c r="N135" t="s">
        <v>454</v>
      </c>
      <c r="O135" s="226">
        <v>45548</v>
      </c>
    </row>
    <row r="136" spans="1:18" x14ac:dyDescent="0.25">
      <c r="A136" t="s">
        <v>0</v>
      </c>
      <c r="B136" s="1" t="s">
        <v>455</v>
      </c>
      <c r="C136" t="s">
        <v>456</v>
      </c>
      <c r="D136" t="s">
        <v>3</v>
      </c>
      <c r="E136" s="53" t="s">
        <v>457</v>
      </c>
      <c r="F136" t="s">
        <v>458</v>
      </c>
      <c r="G136" t="s">
        <v>459</v>
      </c>
      <c r="H136" t="s">
        <v>460</v>
      </c>
      <c r="I136" t="s">
        <v>21</v>
      </c>
      <c r="J136" t="s">
        <v>461</v>
      </c>
      <c r="K136" s="1" t="s">
        <v>1</v>
      </c>
      <c r="L136" t="s">
        <v>462</v>
      </c>
      <c r="M136" t="s">
        <v>55</v>
      </c>
      <c r="N136" s="104" t="s">
        <v>463</v>
      </c>
      <c r="O136" s="104" t="s">
        <v>464</v>
      </c>
      <c r="Q136" t="s">
        <v>465</v>
      </c>
      <c r="R136" t="s">
        <v>466</v>
      </c>
    </row>
    <row r="137" spans="1:18" x14ac:dyDescent="0.25">
      <c r="A137" t="str">
        <f>TableMCEDUC[[#This Row],[Study Package Code]]</f>
        <v>EDUC6046</v>
      </c>
      <c r="B137" s="1">
        <f>TableMCEDUC[[#This Row],[Ver]]</f>
        <v>1</v>
      </c>
      <c r="D137" t="str">
        <f>TableMCEDUC[[#This Row],[Structure Line]]</f>
        <v>Education in the Post-Truth Era</v>
      </c>
      <c r="E137" s="53">
        <f>TableMCEDUC[[#This Row],[Credit Points]]</f>
        <v>25</v>
      </c>
      <c r="F137">
        <v>1</v>
      </c>
      <c r="G137" t="s">
        <v>467</v>
      </c>
      <c r="H137">
        <v>1</v>
      </c>
      <c r="I137" s="259" t="s">
        <v>473</v>
      </c>
      <c r="J137" t="s">
        <v>215</v>
      </c>
      <c r="K137" s="1">
        <v>1</v>
      </c>
      <c r="L137" t="s">
        <v>407</v>
      </c>
      <c r="M137">
        <v>25</v>
      </c>
      <c r="N137" s="92">
        <v>44562</v>
      </c>
      <c r="O137" s="92"/>
      <c r="Q137" t="s">
        <v>215</v>
      </c>
      <c r="R137">
        <v>1</v>
      </c>
    </row>
    <row r="138" spans="1:18" x14ac:dyDescent="0.25">
      <c r="A138" t="str">
        <f>TableMCEDUC[[#This Row],[Study Package Code]]</f>
        <v>EDUC6015</v>
      </c>
      <c r="B138" s="1">
        <f>TableMCEDUC[[#This Row],[Ver]]</f>
        <v>2</v>
      </c>
      <c r="D138" t="str">
        <f>TableMCEDUC[[#This Row],[Structure Line]]</f>
        <v>Negotiated Capstone Project</v>
      </c>
      <c r="E138" s="53">
        <f>TableMCEDUC[[#This Row],[Credit Points]]</f>
        <v>50</v>
      </c>
      <c r="F138">
        <v>2</v>
      </c>
      <c r="G138" t="s">
        <v>467</v>
      </c>
      <c r="H138">
        <v>1</v>
      </c>
      <c r="I138" s="259" t="s">
        <v>473</v>
      </c>
      <c r="J138" t="s">
        <v>187</v>
      </c>
      <c r="K138" s="1">
        <v>2</v>
      </c>
      <c r="L138" t="s">
        <v>401</v>
      </c>
      <c r="M138">
        <v>50</v>
      </c>
      <c r="N138" s="92">
        <v>44562</v>
      </c>
      <c r="O138" s="92"/>
      <c r="Q138" t="s">
        <v>187</v>
      </c>
      <c r="R138">
        <v>2</v>
      </c>
    </row>
    <row r="139" spans="1:18" x14ac:dyDescent="0.25">
      <c r="A139" t="str">
        <f>TableMCEDUC[[#This Row],[Study Package Code]]</f>
        <v>EDUC6003</v>
      </c>
      <c r="B139" s="1">
        <f>TableMCEDUC[[#This Row],[Ver]]</f>
        <v>3</v>
      </c>
      <c r="D139" t="str">
        <f>TableMCEDUC[[#This Row],[Structure Line]]</f>
        <v>Perspectives on Educational Research</v>
      </c>
      <c r="E139" s="53">
        <f>TableMCEDUC[[#This Row],[Credit Points]]</f>
        <v>25</v>
      </c>
      <c r="F139">
        <v>3</v>
      </c>
      <c r="G139" t="s">
        <v>467</v>
      </c>
      <c r="H139">
        <v>1</v>
      </c>
      <c r="I139" s="259" t="s">
        <v>473</v>
      </c>
      <c r="J139" t="s">
        <v>208</v>
      </c>
      <c r="K139" s="1">
        <v>3</v>
      </c>
      <c r="L139" t="s">
        <v>400</v>
      </c>
      <c r="M139">
        <v>25</v>
      </c>
      <c r="N139" s="92">
        <v>44562</v>
      </c>
      <c r="O139" s="92"/>
      <c r="Q139" t="s">
        <v>208</v>
      </c>
      <c r="R139">
        <v>3</v>
      </c>
    </row>
    <row r="140" spans="1:18" x14ac:dyDescent="0.25">
      <c r="A140" t="str">
        <f>TableMCEDUC[[#This Row],[Study Package Code]]</f>
        <v>OptionMC-EDUC</v>
      </c>
      <c r="B140" s="1">
        <f>TableMCEDUC[[#This Row],[Ver]]</f>
        <v>0</v>
      </c>
      <c r="D140" t="str">
        <f>TableMCEDUC[[#This Row],[Structure Line]]</f>
        <v>Choose a Specialisation or 100 credits of Options</v>
      </c>
      <c r="E140" s="53">
        <f>TableMCEDUC[[#This Row],[Credit Points]]</f>
        <v>100</v>
      </c>
      <c r="F140">
        <v>4</v>
      </c>
      <c r="G140" t="s">
        <v>438</v>
      </c>
      <c r="H140">
        <v>1</v>
      </c>
      <c r="I140" t="s">
        <v>468</v>
      </c>
      <c r="J140" t="s">
        <v>474</v>
      </c>
      <c r="K140" s="1">
        <v>0</v>
      </c>
      <c r="L140" t="s">
        <v>475</v>
      </c>
      <c r="M140">
        <v>100</v>
      </c>
      <c r="N140" s="92"/>
      <c r="O140" s="92"/>
      <c r="Q140" t="s">
        <v>474</v>
      </c>
      <c r="R140">
        <v>0</v>
      </c>
    </row>
    <row r="141" spans="1:18" x14ac:dyDescent="0.25">
      <c r="A141" t="str">
        <f>TableMCEDUC[[#This Row],[Study Package Code]]</f>
        <v>EDUC6025</v>
      </c>
      <c r="B141" s="1">
        <f>TableMCEDUC[[#This Row],[Ver]]</f>
        <v>2</v>
      </c>
      <c r="D141" t="str">
        <f>TableMCEDUC[[#This Row],[Structure Line]]</f>
        <v>Language Teaching Methodologies</v>
      </c>
      <c r="E141" s="53">
        <f>TableMCEDUC[[#This Row],[Credit Points]]</f>
        <v>25</v>
      </c>
      <c r="F141">
        <v>4</v>
      </c>
      <c r="G141" t="s">
        <v>438</v>
      </c>
      <c r="H141">
        <v>1</v>
      </c>
      <c r="I141" t="s">
        <v>468</v>
      </c>
      <c r="J141" t="s">
        <v>167</v>
      </c>
      <c r="K141" s="1">
        <v>2</v>
      </c>
      <c r="L141" t="s">
        <v>403</v>
      </c>
      <c r="M141">
        <v>25</v>
      </c>
      <c r="N141" s="92">
        <v>44562</v>
      </c>
      <c r="O141" s="92"/>
      <c r="Q141" t="s">
        <v>167</v>
      </c>
      <c r="R141">
        <v>2</v>
      </c>
    </row>
    <row r="142" spans="1:18" x14ac:dyDescent="0.25">
      <c r="A142" t="str">
        <f>TableMCEDUC[[#This Row],[Study Package Code]]</f>
        <v>EDUC6048</v>
      </c>
      <c r="B142" s="1">
        <f>TableMCEDUC[[#This Row],[Ver]]</f>
        <v>1</v>
      </c>
      <c r="D142" t="str">
        <f>TableMCEDUC[[#This Row],[Structure Line]]</f>
        <v>Designing STEM Integration</v>
      </c>
      <c r="E142" s="53">
        <f>TableMCEDUC[[#This Row],[Credit Points]]</f>
        <v>25</v>
      </c>
      <c r="F142">
        <v>4</v>
      </c>
      <c r="G142" t="s">
        <v>438</v>
      </c>
      <c r="H142">
        <v>1</v>
      </c>
      <c r="I142" t="s">
        <v>468</v>
      </c>
      <c r="J142" t="s">
        <v>214</v>
      </c>
      <c r="K142" s="1">
        <v>1</v>
      </c>
      <c r="L142" t="s">
        <v>408</v>
      </c>
      <c r="M142">
        <v>25</v>
      </c>
      <c r="N142" s="92">
        <v>44562</v>
      </c>
      <c r="O142" s="92"/>
      <c r="Q142" t="s">
        <v>214</v>
      </c>
      <c r="R142">
        <v>1</v>
      </c>
    </row>
    <row r="143" spans="1:18" x14ac:dyDescent="0.25">
      <c r="A143" t="str">
        <f>TableMCEDUC[[#This Row],[Study Package Code]]</f>
        <v>EDUC6050</v>
      </c>
      <c r="B143" s="1">
        <f>TableMCEDUC[[#This Row],[Ver]]</f>
        <v>1</v>
      </c>
      <c r="D143" t="str">
        <f>TableMCEDUC[[#This Row],[Structure Line]]</f>
        <v>Education for a Future: Learning for Sustainability</v>
      </c>
      <c r="E143" s="53">
        <f>TableMCEDUC[[#This Row],[Credit Points]]</f>
        <v>25</v>
      </c>
      <c r="F143">
        <v>4</v>
      </c>
      <c r="G143" t="s">
        <v>438</v>
      </c>
      <c r="H143">
        <v>1</v>
      </c>
      <c r="I143" t="s">
        <v>468</v>
      </c>
      <c r="J143" t="s">
        <v>217</v>
      </c>
      <c r="K143" s="1">
        <v>1</v>
      </c>
      <c r="L143" t="s">
        <v>409</v>
      </c>
      <c r="M143">
        <v>25</v>
      </c>
      <c r="N143" s="92">
        <v>44562</v>
      </c>
      <c r="O143" s="92"/>
      <c r="Q143" t="s">
        <v>217</v>
      </c>
      <c r="R143">
        <v>1</v>
      </c>
    </row>
    <row r="144" spans="1:18" x14ac:dyDescent="0.25">
      <c r="A144" t="str">
        <f>TableMCEDUC[[#This Row],[Study Package Code]]</f>
        <v>EDUC6052</v>
      </c>
      <c r="B144" s="1">
        <f>TableMCEDUC[[#This Row],[Ver]]</f>
        <v>1</v>
      </c>
      <c r="D144" t="str">
        <f>TableMCEDUC[[#This Row],[Structure Line]]</f>
        <v>Emerging Technologies and the Future of Learning</v>
      </c>
      <c r="E144" s="53">
        <f>TableMCEDUC[[#This Row],[Credit Points]]</f>
        <v>25</v>
      </c>
      <c r="F144">
        <v>4</v>
      </c>
      <c r="G144" t="s">
        <v>438</v>
      </c>
      <c r="H144">
        <v>1</v>
      </c>
      <c r="I144" t="s">
        <v>468</v>
      </c>
      <c r="J144" t="s">
        <v>216</v>
      </c>
      <c r="K144" s="1">
        <v>1</v>
      </c>
      <c r="L144" t="s">
        <v>410</v>
      </c>
      <c r="M144">
        <v>25</v>
      </c>
      <c r="N144" s="92">
        <v>44562</v>
      </c>
      <c r="O144" s="92"/>
      <c r="Q144" t="s">
        <v>216</v>
      </c>
      <c r="R144">
        <v>1</v>
      </c>
    </row>
    <row r="145" spans="1:18" x14ac:dyDescent="0.25">
      <c r="A145" t="str">
        <f>TableMCEDUC[[#This Row],[Study Package Code]]</f>
        <v>EDUC6054</v>
      </c>
      <c r="B145" s="1">
        <f>TableMCEDUC[[#This Row],[Ver]]</f>
        <v>1</v>
      </c>
      <c r="D145" t="str">
        <f>TableMCEDUC[[#This Row],[Structure Line]]</f>
        <v>Empowering Learners Through Social Justice Leadership</v>
      </c>
      <c r="E145" s="53">
        <f>TableMCEDUC[[#This Row],[Credit Points]]</f>
        <v>25</v>
      </c>
      <c r="F145">
        <v>4</v>
      </c>
      <c r="G145" t="s">
        <v>438</v>
      </c>
      <c r="H145">
        <v>1</v>
      </c>
      <c r="I145" t="s">
        <v>468</v>
      </c>
      <c r="J145" t="s">
        <v>211</v>
      </c>
      <c r="K145" s="1">
        <v>1</v>
      </c>
      <c r="L145" t="s">
        <v>411</v>
      </c>
      <c r="M145">
        <v>25</v>
      </c>
      <c r="N145" s="92">
        <v>44562</v>
      </c>
      <c r="O145" s="92"/>
      <c r="Q145" t="s">
        <v>211</v>
      </c>
      <c r="R145">
        <v>1</v>
      </c>
    </row>
    <row r="146" spans="1:18" x14ac:dyDescent="0.25">
      <c r="A146" t="str">
        <f>TableMCEDUC[[#This Row],[Study Package Code]]</f>
        <v>EDUC6056</v>
      </c>
      <c r="B146" s="1">
        <f>TableMCEDUC[[#This Row],[Ver]]</f>
        <v>1</v>
      </c>
      <c r="D146" t="str">
        <f>TableMCEDUC[[#This Row],[Structure Line]]</f>
        <v>Leading Learning in Multilingual Contexts</v>
      </c>
      <c r="E146" s="53">
        <f>TableMCEDUC[[#This Row],[Credit Points]]</f>
        <v>25</v>
      </c>
      <c r="F146">
        <v>4</v>
      </c>
      <c r="G146" t="s">
        <v>438</v>
      </c>
      <c r="H146">
        <v>1</v>
      </c>
      <c r="I146" t="s">
        <v>468</v>
      </c>
      <c r="J146" t="s">
        <v>210</v>
      </c>
      <c r="K146" s="1">
        <v>1</v>
      </c>
      <c r="L146" t="s">
        <v>412</v>
      </c>
      <c r="M146">
        <v>25</v>
      </c>
      <c r="N146" s="92">
        <v>44562</v>
      </c>
      <c r="O146" s="92"/>
      <c r="Q146" t="s">
        <v>210</v>
      </c>
      <c r="R146">
        <v>1</v>
      </c>
    </row>
    <row r="147" spans="1:18" x14ac:dyDescent="0.25">
      <c r="A147" t="str">
        <f>TableMCEDUC[[#This Row],[Study Package Code]]</f>
        <v>EDUC6058</v>
      </c>
      <c r="B147" s="1">
        <f>TableMCEDUC[[#This Row],[Ver]]</f>
        <v>1</v>
      </c>
      <c r="D147" t="str">
        <f>TableMCEDUC[[#This Row],[Structure Line]]</f>
        <v>Pedagogies for Learner and Community Diversity</v>
      </c>
      <c r="E147" s="53">
        <f>TableMCEDUC[[#This Row],[Credit Points]]</f>
        <v>25</v>
      </c>
      <c r="F147">
        <v>4</v>
      </c>
      <c r="G147" t="s">
        <v>438</v>
      </c>
      <c r="H147">
        <v>1</v>
      </c>
      <c r="I147" t="s">
        <v>468</v>
      </c>
      <c r="J147" t="s">
        <v>212</v>
      </c>
      <c r="K147" s="1">
        <v>1</v>
      </c>
      <c r="L147" t="s">
        <v>413</v>
      </c>
      <c r="M147">
        <v>25</v>
      </c>
      <c r="N147" s="92">
        <v>44562</v>
      </c>
      <c r="O147" s="92"/>
      <c r="Q147" t="s">
        <v>212</v>
      </c>
      <c r="R147">
        <v>1</v>
      </c>
    </row>
    <row r="148" spans="1:18" x14ac:dyDescent="0.25">
      <c r="A148" t="str">
        <f>TableMCEDUC[[#This Row],[Study Package Code]]</f>
        <v>EDUC6060</v>
      </c>
      <c r="B148" s="1">
        <f>TableMCEDUC[[#This Row],[Ver]]</f>
        <v>1</v>
      </c>
      <c r="D148" t="str">
        <f>TableMCEDUC[[#This Row],[Structure Line]]</f>
        <v>Becoming a Leader of STEM Education</v>
      </c>
      <c r="E148" s="53">
        <f>TableMCEDUC[[#This Row],[Credit Points]]</f>
        <v>25</v>
      </c>
      <c r="F148">
        <v>4</v>
      </c>
      <c r="G148" t="s">
        <v>438</v>
      </c>
      <c r="H148">
        <v>1</v>
      </c>
      <c r="I148" t="s">
        <v>468</v>
      </c>
      <c r="J148" t="s">
        <v>213</v>
      </c>
      <c r="K148" s="1">
        <v>1</v>
      </c>
      <c r="L148" t="s">
        <v>414</v>
      </c>
      <c r="M148">
        <v>25</v>
      </c>
      <c r="N148" s="92">
        <v>44562</v>
      </c>
      <c r="O148" s="92"/>
      <c r="Q148" t="s">
        <v>213</v>
      </c>
      <c r="R148">
        <v>1</v>
      </c>
    </row>
    <row r="149" spans="1:18" x14ac:dyDescent="0.25">
      <c r="A149" t="str">
        <f>TableMCEDUC[[#This Row],[Study Package Code]]</f>
        <v>INDS5010</v>
      </c>
      <c r="B149" s="1">
        <f>TableMCEDUC[[#This Row],[Ver]]</f>
        <v>1</v>
      </c>
      <c r="D149" t="str">
        <f>TableMCEDUC[[#This Row],[Structure Line]]</f>
        <v>Graduate Listening to Country: First Nations' Perspectives</v>
      </c>
      <c r="E149" s="53">
        <f>TableMCEDUC[[#This Row],[Credit Points]]</f>
        <v>25</v>
      </c>
      <c r="F149">
        <v>4</v>
      </c>
      <c r="G149" t="s">
        <v>438</v>
      </c>
      <c r="H149">
        <v>1</v>
      </c>
      <c r="I149" t="s">
        <v>468</v>
      </c>
      <c r="J149" t="s">
        <v>238</v>
      </c>
      <c r="K149" s="1">
        <v>1</v>
      </c>
      <c r="L149" t="s">
        <v>428</v>
      </c>
      <c r="M149">
        <v>25</v>
      </c>
      <c r="N149" s="92">
        <v>44562</v>
      </c>
      <c r="O149" s="92"/>
    </row>
    <row r="150" spans="1:18" x14ac:dyDescent="0.25">
      <c r="A150" t="str">
        <f>TableMCEDUC[[#This Row],[Study Package Code]]</f>
        <v>LING6001</v>
      </c>
      <c r="B150" s="1">
        <f>TableMCEDUC[[#This Row],[Ver]]</f>
        <v>2</v>
      </c>
      <c r="D150" t="str">
        <f>TableMCEDUC[[#This Row],[Structure Line]]</f>
        <v>Language in Society</v>
      </c>
      <c r="E150" s="53">
        <f>TableMCEDUC[[#This Row],[Credit Points]]</f>
        <v>25</v>
      </c>
      <c r="F150">
        <v>4</v>
      </c>
      <c r="G150" t="s">
        <v>438</v>
      </c>
      <c r="H150">
        <v>1</v>
      </c>
      <c r="I150" t="s">
        <v>468</v>
      </c>
      <c r="J150" t="s">
        <v>184</v>
      </c>
      <c r="K150" s="1">
        <v>2</v>
      </c>
      <c r="L150" t="s">
        <v>434</v>
      </c>
      <c r="M150">
        <v>25</v>
      </c>
      <c r="N150" s="92">
        <v>42736</v>
      </c>
      <c r="O150" s="92"/>
      <c r="Q150" t="s">
        <v>184</v>
      </c>
      <c r="R150">
        <v>2</v>
      </c>
    </row>
    <row r="151" spans="1:18" x14ac:dyDescent="0.25">
      <c r="A151" t="str">
        <f>TableMCEDUC[[#This Row],[Study Package Code]]</f>
        <v>SPPE-CULIN</v>
      </c>
      <c r="B151" s="1">
        <f>TableMCEDUC[[#This Row],[Ver]]</f>
        <v>1</v>
      </c>
      <c r="D151" t="str">
        <f>TableMCEDUC[[#This Row],[Structure Line]]</f>
        <v>Cultural and Linguistic Diversity Specialisation (MEd)</v>
      </c>
      <c r="E151" s="53">
        <f>TableMCEDUC[[#This Row],[Credit Points]]</f>
        <v>100</v>
      </c>
      <c r="F151">
        <v>4</v>
      </c>
      <c r="G151" t="s">
        <v>438</v>
      </c>
      <c r="H151">
        <v>1</v>
      </c>
      <c r="I151" t="s">
        <v>468</v>
      </c>
      <c r="J151" t="s">
        <v>142</v>
      </c>
      <c r="K151" s="1">
        <v>1</v>
      </c>
      <c r="L151" t="s">
        <v>141</v>
      </c>
      <c r="M151">
        <v>100</v>
      </c>
      <c r="N151" s="92">
        <v>44562</v>
      </c>
      <c r="O151" s="92"/>
      <c r="Q151" t="s">
        <v>142</v>
      </c>
      <c r="R151">
        <v>1</v>
      </c>
    </row>
    <row r="152" spans="1:18" x14ac:dyDescent="0.25">
      <c r="A152" t="str">
        <f>TableMCEDUC[[#This Row],[Study Package Code]]</f>
        <v>SPPE-LNTCH</v>
      </c>
      <c r="B152" s="1">
        <f>TableMCEDUC[[#This Row],[Ver]]</f>
        <v>1</v>
      </c>
      <c r="D152" t="str">
        <f>TableMCEDUC[[#This Row],[Structure Line]]</f>
        <v>Innovative Learning and Teaching Specialisation (MEd)</v>
      </c>
      <c r="E152" s="53">
        <f>TableMCEDUC[[#This Row],[Credit Points]]</f>
        <v>100</v>
      </c>
      <c r="F152">
        <v>4</v>
      </c>
      <c r="G152" t="s">
        <v>438</v>
      </c>
      <c r="H152">
        <v>1</v>
      </c>
      <c r="I152" t="s">
        <v>468</v>
      </c>
      <c r="J152" t="s">
        <v>144</v>
      </c>
      <c r="K152" s="1">
        <v>1</v>
      </c>
      <c r="L152" t="s">
        <v>143</v>
      </c>
      <c r="M152">
        <v>100</v>
      </c>
      <c r="N152" s="92">
        <v>44562</v>
      </c>
      <c r="O152" s="92"/>
      <c r="Q152" t="s">
        <v>144</v>
      </c>
      <c r="R152">
        <v>1</v>
      </c>
    </row>
    <row r="153" spans="1:18" x14ac:dyDescent="0.25">
      <c r="A153" t="str">
        <f>TableMCEDUC[[#This Row],[Study Package Code]]</f>
        <v>SPPE-STEME</v>
      </c>
      <c r="B153" s="1">
        <f>TableMCEDUC[[#This Row],[Ver]]</f>
        <v>1</v>
      </c>
      <c r="D153" t="str">
        <f>TableMCEDUC[[#This Row],[Structure Line]]</f>
        <v>Innovative STEM Education Specialisation (MEd)</v>
      </c>
      <c r="E153" s="53">
        <f>TableMCEDUC[[#This Row],[Credit Points]]</f>
        <v>100</v>
      </c>
      <c r="F153">
        <v>4</v>
      </c>
      <c r="G153" t="s">
        <v>438</v>
      </c>
      <c r="H153">
        <v>1</v>
      </c>
      <c r="I153" t="s">
        <v>468</v>
      </c>
      <c r="J153" t="s">
        <v>146</v>
      </c>
      <c r="K153" s="1">
        <v>1</v>
      </c>
      <c r="L153" t="s">
        <v>145</v>
      </c>
      <c r="M153">
        <v>100</v>
      </c>
      <c r="N153" s="92">
        <v>44562</v>
      </c>
      <c r="O153" s="92"/>
      <c r="Q153" t="s">
        <v>146</v>
      </c>
      <c r="R153">
        <v>1</v>
      </c>
    </row>
    <row r="154" spans="1:18" x14ac:dyDescent="0.25">
      <c r="B154"/>
      <c r="E154"/>
      <c r="F154" s="50"/>
      <c r="G154" s="51" t="s">
        <v>453</v>
      </c>
      <c r="H154" s="254">
        <v>44562</v>
      </c>
      <c r="J154" s="257" t="s">
        <v>142</v>
      </c>
      <c r="K154" s="255" t="s">
        <v>58</v>
      </c>
      <c r="L154" s="50" t="s">
        <v>141</v>
      </c>
      <c r="N154" t="s">
        <v>454</v>
      </c>
      <c r="O154" s="226">
        <v>45548</v>
      </c>
    </row>
    <row r="155" spans="1:18" x14ac:dyDescent="0.25">
      <c r="A155" t="s">
        <v>0</v>
      </c>
      <c r="B155" s="1" t="s">
        <v>455</v>
      </c>
      <c r="C155" t="s">
        <v>456</v>
      </c>
      <c r="D155" t="s">
        <v>3</v>
      </c>
      <c r="E155" s="53" t="s">
        <v>457</v>
      </c>
      <c r="F155" t="s">
        <v>458</v>
      </c>
      <c r="G155" t="s">
        <v>459</v>
      </c>
      <c r="H155" t="s">
        <v>460</v>
      </c>
      <c r="I155" t="s">
        <v>21</v>
      </c>
      <c r="J155" t="s">
        <v>461</v>
      </c>
      <c r="K155" s="1" t="s">
        <v>1</v>
      </c>
      <c r="L155" t="s">
        <v>462</v>
      </c>
      <c r="M155" t="s">
        <v>55</v>
      </c>
      <c r="N155" s="104" t="s">
        <v>463</v>
      </c>
      <c r="O155" s="104" t="s">
        <v>464</v>
      </c>
      <c r="Q155" t="s">
        <v>465</v>
      </c>
      <c r="R155" t="s">
        <v>466</v>
      </c>
    </row>
    <row r="156" spans="1:18" x14ac:dyDescent="0.25">
      <c r="A156" t="str">
        <f>TableSPPECULIN[[#This Row],[Study Package Code]]</f>
        <v>EDUC6052</v>
      </c>
      <c r="B156" s="1">
        <f>TableSPPECULIN[[#This Row],[Ver]]</f>
        <v>1</v>
      </c>
      <c r="D156" t="str">
        <f>TableSPPECULIN[[#This Row],[Structure Line]]</f>
        <v>Emerging Technologies and the Future of Learning</v>
      </c>
      <c r="E156" s="53">
        <f>TableSPPECULIN[[#This Row],[Credit Points]]</f>
        <v>25</v>
      </c>
      <c r="F156">
        <v>1</v>
      </c>
      <c r="G156" t="s">
        <v>467</v>
      </c>
      <c r="H156">
        <v>1</v>
      </c>
      <c r="I156" t="s">
        <v>468</v>
      </c>
      <c r="J156" t="s">
        <v>216</v>
      </c>
      <c r="K156" s="1">
        <v>1</v>
      </c>
      <c r="L156" t="s">
        <v>410</v>
      </c>
      <c r="M156">
        <v>25</v>
      </c>
      <c r="N156" s="92">
        <v>44562</v>
      </c>
      <c r="O156" s="92"/>
      <c r="Q156" t="s">
        <v>216</v>
      </c>
      <c r="R156">
        <v>1</v>
      </c>
    </row>
    <row r="157" spans="1:18" x14ac:dyDescent="0.25">
      <c r="A157" t="str">
        <f>TableSPPECULIN[[#This Row],[Study Package Code]]</f>
        <v>LING6001</v>
      </c>
      <c r="B157" s="1">
        <f>TableSPPECULIN[[#This Row],[Ver]]</f>
        <v>2</v>
      </c>
      <c r="D157" t="str">
        <f>TableSPPECULIN[[#This Row],[Structure Line]]</f>
        <v>Language in Society</v>
      </c>
      <c r="E157" s="53">
        <f>TableSPPECULIN[[#This Row],[Credit Points]]</f>
        <v>25</v>
      </c>
      <c r="F157">
        <v>2</v>
      </c>
      <c r="G157" t="s">
        <v>467</v>
      </c>
      <c r="H157">
        <v>1</v>
      </c>
      <c r="I157" t="s">
        <v>468</v>
      </c>
      <c r="J157" t="s">
        <v>184</v>
      </c>
      <c r="K157" s="1">
        <v>2</v>
      </c>
      <c r="L157" t="s">
        <v>434</v>
      </c>
      <c r="M157">
        <v>25</v>
      </c>
      <c r="N157" s="92">
        <v>42736</v>
      </c>
      <c r="O157" s="92"/>
      <c r="Q157" t="s">
        <v>184</v>
      </c>
      <c r="R157">
        <v>2</v>
      </c>
    </row>
    <row r="158" spans="1:18" x14ac:dyDescent="0.25">
      <c r="A158" t="str">
        <f>TableSPPECULIN[[#This Row],[Study Package Code]]</f>
        <v>EDUC6025</v>
      </c>
      <c r="B158" s="1">
        <f>TableSPPECULIN[[#This Row],[Ver]]</f>
        <v>2</v>
      </c>
      <c r="D158" t="str">
        <f>TableSPPECULIN[[#This Row],[Structure Line]]</f>
        <v>Language Teaching Methodologies</v>
      </c>
      <c r="E158" s="53">
        <f>TableSPPECULIN[[#This Row],[Credit Points]]</f>
        <v>25</v>
      </c>
      <c r="F158">
        <v>3</v>
      </c>
      <c r="G158" t="s">
        <v>467</v>
      </c>
      <c r="H158">
        <v>1</v>
      </c>
      <c r="I158" t="s">
        <v>468</v>
      </c>
      <c r="J158" t="s">
        <v>167</v>
      </c>
      <c r="K158" s="1">
        <v>2</v>
      </c>
      <c r="L158" t="s">
        <v>403</v>
      </c>
      <c r="M158">
        <v>25</v>
      </c>
      <c r="N158" s="92">
        <v>44562</v>
      </c>
      <c r="O158" s="92"/>
      <c r="Q158" t="s">
        <v>167</v>
      </c>
      <c r="R158">
        <v>2</v>
      </c>
    </row>
    <row r="159" spans="1:18" x14ac:dyDescent="0.25">
      <c r="A159" t="str">
        <f>TableSPPECULIN[[#This Row],[Study Package Code]]</f>
        <v>EDUC6056</v>
      </c>
      <c r="B159" s="1">
        <f>TableSPPECULIN[[#This Row],[Ver]]</f>
        <v>1</v>
      </c>
      <c r="D159" t="str">
        <f>TableSPPECULIN[[#This Row],[Structure Line]]</f>
        <v>Leading Learning in Multilingual Contexts</v>
      </c>
      <c r="E159" s="53">
        <f>TableSPPECULIN[[#This Row],[Credit Points]]</f>
        <v>25</v>
      </c>
      <c r="F159">
        <v>4</v>
      </c>
      <c r="G159" t="s">
        <v>467</v>
      </c>
      <c r="H159">
        <v>1</v>
      </c>
      <c r="I159" t="s">
        <v>468</v>
      </c>
      <c r="J159" t="s">
        <v>210</v>
      </c>
      <c r="K159" s="1">
        <v>1</v>
      </c>
      <c r="L159" t="s">
        <v>412</v>
      </c>
      <c r="M159">
        <v>25</v>
      </c>
      <c r="N159" s="92">
        <v>44562</v>
      </c>
      <c r="O159" s="92"/>
      <c r="Q159" t="s">
        <v>210</v>
      </c>
      <c r="R159">
        <v>1</v>
      </c>
    </row>
    <row r="160" spans="1:18" x14ac:dyDescent="0.25">
      <c r="B160"/>
      <c r="E160"/>
      <c r="F160" s="50"/>
      <c r="G160" s="51" t="s">
        <v>453</v>
      </c>
      <c r="H160" s="254">
        <v>44562</v>
      </c>
      <c r="J160" s="257" t="s">
        <v>144</v>
      </c>
      <c r="K160" s="255" t="s">
        <v>58</v>
      </c>
      <c r="L160" s="50" t="s">
        <v>143</v>
      </c>
      <c r="N160" t="s">
        <v>454</v>
      </c>
      <c r="O160" s="226">
        <v>45548</v>
      </c>
    </row>
    <row r="161" spans="1:18" x14ac:dyDescent="0.25">
      <c r="A161" t="s">
        <v>0</v>
      </c>
      <c r="B161" s="1" t="s">
        <v>455</v>
      </c>
      <c r="C161" t="s">
        <v>456</v>
      </c>
      <c r="D161" t="s">
        <v>3</v>
      </c>
      <c r="E161" s="53" t="s">
        <v>457</v>
      </c>
      <c r="F161" t="s">
        <v>458</v>
      </c>
      <c r="G161" t="s">
        <v>459</v>
      </c>
      <c r="H161" t="s">
        <v>460</v>
      </c>
      <c r="I161" t="s">
        <v>21</v>
      </c>
      <c r="J161" t="s">
        <v>461</v>
      </c>
      <c r="K161" s="1" t="s">
        <v>1</v>
      </c>
      <c r="L161" t="s">
        <v>462</v>
      </c>
      <c r="M161" t="s">
        <v>55</v>
      </c>
      <c r="N161" s="104" t="s">
        <v>463</v>
      </c>
      <c r="O161" s="104" t="s">
        <v>464</v>
      </c>
      <c r="Q161" t="s">
        <v>465</v>
      </c>
      <c r="R161" t="s">
        <v>466</v>
      </c>
    </row>
    <row r="162" spans="1:18" x14ac:dyDescent="0.25">
      <c r="A162" t="str">
        <f>TableSPPELNTCH[[#This Row],[Study Package Code]]</f>
        <v>EDUC6050</v>
      </c>
      <c r="B162" s="1">
        <f>TableSPPELNTCH[[#This Row],[Ver]]</f>
        <v>1</v>
      </c>
      <c r="D162" t="str">
        <f>TableSPPELNTCH[[#This Row],[Structure Line]]</f>
        <v>Education for a Future: Learning for Sustainability</v>
      </c>
      <c r="E162" s="53">
        <f>TableSPPELNTCH[[#This Row],[Credit Points]]</f>
        <v>25</v>
      </c>
      <c r="F162">
        <v>1</v>
      </c>
      <c r="G162" t="s">
        <v>467</v>
      </c>
      <c r="H162">
        <v>1</v>
      </c>
      <c r="I162" t="s">
        <v>468</v>
      </c>
      <c r="J162" t="s">
        <v>217</v>
      </c>
      <c r="K162" s="1">
        <v>1</v>
      </c>
      <c r="L162" t="s">
        <v>409</v>
      </c>
      <c r="M162">
        <v>25</v>
      </c>
      <c r="N162" s="92">
        <v>44562</v>
      </c>
      <c r="O162" s="92"/>
      <c r="Q162" t="s">
        <v>217</v>
      </c>
      <c r="R162">
        <v>1</v>
      </c>
    </row>
    <row r="163" spans="1:18" x14ac:dyDescent="0.25">
      <c r="A163" t="str">
        <f>TableSPPELNTCH[[#This Row],[Study Package Code]]</f>
        <v>EDUC6052</v>
      </c>
      <c r="B163" s="1">
        <f>TableSPPELNTCH[[#This Row],[Ver]]</f>
        <v>1</v>
      </c>
      <c r="D163" t="str">
        <f>TableSPPELNTCH[[#This Row],[Structure Line]]</f>
        <v>Emerging Technologies and the Future of Learning</v>
      </c>
      <c r="E163" s="53">
        <f>TableSPPELNTCH[[#This Row],[Credit Points]]</f>
        <v>25</v>
      </c>
      <c r="F163">
        <v>2</v>
      </c>
      <c r="G163" t="s">
        <v>467</v>
      </c>
      <c r="H163">
        <v>1</v>
      </c>
      <c r="I163" t="s">
        <v>468</v>
      </c>
      <c r="J163" t="s">
        <v>216</v>
      </c>
      <c r="K163" s="1">
        <v>1</v>
      </c>
      <c r="L163" t="s">
        <v>410</v>
      </c>
      <c r="M163">
        <v>25</v>
      </c>
      <c r="N163" s="92">
        <v>44562</v>
      </c>
      <c r="O163" s="92"/>
      <c r="Q163" t="s">
        <v>216</v>
      </c>
      <c r="R163">
        <v>1</v>
      </c>
    </row>
    <row r="164" spans="1:18" x14ac:dyDescent="0.25">
      <c r="A164" t="str">
        <f>TableSPPELNTCH[[#This Row],[Study Package Code]]</f>
        <v>EDUC6054</v>
      </c>
      <c r="B164" s="1">
        <f>TableSPPELNTCH[[#This Row],[Ver]]</f>
        <v>1</v>
      </c>
      <c r="D164" t="str">
        <f>TableSPPELNTCH[[#This Row],[Structure Line]]</f>
        <v>Empowering Learners Through Social Justice Leadership</v>
      </c>
      <c r="E164" s="53">
        <f>TableSPPELNTCH[[#This Row],[Credit Points]]</f>
        <v>25</v>
      </c>
      <c r="F164">
        <v>3</v>
      </c>
      <c r="G164" t="s">
        <v>467</v>
      </c>
      <c r="H164">
        <v>1</v>
      </c>
      <c r="I164" t="s">
        <v>468</v>
      </c>
      <c r="J164" t="s">
        <v>211</v>
      </c>
      <c r="K164" s="1">
        <v>1</v>
      </c>
      <c r="L164" t="s">
        <v>411</v>
      </c>
      <c r="M164">
        <v>25</v>
      </c>
      <c r="N164" s="92">
        <v>44562</v>
      </c>
      <c r="O164" s="92"/>
      <c r="Q164" t="s">
        <v>211</v>
      </c>
      <c r="R164">
        <v>1</v>
      </c>
    </row>
    <row r="165" spans="1:18" x14ac:dyDescent="0.25">
      <c r="A165" t="str">
        <f>TableSPPELNTCH[[#This Row],[Study Package Code]]</f>
        <v>EDUC6058</v>
      </c>
      <c r="B165" s="1">
        <f>TableSPPELNTCH[[#This Row],[Ver]]</f>
        <v>1</v>
      </c>
      <c r="D165" t="str">
        <f>TableSPPELNTCH[[#This Row],[Structure Line]]</f>
        <v>Pedagogies for Learner and Community Diversity</v>
      </c>
      <c r="E165" s="53">
        <f>TableSPPELNTCH[[#This Row],[Credit Points]]</f>
        <v>25</v>
      </c>
      <c r="F165">
        <v>4</v>
      </c>
      <c r="G165" t="s">
        <v>467</v>
      </c>
      <c r="H165">
        <v>1</v>
      </c>
      <c r="I165" t="s">
        <v>468</v>
      </c>
      <c r="J165" t="s">
        <v>212</v>
      </c>
      <c r="K165" s="1">
        <v>1</v>
      </c>
      <c r="L165" t="s">
        <v>413</v>
      </c>
      <c r="M165">
        <v>25</v>
      </c>
      <c r="N165" s="92">
        <v>44562</v>
      </c>
      <c r="O165" s="92"/>
      <c r="Q165" t="s">
        <v>212</v>
      </c>
      <c r="R165">
        <v>1</v>
      </c>
    </row>
    <row r="166" spans="1:18" x14ac:dyDescent="0.25">
      <c r="B166"/>
      <c r="E166"/>
      <c r="F166" s="50"/>
      <c r="G166" s="51" t="s">
        <v>453</v>
      </c>
      <c r="H166" s="254">
        <v>44562</v>
      </c>
      <c r="J166" s="257" t="s">
        <v>146</v>
      </c>
      <c r="K166" s="255" t="s">
        <v>58</v>
      </c>
      <c r="L166" s="50" t="s">
        <v>145</v>
      </c>
      <c r="N166" t="s">
        <v>454</v>
      </c>
      <c r="O166" s="226">
        <v>45548</v>
      </c>
    </row>
    <row r="167" spans="1:18" x14ac:dyDescent="0.25">
      <c r="A167" t="s">
        <v>0</v>
      </c>
      <c r="B167" s="1" t="s">
        <v>455</v>
      </c>
      <c r="C167" t="s">
        <v>456</v>
      </c>
      <c r="D167" t="s">
        <v>3</v>
      </c>
      <c r="E167" s="53" t="s">
        <v>457</v>
      </c>
      <c r="F167" t="s">
        <v>458</v>
      </c>
      <c r="G167" t="s">
        <v>459</v>
      </c>
      <c r="H167" t="s">
        <v>460</v>
      </c>
      <c r="I167" t="s">
        <v>21</v>
      </c>
      <c r="J167" t="s">
        <v>461</v>
      </c>
      <c r="K167" s="1" t="s">
        <v>1</v>
      </c>
      <c r="L167" t="s">
        <v>462</v>
      </c>
      <c r="M167" t="s">
        <v>55</v>
      </c>
      <c r="N167" s="104" t="s">
        <v>463</v>
      </c>
      <c r="O167" s="104" t="s">
        <v>464</v>
      </c>
      <c r="Q167" t="s">
        <v>465</v>
      </c>
      <c r="R167" t="s">
        <v>466</v>
      </c>
    </row>
    <row r="168" spans="1:18" x14ac:dyDescent="0.25">
      <c r="A168" t="str">
        <f>TableSPPESTEME[[#This Row],[Study Package Code]]</f>
        <v>EDUC6060</v>
      </c>
      <c r="B168" s="1">
        <f>TableSPPESTEME[[#This Row],[Ver]]</f>
        <v>1</v>
      </c>
      <c r="D168" t="str">
        <f>TableSPPESTEME[[#This Row],[Structure Line]]</f>
        <v>Becoming a Leader of STEM Education</v>
      </c>
      <c r="E168" s="53">
        <f>TableSPPESTEME[[#This Row],[Credit Points]]</f>
        <v>25</v>
      </c>
      <c r="F168">
        <v>1</v>
      </c>
      <c r="G168" t="s">
        <v>467</v>
      </c>
      <c r="H168">
        <v>1</v>
      </c>
      <c r="I168" t="s">
        <v>468</v>
      </c>
      <c r="J168" t="s">
        <v>213</v>
      </c>
      <c r="K168" s="1">
        <v>1</v>
      </c>
      <c r="L168" t="s">
        <v>414</v>
      </c>
      <c r="M168">
        <v>25</v>
      </c>
      <c r="N168" s="92">
        <v>44562</v>
      </c>
      <c r="O168" s="92"/>
      <c r="Q168" t="s">
        <v>213</v>
      </c>
      <c r="R168">
        <v>1</v>
      </c>
    </row>
    <row r="169" spans="1:18" x14ac:dyDescent="0.25">
      <c r="A169" t="str">
        <f>TableSPPESTEME[[#This Row],[Study Package Code]]</f>
        <v>EDUC6048</v>
      </c>
      <c r="B169" s="1">
        <f>TableSPPESTEME[[#This Row],[Ver]]</f>
        <v>1</v>
      </c>
      <c r="D169" t="str">
        <f>TableSPPESTEME[[#This Row],[Structure Line]]</f>
        <v>Designing STEM Integration</v>
      </c>
      <c r="E169" s="53">
        <f>TableSPPESTEME[[#This Row],[Credit Points]]</f>
        <v>25</v>
      </c>
      <c r="F169">
        <v>2</v>
      </c>
      <c r="G169" t="s">
        <v>467</v>
      </c>
      <c r="H169">
        <v>1</v>
      </c>
      <c r="I169" t="s">
        <v>468</v>
      </c>
      <c r="J169" t="s">
        <v>214</v>
      </c>
      <c r="K169" s="1">
        <v>1</v>
      </c>
      <c r="L169" t="s">
        <v>408</v>
      </c>
      <c r="M169">
        <v>25</v>
      </c>
      <c r="N169" s="92">
        <v>44562</v>
      </c>
      <c r="O169" s="92"/>
      <c r="Q169" t="s">
        <v>214</v>
      </c>
      <c r="R169">
        <v>1</v>
      </c>
    </row>
    <row r="170" spans="1:18" x14ac:dyDescent="0.25">
      <c r="A170" t="str">
        <f>TableSPPESTEME[[#This Row],[Study Package Code]]</f>
        <v>EDUC6050</v>
      </c>
      <c r="B170" s="1">
        <f>TableSPPESTEME[[#This Row],[Ver]]</f>
        <v>1</v>
      </c>
      <c r="D170" t="str">
        <f>TableSPPESTEME[[#This Row],[Structure Line]]</f>
        <v>Education for a Future: Learning for Sustainability</v>
      </c>
      <c r="E170" s="53">
        <f>TableSPPESTEME[[#This Row],[Credit Points]]</f>
        <v>25</v>
      </c>
      <c r="F170">
        <v>3</v>
      </c>
      <c r="G170" t="s">
        <v>467</v>
      </c>
      <c r="H170">
        <v>1</v>
      </c>
      <c r="I170" t="s">
        <v>468</v>
      </c>
      <c r="J170" t="s">
        <v>217</v>
      </c>
      <c r="K170" s="1">
        <v>1</v>
      </c>
      <c r="L170" t="s">
        <v>409</v>
      </c>
      <c r="M170">
        <v>25</v>
      </c>
      <c r="N170" s="92">
        <v>44562</v>
      </c>
      <c r="O170" s="92"/>
      <c r="Q170" t="s">
        <v>217</v>
      </c>
      <c r="R170">
        <v>1</v>
      </c>
    </row>
    <row r="171" spans="1:18" x14ac:dyDescent="0.25">
      <c r="A171" t="str">
        <f>TableSPPESTEME[[#This Row],[Study Package Code]]</f>
        <v>EDUC6052</v>
      </c>
      <c r="B171" s="1">
        <f>TableSPPESTEME[[#This Row],[Ver]]</f>
        <v>1</v>
      </c>
      <c r="D171" t="str">
        <f>TableSPPESTEME[[#This Row],[Structure Line]]</f>
        <v>Emerging Technologies and the Future of Learning</v>
      </c>
      <c r="E171" s="53">
        <f>TableSPPESTEME[[#This Row],[Credit Points]]</f>
        <v>25</v>
      </c>
      <c r="F171">
        <v>4</v>
      </c>
      <c r="G171" t="s">
        <v>467</v>
      </c>
      <c r="H171">
        <v>1</v>
      </c>
      <c r="I171" t="s">
        <v>468</v>
      </c>
      <c r="J171" t="s">
        <v>216</v>
      </c>
      <c r="K171" s="1">
        <v>1</v>
      </c>
      <c r="L171" t="s">
        <v>410</v>
      </c>
      <c r="M171">
        <v>25</v>
      </c>
      <c r="N171" s="92">
        <v>44562</v>
      </c>
      <c r="O171" s="92"/>
      <c r="Q171" t="s">
        <v>216</v>
      </c>
      <c r="R171">
        <v>1</v>
      </c>
    </row>
    <row r="172" spans="1:18" x14ac:dyDescent="0.25">
      <c r="B172"/>
      <c r="E172"/>
      <c r="F172" s="50"/>
      <c r="G172" s="51" t="s">
        <v>453</v>
      </c>
      <c r="H172" s="225">
        <v>44197</v>
      </c>
      <c r="J172" s="50" t="s">
        <v>57</v>
      </c>
      <c r="K172" s="52" t="s">
        <v>58</v>
      </c>
      <c r="L172" s="50" t="s">
        <v>47</v>
      </c>
      <c r="N172" t="s">
        <v>454</v>
      </c>
      <c r="O172" s="226"/>
    </row>
    <row r="173" spans="1:18" x14ac:dyDescent="0.25">
      <c r="A173" t="s">
        <v>0</v>
      </c>
      <c r="B173" s="1" t="s">
        <v>455</v>
      </c>
      <c r="C173" t="s">
        <v>456</v>
      </c>
      <c r="D173" t="s">
        <v>3</v>
      </c>
      <c r="E173" s="53" t="s">
        <v>457</v>
      </c>
      <c r="F173" t="s">
        <v>458</v>
      </c>
      <c r="G173" t="s">
        <v>459</v>
      </c>
      <c r="H173" t="s">
        <v>460</v>
      </c>
      <c r="I173" t="s">
        <v>21</v>
      </c>
      <c r="J173" t="s">
        <v>461</v>
      </c>
      <c r="K173" s="1" t="s">
        <v>1</v>
      </c>
      <c r="L173" t="s">
        <v>462</v>
      </c>
      <c r="M173" t="s">
        <v>55</v>
      </c>
      <c r="N173" s="104" t="s">
        <v>463</v>
      </c>
      <c r="O173" s="104" t="s">
        <v>464</v>
      </c>
      <c r="Q173" t="s">
        <v>465</v>
      </c>
      <c r="R173" t="s">
        <v>466</v>
      </c>
    </row>
    <row r="174" spans="1:18" x14ac:dyDescent="0.25">
      <c r="A174" t="str">
        <f>TableGCEDUC[[#This Row],[Study Package Code]]</f>
        <v>Opt-GCEDUC</v>
      </c>
      <c r="B174" s="1">
        <f>TableGCEDUC[[#This Row],[Ver]]</f>
        <v>0</v>
      </c>
      <c r="D174" t="str">
        <f>TableGCEDUC[[#This Row],[Structure Line]]</f>
        <v>Choose Options</v>
      </c>
      <c r="E174" s="53">
        <f>TableGCEDUC[[#This Row],[Credit Points]]</f>
        <v>100</v>
      </c>
      <c r="F174">
        <v>1</v>
      </c>
      <c r="G174" t="s">
        <v>438</v>
      </c>
      <c r="H174">
        <v>1</v>
      </c>
      <c r="I174" t="s">
        <v>468</v>
      </c>
      <c r="J174" t="s">
        <v>247</v>
      </c>
      <c r="K174" s="1">
        <v>0</v>
      </c>
      <c r="L174" t="s">
        <v>476</v>
      </c>
      <c r="M174">
        <v>100</v>
      </c>
      <c r="N174" s="92"/>
      <c r="O174" s="92"/>
      <c r="Q174" t="s">
        <v>438</v>
      </c>
      <c r="R174">
        <v>0</v>
      </c>
    </row>
    <row r="175" spans="1:18" x14ac:dyDescent="0.25">
      <c r="A175" t="str">
        <f>TableGCEDUC[[#This Row],[Study Package Code]]</f>
        <v>EDEC5002</v>
      </c>
      <c r="B175" s="1">
        <f>TableGCEDUC[[#This Row],[Ver]]</f>
        <v>1</v>
      </c>
      <c r="D175" t="str">
        <f>TableGCEDUC[[#This Row],[Structure Line]]</f>
        <v>Numeracy for 5 to 8 Year-Olds</v>
      </c>
      <c r="E175" s="53">
        <f>TableGCEDUC[[#This Row],[Credit Points]]</f>
        <v>25</v>
      </c>
      <c r="F175">
        <v>1</v>
      </c>
      <c r="G175" t="s">
        <v>438</v>
      </c>
      <c r="H175">
        <v>1</v>
      </c>
      <c r="I175" t="s">
        <v>468</v>
      </c>
      <c r="J175" t="s">
        <v>83</v>
      </c>
      <c r="K175" s="1">
        <v>1</v>
      </c>
      <c r="L175" t="s">
        <v>347</v>
      </c>
      <c r="M175">
        <v>25</v>
      </c>
      <c r="N175" s="92">
        <v>43101</v>
      </c>
      <c r="O175" s="92"/>
      <c r="Q175" t="s">
        <v>83</v>
      </c>
      <c r="R175">
        <v>1</v>
      </c>
    </row>
    <row r="176" spans="1:18" x14ac:dyDescent="0.25">
      <c r="A176" t="str">
        <f>TableGCEDUC[[#This Row],[Study Package Code]]</f>
        <v>EDEC5005</v>
      </c>
      <c r="B176" s="1">
        <f>TableGCEDUC[[#This Row],[Ver]]</f>
        <v>1</v>
      </c>
      <c r="D176" t="str">
        <f>TableGCEDUC[[#This Row],[Structure Line]]</f>
        <v>Humanities and Science in Early Childhood</v>
      </c>
      <c r="E176" s="53">
        <f>TableGCEDUC[[#This Row],[Credit Points]]</f>
        <v>25</v>
      </c>
      <c r="F176">
        <v>1</v>
      </c>
      <c r="G176" t="s">
        <v>438</v>
      </c>
      <c r="H176">
        <v>1</v>
      </c>
      <c r="I176" t="s">
        <v>468</v>
      </c>
      <c r="J176" t="s">
        <v>111</v>
      </c>
      <c r="K176" s="1">
        <v>1</v>
      </c>
      <c r="L176" t="s">
        <v>349</v>
      </c>
      <c r="M176">
        <v>25</v>
      </c>
      <c r="N176" s="92">
        <v>43101</v>
      </c>
      <c r="O176" s="92"/>
      <c r="Q176" t="s">
        <v>111</v>
      </c>
      <c r="R176">
        <v>1</v>
      </c>
    </row>
    <row r="177" spans="1:18" x14ac:dyDescent="0.25">
      <c r="A177" t="str">
        <f>TableGCEDUC[[#This Row],[Study Package Code]]</f>
        <v>EDEC5006</v>
      </c>
      <c r="B177" s="1">
        <f>TableGCEDUC[[#This Row],[Ver]]</f>
        <v>1</v>
      </c>
      <c r="D177" t="str">
        <f>TableGCEDUC[[#This Row],[Structure Line]]</f>
        <v>Creative and Media Arts in Early Childhood</v>
      </c>
      <c r="E177" s="53">
        <f>TableGCEDUC[[#This Row],[Credit Points]]</f>
        <v>25</v>
      </c>
      <c r="F177">
        <v>1</v>
      </c>
      <c r="G177" t="s">
        <v>438</v>
      </c>
      <c r="H177">
        <v>1</v>
      </c>
      <c r="I177" t="s">
        <v>468</v>
      </c>
      <c r="J177" t="s">
        <v>119</v>
      </c>
      <c r="K177" s="1">
        <v>1</v>
      </c>
      <c r="L177" t="s">
        <v>350</v>
      </c>
      <c r="M177">
        <v>25</v>
      </c>
      <c r="N177" s="92">
        <v>43101</v>
      </c>
      <c r="O177" s="92"/>
      <c r="Q177" t="s">
        <v>119</v>
      </c>
      <c r="R177">
        <v>1</v>
      </c>
    </row>
    <row r="178" spans="1:18" x14ac:dyDescent="0.25">
      <c r="A178" t="str">
        <f>TableGCEDUC[[#This Row],[Study Package Code]]</f>
        <v>EDPR5003</v>
      </c>
      <c r="B178" s="1">
        <f>TableGCEDUC[[#This Row],[Ver]]</f>
        <v>1</v>
      </c>
      <c r="D178" t="str">
        <f>TableGCEDUC[[#This Row],[Structure Line]]</f>
        <v>Teaching Number, Algebra and Probability in the Primary Years</v>
      </c>
      <c r="E178" s="53">
        <f>TableGCEDUC[[#This Row],[Credit Points]]</f>
        <v>25</v>
      </c>
      <c r="F178">
        <v>1</v>
      </c>
      <c r="G178" t="s">
        <v>438</v>
      </c>
      <c r="H178">
        <v>1</v>
      </c>
      <c r="I178" t="s">
        <v>468</v>
      </c>
      <c r="J178" t="s">
        <v>89</v>
      </c>
      <c r="K178" s="1">
        <v>1</v>
      </c>
      <c r="L178" t="s">
        <v>362</v>
      </c>
      <c r="M178">
        <v>25</v>
      </c>
      <c r="N178" s="92">
        <v>43101</v>
      </c>
      <c r="O178" s="92"/>
      <c r="Q178" t="s">
        <v>89</v>
      </c>
      <c r="R178">
        <v>1</v>
      </c>
    </row>
    <row r="179" spans="1:18" x14ac:dyDescent="0.25">
      <c r="A179" t="str">
        <f>TableGCEDUC[[#This Row],[Study Package Code]]</f>
        <v>EDPR5004</v>
      </c>
      <c r="B179" s="1">
        <f>TableGCEDUC[[#This Row],[Ver]]</f>
        <v>1</v>
      </c>
      <c r="D179" t="str">
        <f>TableGCEDUC[[#This Row],[Structure Line]]</f>
        <v>Teaching Humanities and Social Sciences in the Primary Years</v>
      </c>
      <c r="E179" s="53">
        <f>TableGCEDUC[[#This Row],[Credit Points]]</f>
        <v>25</v>
      </c>
      <c r="F179">
        <v>1</v>
      </c>
      <c r="G179" t="s">
        <v>438</v>
      </c>
      <c r="H179">
        <v>1</v>
      </c>
      <c r="I179" t="s">
        <v>468</v>
      </c>
      <c r="J179" t="s">
        <v>112</v>
      </c>
      <c r="K179" s="1">
        <v>1</v>
      </c>
      <c r="L179" t="s">
        <v>364</v>
      </c>
      <c r="M179">
        <v>25</v>
      </c>
      <c r="N179" s="92">
        <v>43101</v>
      </c>
      <c r="O179" s="92"/>
      <c r="Q179" t="s">
        <v>112</v>
      </c>
      <c r="R179">
        <v>1</v>
      </c>
    </row>
    <row r="180" spans="1:18" x14ac:dyDescent="0.25">
      <c r="A180" t="str">
        <f>TableGCEDUC[[#This Row],[Study Package Code]]</f>
        <v>EDPR5005</v>
      </c>
      <c r="B180" s="1">
        <f>TableGCEDUC[[#This Row],[Ver]]</f>
        <v>1</v>
      </c>
      <c r="D180" t="str">
        <f>TableGCEDUC[[#This Row],[Structure Line]]</f>
        <v>Teaching Science in the Primary Years</v>
      </c>
      <c r="E180" s="53">
        <f>TableGCEDUC[[#This Row],[Credit Points]]</f>
        <v>25</v>
      </c>
      <c r="F180">
        <v>1</v>
      </c>
      <c r="G180" t="s">
        <v>438</v>
      </c>
      <c r="H180">
        <v>1</v>
      </c>
      <c r="I180" t="s">
        <v>468</v>
      </c>
      <c r="J180" t="s">
        <v>108</v>
      </c>
      <c r="K180" s="1">
        <v>1</v>
      </c>
      <c r="L180" t="s">
        <v>365</v>
      </c>
      <c r="M180">
        <v>25</v>
      </c>
      <c r="N180" s="92">
        <v>43101</v>
      </c>
      <c r="O180" s="92"/>
      <c r="Q180" t="s">
        <v>108</v>
      </c>
      <c r="R180">
        <v>1</v>
      </c>
    </row>
    <row r="181" spans="1:18" x14ac:dyDescent="0.25">
      <c r="A181" t="str">
        <f>TableGCEDUC[[#This Row],[Study Package Code]]</f>
        <v>EDPR5008</v>
      </c>
      <c r="B181" s="1">
        <f>TableGCEDUC[[#This Row],[Ver]]</f>
        <v>1</v>
      </c>
      <c r="D181" t="str">
        <f>TableGCEDUC[[#This Row],[Structure Line]]</f>
        <v>Teaching Arts in the Primary Years</v>
      </c>
      <c r="E181" s="53">
        <f>TableGCEDUC[[#This Row],[Credit Points]]</f>
        <v>25</v>
      </c>
      <c r="F181">
        <v>1</v>
      </c>
      <c r="G181" t="s">
        <v>438</v>
      </c>
      <c r="H181">
        <v>1</v>
      </c>
      <c r="I181" t="s">
        <v>468</v>
      </c>
      <c r="J181" t="s">
        <v>117</v>
      </c>
      <c r="K181" s="1">
        <v>1</v>
      </c>
      <c r="L181" t="s">
        <v>367</v>
      </c>
      <c r="M181">
        <v>25</v>
      </c>
      <c r="N181" s="92">
        <v>43101</v>
      </c>
      <c r="O181" s="92"/>
      <c r="Q181" t="s">
        <v>117</v>
      </c>
      <c r="R181">
        <v>1</v>
      </c>
    </row>
    <row r="182" spans="1:18" x14ac:dyDescent="0.25">
      <c r="A182" t="str">
        <f>TableGCEDUC[[#This Row],[Study Package Code]]</f>
        <v>EDSC5022</v>
      </c>
      <c r="B182" s="1">
        <f>TableGCEDUC[[#This Row],[Ver]]</f>
        <v>1</v>
      </c>
      <c r="D182" t="str">
        <f>TableGCEDUC[[#This Row],[Structure Line]]</f>
        <v>Managing the Learning Environment</v>
      </c>
      <c r="E182" s="53">
        <f>TableGCEDUC[[#This Row],[Credit Points]]</f>
        <v>25</v>
      </c>
      <c r="F182">
        <v>1</v>
      </c>
      <c r="G182" t="s">
        <v>438</v>
      </c>
      <c r="H182">
        <v>1</v>
      </c>
      <c r="I182" t="s">
        <v>468</v>
      </c>
      <c r="J182" t="s">
        <v>185</v>
      </c>
      <c r="K182" s="1">
        <v>1</v>
      </c>
      <c r="L182" t="s">
        <v>371</v>
      </c>
      <c r="M182">
        <v>25</v>
      </c>
      <c r="N182" s="92">
        <v>43101</v>
      </c>
      <c r="O182" s="92"/>
      <c r="Q182" t="s">
        <v>185</v>
      </c>
      <c r="R182">
        <v>1</v>
      </c>
    </row>
    <row r="183" spans="1:18" x14ac:dyDescent="0.25">
      <c r="A183" t="str">
        <f>TableGCEDUC[[#This Row],[Study Package Code]]</f>
        <v>EDUC5005</v>
      </c>
      <c r="B183" s="1">
        <f>TableGCEDUC[[#This Row],[Ver]]</f>
        <v>2</v>
      </c>
      <c r="D183" t="str">
        <f>TableGCEDUC[[#This Row],[Structure Line]]</f>
        <v>Theories of Development and Learning</v>
      </c>
      <c r="E183" s="53">
        <f>TableGCEDUC[[#This Row],[Credit Points]]</f>
        <v>25</v>
      </c>
      <c r="F183">
        <v>1</v>
      </c>
      <c r="G183" t="s">
        <v>438</v>
      </c>
      <c r="H183">
        <v>1</v>
      </c>
      <c r="I183" t="s">
        <v>468</v>
      </c>
      <c r="J183" t="s">
        <v>74</v>
      </c>
      <c r="K183" s="1">
        <v>2</v>
      </c>
      <c r="L183" t="s">
        <v>390</v>
      </c>
      <c r="M183">
        <v>25</v>
      </c>
      <c r="N183" s="92">
        <v>44197</v>
      </c>
      <c r="O183" s="92"/>
      <c r="Q183" t="s">
        <v>74</v>
      </c>
      <c r="R183">
        <v>2</v>
      </c>
    </row>
    <row r="184" spans="1:18" x14ac:dyDescent="0.25">
      <c r="A184" t="str">
        <f>TableGCEDUC[[#This Row],[Study Package Code]]</f>
        <v>EDUC5006</v>
      </c>
      <c r="B184" s="1">
        <f>TableGCEDUC[[#This Row],[Ver]]</f>
        <v>1</v>
      </c>
      <c r="D184" t="str">
        <f>TableGCEDUC[[#This Row],[Structure Line]]</f>
        <v>Creative Technologies</v>
      </c>
      <c r="E184" s="53">
        <f>TableGCEDUC[[#This Row],[Credit Points]]</f>
        <v>25</v>
      </c>
      <c r="F184">
        <v>1</v>
      </c>
      <c r="G184" t="s">
        <v>438</v>
      </c>
      <c r="H184">
        <v>1</v>
      </c>
      <c r="I184" t="s">
        <v>468</v>
      </c>
      <c r="J184" t="s">
        <v>97</v>
      </c>
      <c r="K184" s="1">
        <v>1</v>
      </c>
      <c r="L184" t="s">
        <v>391</v>
      </c>
      <c r="M184">
        <v>25</v>
      </c>
      <c r="N184" s="92">
        <v>43101</v>
      </c>
      <c r="O184" s="92"/>
      <c r="Q184" t="s">
        <v>97</v>
      </c>
      <c r="R184">
        <v>1</v>
      </c>
    </row>
    <row r="185" spans="1:18" x14ac:dyDescent="0.25">
      <c r="A185" t="str">
        <f>TableGCEDUC[[#This Row],[Study Package Code]]</f>
        <v>EDUC5009</v>
      </c>
      <c r="B185" s="1">
        <f>TableGCEDUC[[#This Row],[Ver]]</f>
        <v>1</v>
      </c>
      <c r="D185" t="str">
        <f>TableGCEDUC[[#This Row],[Structure Line]]</f>
        <v>Pedagogies for Diversity</v>
      </c>
      <c r="E185" s="53">
        <f>TableGCEDUC[[#This Row],[Credit Points]]</f>
        <v>25</v>
      </c>
      <c r="F185">
        <v>1</v>
      </c>
      <c r="G185" t="s">
        <v>438</v>
      </c>
      <c r="H185">
        <v>1</v>
      </c>
      <c r="I185" t="s">
        <v>468</v>
      </c>
      <c r="J185" t="s">
        <v>98</v>
      </c>
      <c r="K185" s="1">
        <v>1</v>
      </c>
      <c r="L185" t="s">
        <v>392</v>
      </c>
      <c r="M185">
        <v>25</v>
      </c>
      <c r="N185" s="92">
        <v>43101</v>
      </c>
      <c r="O185" s="92"/>
      <c r="Q185" t="s">
        <v>98</v>
      </c>
      <c r="R185">
        <v>1</v>
      </c>
    </row>
    <row r="186" spans="1:18" x14ac:dyDescent="0.25">
      <c r="A186" t="str">
        <f>TableGCEDUC[[#This Row],[Study Package Code]]</f>
        <v>EDUC5011</v>
      </c>
      <c r="B186" s="1">
        <f>TableGCEDUC[[#This Row],[Ver]]</f>
        <v>1</v>
      </c>
      <c r="D186" t="str">
        <f>TableGCEDUC[[#This Row],[Structure Line]]</f>
        <v>Developing Positive Learning Environments</v>
      </c>
      <c r="E186" s="53">
        <f>TableGCEDUC[[#This Row],[Credit Points]]</f>
        <v>25</v>
      </c>
      <c r="F186">
        <v>1</v>
      </c>
      <c r="G186" t="s">
        <v>438</v>
      </c>
      <c r="H186">
        <v>1</v>
      </c>
      <c r="I186" t="s">
        <v>468</v>
      </c>
      <c r="J186" t="s">
        <v>88</v>
      </c>
      <c r="K186" s="1">
        <v>1</v>
      </c>
      <c r="L186" t="s">
        <v>393</v>
      </c>
      <c r="M186">
        <v>25</v>
      </c>
      <c r="N186" s="92">
        <v>43101</v>
      </c>
      <c r="O186" s="92"/>
      <c r="Q186" t="s">
        <v>88</v>
      </c>
      <c r="R186">
        <v>1</v>
      </c>
    </row>
    <row r="187" spans="1:18" x14ac:dyDescent="0.25">
      <c r="A187" t="str">
        <f>TableGCEDUC[[#This Row],[Study Package Code]]</f>
        <v>EDUC5033</v>
      </c>
      <c r="B187" s="1">
        <f>TableGCEDUC[[#This Row],[Ver]]</f>
        <v>1</v>
      </c>
      <c r="D187" t="str">
        <f>TableGCEDUC[[#This Row],[Structure Line]]</f>
        <v>Mentoring, Coaching and Tutoring</v>
      </c>
      <c r="E187" s="53">
        <f>TableGCEDUC[[#This Row],[Credit Points]]</f>
        <v>25</v>
      </c>
      <c r="F187">
        <v>1</v>
      </c>
      <c r="G187" t="s">
        <v>438</v>
      </c>
      <c r="H187">
        <v>1</v>
      </c>
      <c r="I187" t="s">
        <v>468</v>
      </c>
      <c r="J187" t="s">
        <v>182</v>
      </c>
      <c r="K187" s="1">
        <v>1</v>
      </c>
      <c r="L187" t="s">
        <v>399</v>
      </c>
      <c r="M187">
        <v>25</v>
      </c>
      <c r="N187" s="92">
        <v>44562</v>
      </c>
      <c r="O187" s="92"/>
      <c r="Q187" t="s">
        <v>182</v>
      </c>
      <c r="R187">
        <v>1</v>
      </c>
    </row>
    <row r="188" spans="1:18" x14ac:dyDescent="0.25">
      <c r="A188" t="str">
        <f>TableGCEDUC[[#This Row],[Study Package Code]]</f>
        <v>SPPE-STEME</v>
      </c>
      <c r="B188" s="1">
        <f>TableGCEDUC[[#This Row],[Ver]]</f>
        <v>1</v>
      </c>
      <c r="D188" t="str">
        <f>TableGCEDUC[[#This Row],[Structure Line]]</f>
        <v>Innovative STEM Education Specialisation (MEd)</v>
      </c>
      <c r="E188" s="53">
        <f>TableGCEDUC[[#This Row],[Credit Points]]</f>
        <v>100</v>
      </c>
      <c r="F188">
        <v>1</v>
      </c>
      <c r="G188" t="s">
        <v>438</v>
      </c>
      <c r="H188">
        <v>1</v>
      </c>
      <c r="I188" t="s">
        <v>468</v>
      </c>
      <c r="J188" t="s">
        <v>146</v>
      </c>
      <c r="K188" s="1">
        <v>1</v>
      </c>
      <c r="L188" t="s">
        <v>145</v>
      </c>
      <c r="M188">
        <v>100</v>
      </c>
      <c r="N188" s="92">
        <v>44562</v>
      </c>
      <c r="O188" s="92"/>
    </row>
    <row r="190" spans="1:18" x14ac:dyDescent="0.25">
      <c r="B190"/>
      <c r="E190"/>
      <c r="F190" s="50"/>
      <c r="G190" s="51" t="s">
        <v>453</v>
      </c>
      <c r="H190" s="254">
        <v>43466</v>
      </c>
      <c r="J190" s="257" t="s">
        <v>71</v>
      </c>
      <c r="K190" s="255" t="s">
        <v>58</v>
      </c>
      <c r="L190" s="50" t="s">
        <v>48</v>
      </c>
      <c r="N190" t="s">
        <v>454</v>
      </c>
      <c r="O190" s="226">
        <v>45548</v>
      </c>
    </row>
    <row r="191" spans="1:18" x14ac:dyDescent="0.25">
      <c r="A191" t="s">
        <v>0</v>
      </c>
      <c r="B191" s="1" t="s">
        <v>455</v>
      </c>
      <c r="C191" t="s">
        <v>456</v>
      </c>
      <c r="D191" t="s">
        <v>3</v>
      </c>
      <c r="E191" s="53" t="s">
        <v>457</v>
      </c>
      <c r="F191" t="s">
        <v>458</v>
      </c>
      <c r="G191" t="s">
        <v>459</v>
      </c>
      <c r="H191" t="s">
        <v>460</v>
      </c>
      <c r="I191" t="s">
        <v>21</v>
      </c>
      <c r="J191" t="s">
        <v>461</v>
      </c>
      <c r="K191" s="1" t="s">
        <v>1</v>
      </c>
      <c r="L191" t="s">
        <v>462</v>
      </c>
      <c r="M191" t="s">
        <v>55</v>
      </c>
      <c r="N191" s="104" t="s">
        <v>463</v>
      </c>
      <c r="O191" s="104" t="s">
        <v>464</v>
      </c>
      <c r="Q191" t="s">
        <v>465</v>
      </c>
      <c r="R191" t="s">
        <v>466</v>
      </c>
    </row>
    <row r="192" spans="1:18" x14ac:dyDescent="0.25">
      <c r="A192" t="str">
        <f>TableGCEDHE[[#This Row],[Study Package Code]]</f>
        <v>EDHE5007</v>
      </c>
      <c r="B192" s="1">
        <f>TableGCEDHE[[#This Row],[Ver]]</f>
        <v>1</v>
      </c>
      <c r="D192" t="str">
        <f>TableGCEDHE[[#This Row],[Structure Line]]</f>
        <v>The Learning Cycle: Design and Curriculum</v>
      </c>
      <c r="E192" s="53">
        <f>TableGCEDHE[[#This Row],[Credit Points]]</f>
        <v>25</v>
      </c>
      <c r="F192">
        <v>1</v>
      </c>
      <c r="G192" t="s">
        <v>467</v>
      </c>
      <c r="H192">
        <v>0</v>
      </c>
      <c r="I192" t="s">
        <v>468</v>
      </c>
      <c r="J192" t="s">
        <v>245</v>
      </c>
      <c r="K192" s="1">
        <v>1</v>
      </c>
      <c r="L192" t="s">
        <v>356</v>
      </c>
      <c r="M192">
        <v>25</v>
      </c>
      <c r="N192" s="92">
        <v>43466</v>
      </c>
      <c r="O192" s="92"/>
      <c r="Q192" t="s">
        <v>245</v>
      </c>
      <c r="R192">
        <v>1</v>
      </c>
    </row>
    <row r="193" spans="1:18" x14ac:dyDescent="0.25">
      <c r="A193" t="str">
        <f>TableGCEDHE[[#This Row],[Study Package Code]]</f>
        <v>EDHE5008</v>
      </c>
      <c r="B193" s="1">
        <f>TableGCEDHE[[#This Row],[Ver]]</f>
        <v>1</v>
      </c>
      <c r="D193" t="str">
        <f>TableGCEDHE[[#This Row],[Structure Line]]</f>
        <v>Design Thinking and Educational Innovation</v>
      </c>
      <c r="E193" s="53">
        <f>TableGCEDHE[[#This Row],[Credit Points]]</f>
        <v>25</v>
      </c>
      <c r="F193">
        <v>2</v>
      </c>
      <c r="G193" t="s">
        <v>467</v>
      </c>
      <c r="H193">
        <v>0</v>
      </c>
      <c r="I193" t="s">
        <v>468</v>
      </c>
      <c r="J193" t="s">
        <v>246</v>
      </c>
      <c r="K193" s="1">
        <v>1</v>
      </c>
      <c r="L193" t="s">
        <v>357</v>
      </c>
      <c r="M193">
        <v>25</v>
      </c>
      <c r="N193" s="92">
        <v>43466</v>
      </c>
      <c r="O193" s="92"/>
      <c r="Q193" t="s">
        <v>246</v>
      </c>
      <c r="R193">
        <v>1</v>
      </c>
    </row>
    <row r="194" spans="1:18" x14ac:dyDescent="0.25">
      <c r="A194" t="str">
        <f>TableGCEDHE[[#This Row],[Study Package Code]]</f>
        <v>EDHE5010</v>
      </c>
      <c r="B194" s="1">
        <f>TableGCEDHE[[#This Row],[Ver]]</f>
        <v>1</v>
      </c>
      <c r="D194" t="str">
        <f>TableGCEDHE[[#This Row],[Structure Line]]</f>
        <v>Research for the Scholarship of Learning and Teaching</v>
      </c>
      <c r="E194" s="53">
        <f>TableGCEDHE[[#This Row],[Credit Points]]</f>
        <v>25</v>
      </c>
      <c r="F194">
        <v>3</v>
      </c>
      <c r="G194" t="s">
        <v>467</v>
      </c>
      <c r="H194">
        <v>0</v>
      </c>
      <c r="I194" t="s">
        <v>468</v>
      </c>
      <c r="J194" t="s">
        <v>248</v>
      </c>
      <c r="K194" s="1">
        <v>1</v>
      </c>
      <c r="L194" t="s">
        <v>358</v>
      </c>
      <c r="M194">
        <v>25</v>
      </c>
      <c r="N194" s="92">
        <v>43466</v>
      </c>
      <c r="O194" s="92"/>
      <c r="Q194" t="s">
        <v>248</v>
      </c>
      <c r="R194">
        <v>1</v>
      </c>
    </row>
    <row r="195" spans="1:18" x14ac:dyDescent="0.25">
      <c r="A195" t="str">
        <f>TableGCEDHE[[#This Row],[Study Package Code]]</f>
        <v>EDHE5011</v>
      </c>
      <c r="B195" s="1">
        <f>TableGCEDHE[[#This Row],[Ver]]</f>
        <v>1</v>
      </c>
      <c r="D195" t="str">
        <f>TableGCEDHE[[#This Row],[Structure Line]]</f>
        <v>Teaching Portfolio</v>
      </c>
      <c r="E195" s="53">
        <f>TableGCEDHE[[#This Row],[Credit Points]]</f>
        <v>25</v>
      </c>
      <c r="F195">
        <v>4</v>
      </c>
      <c r="G195" t="s">
        <v>467</v>
      </c>
      <c r="H195">
        <v>0</v>
      </c>
      <c r="I195" t="s">
        <v>468</v>
      </c>
      <c r="J195" t="s">
        <v>249</v>
      </c>
      <c r="K195" s="1">
        <v>1</v>
      </c>
      <c r="L195" t="s">
        <v>359</v>
      </c>
      <c r="M195">
        <v>25</v>
      </c>
      <c r="N195" s="92">
        <v>43466</v>
      </c>
      <c r="O195" s="92"/>
      <c r="Q195" t="s">
        <v>249</v>
      </c>
      <c r="R195">
        <v>1</v>
      </c>
    </row>
    <row r="197" spans="1:18" x14ac:dyDescent="0.25">
      <c r="B197"/>
      <c r="E197"/>
      <c r="F197" s="50"/>
      <c r="G197" s="51" t="s">
        <v>453</v>
      </c>
      <c r="H197" s="254">
        <v>45292</v>
      </c>
      <c r="J197" s="257" t="s">
        <v>85</v>
      </c>
      <c r="K197" s="255" t="s">
        <v>58</v>
      </c>
      <c r="L197" s="50" t="s">
        <v>84</v>
      </c>
      <c r="N197" t="s">
        <v>454</v>
      </c>
      <c r="O197" s="226">
        <v>45548</v>
      </c>
    </row>
    <row r="198" spans="1:18" x14ac:dyDescent="0.25">
      <c r="A198" t="s">
        <v>0</v>
      </c>
      <c r="B198" s="1" t="s">
        <v>455</v>
      </c>
      <c r="C198" t="s">
        <v>456</v>
      </c>
      <c r="D198" t="s">
        <v>3</v>
      </c>
      <c r="E198" s="53" t="s">
        <v>457</v>
      </c>
      <c r="F198" t="s">
        <v>458</v>
      </c>
      <c r="G198" t="s">
        <v>459</v>
      </c>
      <c r="H198" t="s">
        <v>460</v>
      </c>
      <c r="I198" t="s">
        <v>21</v>
      </c>
      <c r="J198" t="s">
        <v>461</v>
      </c>
      <c r="K198" s="1" t="s">
        <v>1</v>
      </c>
      <c r="L198" t="s">
        <v>462</v>
      </c>
      <c r="M198" t="s">
        <v>55</v>
      </c>
      <c r="N198" s="104" t="s">
        <v>463</v>
      </c>
      <c r="O198" s="104" t="s">
        <v>464</v>
      </c>
      <c r="Q198" t="s">
        <v>465</v>
      </c>
      <c r="R198" t="s">
        <v>466</v>
      </c>
    </row>
    <row r="199" spans="1:18" x14ac:dyDescent="0.25">
      <c r="A199" t="str">
        <f>TableGDEDUC[[#This Row],[Study Package Code]]</f>
        <v>MajorGDEDUC</v>
      </c>
      <c r="B199" s="1">
        <f>TableGDEDUC[[#This Row],[Ver]]</f>
        <v>0</v>
      </c>
      <c r="D199" t="str">
        <f>TableGDEDUC[[#This Row],[Structure Line]]</f>
        <v>Choose a Major</v>
      </c>
      <c r="E199" s="53">
        <f>TableGDEDUC[[#This Row],[Credit Points]]</f>
        <v>200</v>
      </c>
      <c r="F199">
        <v>1</v>
      </c>
      <c r="G199" t="s">
        <v>467</v>
      </c>
      <c r="H199">
        <v>0</v>
      </c>
      <c r="I199" t="s">
        <v>468</v>
      </c>
      <c r="J199" t="s">
        <v>435</v>
      </c>
      <c r="K199" s="1">
        <v>0</v>
      </c>
      <c r="L199" t="s">
        <v>436</v>
      </c>
      <c r="M199">
        <v>200</v>
      </c>
      <c r="N199" s="92"/>
      <c r="O199" s="92"/>
      <c r="Q199" t="s">
        <v>435</v>
      </c>
      <c r="R199">
        <v>0</v>
      </c>
    </row>
    <row r="200" spans="1:18" x14ac:dyDescent="0.25">
      <c r="A200" t="str">
        <f>TableGDEDUC[[#This Row],[Study Package Code]]</f>
        <v>MJRP-EDUPR</v>
      </c>
      <c r="B200" s="1">
        <f>TableGDEDUC[[#This Row],[Ver]]</f>
        <v>1</v>
      </c>
      <c r="D200" t="str">
        <f>TableGDEDUC[[#This Row],[Structure Line]]</f>
        <v>Primary Education Major (GradDipEdu)</v>
      </c>
      <c r="E200" s="53">
        <f>TableGDEDUC[[#This Row],[Credit Points]]</f>
        <v>200</v>
      </c>
      <c r="F200">
        <v>1</v>
      </c>
      <c r="G200" t="s">
        <v>467</v>
      </c>
      <c r="H200">
        <v>0</v>
      </c>
      <c r="I200" t="s">
        <v>468</v>
      </c>
      <c r="J200" t="s">
        <v>315</v>
      </c>
      <c r="K200" s="1">
        <v>1</v>
      </c>
      <c r="L200" t="s">
        <v>250</v>
      </c>
      <c r="M200">
        <v>200</v>
      </c>
      <c r="N200" s="92">
        <v>45292</v>
      </c>
      <c r="O200" s="92"/>
      <c r="Q200" t="s">
        <v>315</v>
      </c>
      <c r="R200">
        <v>1</v>
      </c>
    </row>
    <row r="201" spans="1:18" x14ac:dyDescent="0.25">
      <c r="A201" t="str">
        <f>TableGDEDUC[[#This Row],[Study Package Code]]</f>
        <v>MJRP-EDUSC</v>
      </c>
      <c r="B201" s="1">
        <f>TableGDEDUC[[#This Row],[Ver]]</f>
        <v>1</v>
      </c>
      <c r="D201" t="str">
        <f>TableGDEDUC[[#This Row],[Structure Line]]</f>
        <v>Secondary Education Major (GradDipEdu)</v>
      </c>
      <c r="E201" s="53">
        <f>TableGDEDUC[[#This Row],[Credit Points]]</f>
        <v>200</v>
      </c>
      <c r="F201">
        <v>1</v>
      </c>
      <c r="G201" t="s">
        <v>467</v>
      </c>
      <c r="H201">
        <v>0</v>
      </c>
      <c r="I201" t="s">
        <v>468</v>
      </c>
      <c r="J201" t="s">
        <v>317</v>
      </c>
      <c r="K201" s="1">
        <v>1</v>
      </c>
      <c r="L201" t="s">
        <v>251</v>
      </c>
      <c r="M201">
        <v>200</v>
      </c>
      <c r="N201" s="92">
        <v>45292</v>
      </c>
      <c r="O201" s="92"/>
      <c r="Q201" t="s">
        <v>317</v>
      </c>
      <c r="R201">
        <v>1</v>
      </c>
    </row>
    <row r="202" spans="1:18" x14ac:dyDescent="0.25">
      <c r="B202"/>
      <c r="E202"/>
      <c r="F202" s="50"/>
      <c r="G202" s="51" t="s">
        <v>453</v>
      </c>
      <c r="H202" s="254">
        <v>45292</v>
      </c>
      <c r="J202" s="257" t="s">
        <v>315</v>
      </c>
      <c r="K202" s="255" t="s">
        <v>58</v>
      </c>
      <c r="L202" s="50" t="s">
        <v>250</v>
      </c>
      <c r="N202" t="s">
        <v>454</v>
      </c>
      <c r="O202" s="226">
        <v>45548</v>
      </c>
    </row>
    <row r="203" spans="1:18" x14ac:dyDescent="0.25">
      <c r="A203" t="s">
        <v>0</v>
      </c>
      <c r="B203" s="1" t="s">
        <v>455</v>
      </c>
      <c r="C203" t="s">
        <v>456</v>
      </c>
      <c r="D203" t="s">
        <v>3</v>
      </c>
      <c r="E203" s="53" t="s">
        <v>457</v>
      </c>
      <c r="F203" t="s">
        <v>458</v>
      </c>
      <c r="G203" t="s">
        <v>459</v>
      </c>
      <c r="H203" t="s">
        <v>460</v>
      </c>
      <c r="I203" t="s">
        <v>21</v>
      </c>
      <c r="J203" t="s">
        <v>461</v>
      </c>
      <c r="K203" s="1" t="s">
        <v>1</v>
      </c>
      <c r="L203" t="s">
        <v>462</v>
      </c>
      <c r="M203" t="s">
        <v>55</v>
      </c>
      <c r="N203" s="104" t="s">
        <v>463</v>
      </c>
      <c r="O203" s="104" t="s">
        <v>464</v>
      </c>
      <c r="Q203" t="s">
        <v>465</v>
      </c>
      <c r="R203" t="s">
        <v>466</v>
      </c>
    </row>
    <row r="204" spans="1:18" x14ac:dyDescent="0.25">
      <c r="A204" t="str">
        <f>TableMJRPEDUPR[[#This Row],[Study Package Code]]</f>
        <v>EDPR5000</v>
      </c>
      <c r="B204" s="1">
        <f>TableMJRPEDUPR[[#This Row],[Ver]]</f>
        <v>2</v>
      </c>
      <c r="D204" t="str">
        <f>TableMJRPEDUPR[[#This Row],[Structure Line]]</f>
        <v>Primary Professional Experience 1: Planning for Writing</v>
      </c>
      <c r="E204" s="53">
        <f>TableMJRPEDUPR[[#This Row],[Credit Points]]</f>
        <v>25</v>
      </c>
      <c r="F204">
        <v>1</v>
      </c>
      <c r="G204" t="s">
        <v>467</v>
      </c>
      <c r="H204">
        <v>1</v>
      </c>
      <c r="I204" t="s">
        <v>477</v>
      </c>
      <c r="J204" t="s">
        <v>93</v>
      </c>
      <c r="K204" s="1">
        <v>2</v>
      </c>
      <c r="L204" t="s">
        <v>360</v>
      </c>
      <c r="M204">
        <v>25</v>
      </c>
      <c r="N204" s="92">
        <v>44562</v>
      </c>
      <c r="O204" s="92"/>
      <c r="Q204" t="s">
        <v>93</v>
      </c>
      <c r="R204">
        <v>2</v>
      </c>
    </row>
    <row r="205" spans="1:18" x14ac:dyDescent="0.25">
      <c r="A205" t="str">
        <f>TableMJRPEDUPR[[#This Row],[Study Package Code]]</f>
        <v>EDUC5005</v>
      </c>
      <c r="B205" s="1">
        <f>TableMJRPEDUPR[[#This Row],[Ver]]</f>
        <v>2</v>
      </c>
      <c r="D205" t="str">
        <f>TableMJRPEDUPR[[#This Row],[Structure Line]]</f>
        <v>Theories of Development and Learning</v>
      </c>
      <c r="E205" s="53">
        <f>TableMJRPEDUPR[[#This Row],[Credit Points]]</f>
        <v>25</v>
      </c>
      <c r="F205">
        <v>2</v>
      </c>
      <c r="G205" t="s">
        <v>467</v>
      </c>
      <c r="H205">
        <v>1</v>
      </c>
      <c r="I205" t="s">
        <v>477</v>
      </c>
      <c r="J205" t="s">
        <v>74</v>
      </c>
      <c r="K205" s="1">
        <v>2</v>
      </c>
      <c r="L205" t="s">
        <v>390</v>
      </c>
      <c r="M205">
        <v>25</v>
      </c>
      <c r="N205" s="92">
        <v>44197</v>
      </c>
      <c r="O205" s="92"/>
      <c r="Q205" t="s">
        <v>74</v>
      </c>
      <c r="R205">
        <v>2</v>
      </c>
    </row>
    <row r="206" spans="1:18" x14ac:dyDescent="0.25">
      <c r="A206" t="str">
        <f>TableMJRPEDUPR[[#This Row],[Study Package Code]]</f>
        <v>EDPR5001</v>
      </c>
      <c r="B206" s="1">
        <f>TableMJRPEDUPR[[#This Row],[Ver]]</f>
        <v>1</v>
      </c>
      <c r="D206" t="str">
        <f>TableMJRPEDUPR[[#This Row],[Structure Line]]</f>
        <v>Primary Professional Experience 2: Assessment and Reporting</v>
      </c>
      <c r="E206" s="53">
        <f>TableMJRPEDUPR[[#This Row],[Credit Points]]</f>
        <v>25</v>
      </c>
      <c r="F206">
        <v>3</v>
      </c>
      <c r="G206" t="s">
        <v>467</v>
      </c>
      <c r="H206">
        <v>1</v>
      </c>
      <c r="I206" t="s">
        <v>478</v>
      </c>
      <c r="J206" t="s">
        <v>104</v>
      </c>
      <c r="K206" s="1">
        <v>1</v>
      </c>
      <c r="L206" t="s">
        <v>361</v>
      </c>
      <c r="M206">
        <v>25</v>
      </c>
      <c r="N206" s="92">
        <v>43101</v>
      </c>
      <c r="O206" s="92"/>
      <c r="Q206" t="s">
        <v>104</v>
      </c>
      <c r="R206">
        <v>1</v>
      </c>
    </row>
    <row r="207" spans="1:18" x14ac:dyDescent="0.25">
      <c r="A207" t="str">
        <f>TableMJRPEDUPR[[#This Row],[Study Package Code]]</f>
        <v>EDPR5005</v>
      </c>
      <c r="B207" s="1">
        <f>TableMJRPEDUPR[[#This Row],[Ver]]</f>
        <v>1</v>
      </c>
      <c r="D207" t="str">
        <f>TableMJRPEDUPR[[#This Row],[Structure Line]]</f>
        <v>Teaching Science in the Primary Years</v>
      </c>
      <c r="E207" s="53">
        <f>TableMJRPEDUPR[[#This Row],[Credit Points]]</f>
        <v>25</v>
      </c>
      <c r="F207">
        <v>4</v>
      </c>
      <c r="G207" t="s">
        <v>467</v>
      </c>
      <c r="H207">
        <v>1</v>
      </c>
      <c r="I207" t="s">
        <v>478</v>
      </c>
      <c r="J207" t="s">
        <v>108</v>
      </c>
      <c r="K207" s="1">
        <v>1</v>
      </c>
      <c r="L207" t="s">
        <v>365</v>
      </c>
      <c r="M207">
        <v>25</v>
      </c>
      <c r="N207" s="92">
        <v>43101</v>
      </c>
      <c r="O207" s="92"/>
      <c r="Q207" t="s">
        <v>108</v>
      </c>
      <c r="R207">
        <v>1</v>
      </c>
    </row>
    <row r="208" spans="1:18" x14ac:dyDescent="0.25">
      <c r="A208" t="str">
        <f>TableMJRPEDUPR[[#This Row],[Study Package Code]]</f>
        <v>EDUC5031</v>
      </c>
      <c r="B208" s="1">
        <f>TableMJRPEDUPR[[#This Row],[Ver]]</f>
        <v>1</v>
      </c>
      <c r="D208" t="str">
        <f>TableMJRPEDUPR[[#This Row],[Structure Line]]</f>
        <v>Introduction to English: Reading</v>
      </c>
      <c r="E208" s="53">
        <f>TableMJRPEDUPR[[#This Row],[Credit Points]]</f>
        <v>25</v>
      </c>
      <c r="F208">
        <v>5</v>
      </c>
      <c r="G208" t="s">
        <v>467</v>
      </c>
      <c r="H208">
        <v>1</v>
      </c>
      <c r="I208" t="s">
        <v>479</v>
      </c>
      <c r="J208" t="s">
        <v>79</v>
      </c>
      <c r="K208" s="1">
        <v>1</v>
      </c>
      <c r="L208" t="s">
        <v>398</v>
      </c>
      <c r="M208">
        <v>25</v>
      </c>
      <c r="N208" s="92">
        <v>44562</v>
      </c>
      <c r="O208" s="92"/>
      <c r="Q208" t="s">
        <v>79</v>
      </c>
      <c r="R208">
        <v>1</v>
      </c>
    </row>
    <row r="209" spans="1:18" x14ac:dyDescent="0.25">
      <c r="A209" t="str">
        <f>TableMJRPEDUPR[[#This Row],[Study Package Code]]</f>
        <v>EDUC6062</v>
      </c>
      <c r="B209" s="1">
        <f>TableMJRPEDUPR[[#This Row],[Ver]]</f>
        <v>1</v>
      </c>
      <c r="D209" t="str">
        <f>TableMJRPEDUPR[[#This Row],[Structure Line]]</f>
        <v>Professional Experience 3: Using Data to Inform Teaching and Learning</v>
      </c>
      <c r="E209" s="53">
        <f>TableMJRPEDUPR[[#This Row],[Credit Points]]</f>
        <v>25</v>
      </c>
      <c r="F209">
        <v>6</v>
      </c>
      <c r="G209" t="s">
        <v>467</v>
      </c>
      <c r="H209">
        <v>1</v>
      </c>
      <c r="I209" t="s">
        <v>479</v>
      </c>
      <c r="J209" t="s">
        <v>121</v>
      </c>
      <c r="K209" s="1">
        <v>1</v>
      </c>
      <c r="L209" t="s">
        <v>415</v>
      </c>
      <c r="M209">
        <v>25</v>
      </c>
      <c r="N209" s="92">
        <v>44562</v>
      </c>
      <c r="O209" s="92"/>
      <c r="Q209" t="s">
        <v>121</v>
      </c>
      <c r="R209">
        <v>1</v>
      </c>
    </row>
    <row r="210" spans="1:18" x14ac:dyDescent="0.25">
      <c r="A210" t="str">
        <f>TableMJRPEDUPR[[#This Row],[Study Package Code]]</f>
        <v>EDUC5006</v>
      </c>
      <c r="B210" s="1">
        <f>TableMJRPEDUPR[[#This Row],[Ver]]</f>
        <v>1</v>
      </c>
      <c r="D210" t="str">
        <f>TableMJRPEDUPR[[#This Row],[Structure Line]]</f>
        <v>Creative Technologies</v>
      </c>
      <c r="E210" s="53">
        <f>TableMJRPEDUPR[[#This Row],[Credit Points]]</f>
        <v>25</v>
      </c>
      <c r="F210">
        <v>7</v>
      </c>
      <c r="G210" t="s">
        <v>467</v>
      </c>
      <c r="H210">
        <v>1</v>
      </c>
      <c r="I210" t="s">
        <v>480</v>
      </c>
      <c r="J210" t="s">
        <v>97</v>
      </c>
      <c r="K210" s="1">
        <v>1</v>
      </c>
      <c r="L210" t="s">
        <v>391</v>
      </c>
      <c r="M210">
        <v>25</v>
      </c>
      <c r="N210" s="92">
        <v>43101</v>
      </c>
      <c r="O210" s="92"/>
      <c r="Q210" t="s">
        <v>97</v>
      </c>
      <c r="R210">
        <v>1</v>
      </c>
    </row>
    <row r="211" spans="1:18" x14ac:dyDescent="0.25">
      <c r="A211" t="str">
        <f>TableMJRPEDUPR[[#This Row],[Study Package Code]]</f>
        <v>EDPR5003</v>
      </c>
      <c r="B211" s="1">
        <f>TableMJRPEDUPR[[#This Row],[Ver]]</f>
        <v>1</v>
      </c>
      <c r="D211" t="str">
        <f>TableMJRPEDUPR[[#This Row],[Structure Line]]</f>
        <v>Teaching Number, Algebra and Probability in the Primary Years</v>
      </c>
      <c r="E211" s="53">
        <f>TableMJRPEDUPR[[#This Row],[Credit Points]]</f>
        <v>25</v>
      </c>
      <c r="F211">
        <v>8</v>
      </c>
      <c r="G211" t="s">
        <v>467</v>
      </c>
      <c r="H211">
        <v>1</v>
      </c>
      <c r="I211" t="s">
        <v>480</v>
      </c>
      <c r="J211" t="s">
        <v>89</v>
      </c>
      <c r="K211" s="1">
        <v>1</v>
      </c>
      <c r="L211" t="s">
        <v>362</v>
      </c>
      <c r="M211">
        <v>25</v>
      </c>
      <c r="N211" s="92">
        <v>43101</v>
      </c>
      <c r="O211" s="92"/>
      <c r="Q211" t="s">
        <v>89</v>
      </c>
      <c r="R211">
        <v>1</v>
      </c>
    </row>
    <row r="212" spans="1:18" x14ac:dyDescent="0.25">
      <c r="B212"/>
      <c r="E212"/>
      <c r="F212" s="50"/>
      <c r="G212" s="51" t="s">
        <v>453</v>
      </c>
      <c r="H212" s="254">
        <v>45292</v>
      </c>
      <c r="J212" s="257" t="s">
        <v>317</v>
      </c>
      <c r="K212" s="255" t="s">
        <v>58</v>
      </c>
      <c r="L212" s="50" t="s">
        <v>251</v>
      </c>
      <c r="N212" t="s">
        <v>454</v>
      </c>
      <c r="O212" s="226">
        <v>45548</v>
      </c>
    </row>
    <row r="213" spans="1:18" x14ac:dyDescent="0.25">
      <c r="A213" t="s">
        <v>0</v>
      </c>
      <c r="B213" s="1" t="s">
        <v>455</v>
      </c>
      <c r="C213" t="s">
        <v>456</v>
      </c>
      <c r="D213" t="s">
        <v>3</v>
      </c>
      <c r="E213" s="53" t="s">
        <v>457</v>
      </c>
      <c r="F213" t="s">
        <v>458</v>
      </c>
      <c r="G213" t="s">
        <v>459</v>
      </c>
      <c r="H213" t="s">
        <v>460</v>
      </c>
      <c r="I213" t="s">
        <v>21</v>
      </c>
      <c r="J213" t="s">
        <v>461</v>
      </c>
      <c r="K213" s="1" t="s">
        <v>1</v>
      </c>
      <c r="L213" t="s">
        <v>462</v>
      </c>
      <c r="M213" t="s">
        <v>55</v>
      </c>
      <c r="N213" s="104" t="s">
        <v>463</v>
      </c>
      <c r="O213" s="104" t="s">
        <v>464</v>
      </c>
      <c r="Q213" t="s">
        <v>465</v>
      </c>
      <c r="R213" t="s">
        <v>466</v>
      </c>
    </row>
    <row r="214" spans="1:18" x14ac:dyDescent="0.25">
      <c r="A214" t="str">
        <f>TableMJRPEDUSC[[#This Row],[Study Package Code]]</f>
        <v>Option</v>
      </c>
      <c r="B214" s="1">
        <f>TableMJRPEDUSC[[#This Row],[Ver]]</f>
        <v>0</v>
      </c>
      <c r="D214" t="str">
        <f>TableMJRPEDUSC[[#This Row],[Structure Line]]</f>
        <v>Teaching Area Options</v>
      </c>
      <c r="E214" s="53">
        <f>TableMJRPEDUSC[[#This Row],[Credit Points]]</f>
        <v>50</v>
      </c>
      <c r="F214">
        <v>1</v>
      </c>
      <c r="G214" t="s">
        <v>438</v>
      </c>
      <c r="H214">
        <v>1</v>
      </c>
      <c r="I214" t="s">
        <v>468</v>
      </c>
      <c r="J214" t="s">
        <v>438</v>
      </c>
      <c r="K214" s="1">
        <v>0</v>
      </c>
      <c r="L214" t="s">
        <v>439</v>
      </c>
      <c r="M214">
        <v>50</v>
      </c>
      <c r="N214" s="92"/>
      <c r="O214" s="92"/>
      <c r="Q214" t="s">
        <v>438</v>
      </c>
      <c r="R214">
        <v>0</v>
      </c>
    </row>
    <row r="215" spans="1:18" x14ac:dyDescent="0.25">
      <c r="A215" t="str">
        <f>TableMJRPEDUSC[[#This Row],[Study Package Code]]</f>
        <v>EDSC5028</v>
      </c>
      <c r="B215" s="1">
        <f>TableMJRPEDUSC[[#This Row],[Ver]]</f>
        <v>1</v>
      </c>
      <c r="D215" t="str">
        <f>TableMJRPEDUSC[[#This Row],[Structure Line]]</f>
        <v>Secondary Professional Experience 1: Planning</v>
      </c>
      <c r="E215" s="53">
        <f>TableMJRPEDUSC[[#This Row],[Credit Points]]</f>
        <v>25</v>
      </c>
      <c r="F215">
        <v>2</v>
      </c>
      <c r="G215" t="s">
        <v>467</v>
      </c>
      <c r="H215">
        <v>1</v>
      </c>
      <c r="I215" t="s">
        <v>477</v>
      </c>
      <c r="J215" t="s">
        <v>278</v>
      </c>
      <c r="K215" s="1">
        <v>1</v>
      </c>
      <c r="L215" t="s">
        <v>377</v>
      </c>
      <c r="M215">
        <v>25</v>
      </c>
      <c r="N215" s="92">
        <v>43101</v>
      </c>
      <c r="O215" s="92"/>
      <c r="Q215" t="s">
        <v>278</v>
      </c>
      <c r="R215">
        <v>1</v>
      </c>
    </row>
    <row r="216" spans="1:18" x14ac:dyDescent="0.25">
      <c r="A216" t="str">
        <f>TableMJRPEDUSC[[#This Row],[Study Package Code]]</f>
        <v>EDSC5035</v>
      </c>
      <c r="B216" s="1">
        <f>TableMJRPEDUSC[[#This Row],[Ver]]</f>
        <v>1</v>
      </c>
      <c r="D216" t="str">
        <f>TableMJRPEDUSC[[#This Row],[Structure Line]]</f>
        <v>Teaching in the Secondary School</v>
      </c>
      <c r="E216" s="53">
        <f>TableMJRPEDUSC[[#This Row],[Credit Points]]</f>
        <v>25</v>
      </c>
      <c r="F216">
        <v>3</v>
      </c>
      <c r="G216" t="s">
        <v>467</v>
      </c>
      <c r="H216">
        <v>1</v>
      </c>
      <c r="I216" t="s">
        <v>477</v>
      </c>
      <c r="J216" t="s">
        <v>269</v>
      </c>
      <c r="K216" s="1">
        <v>1</v>
      </c>
      <c r="L216" t="s">
        <v>384</v>
      </c>
      <c r="M216">
        <v>25</v>
      </c>
      <c r="N216" s="92">
        <v>43101</v>
      </c>
      <c r="O216" s="92"/>
      <c r="Q216" t="s">
        <v>269</v>
      </c>
      <c r="R216">
        <v>1</v>
      </c>
    </row>
    <row r="217" spans="1:18" x14ac:dyDescent="0.25">
      <c r="A217" t="str">
        <f>TableMJRPEDUSC[[#This Row],[Study Package Code]]</f>
        <v>EDSC5029</v>
      </c>
      <c r="B217" s="1">
        <f>TableMJRPEDUSC[[#This Row],[Ver]]</f>
        <v>1</v>
      </c>
      <c r="D217" t="str">
        <f>TableMJRPEDUSC[[#This Row],[Structure Line]]</f>
        <v>Secondary Professional Experience 2: Assessment and Reporting</v>
      </c>
      <c r="E217" s="53">
        <f>TableMJRPEDUSC[[#This Row],[Credit Points]]</f>
        <v>25</v>
      </c>
      <c r="F217">
        <v>4</v>
      </c>
      <c r="G217" t="s">
        <v>467</v>
      </c>
      <c r="H217">
        <v>1</v>
      </c>
      <c r="I217" t="s">
        <v>478</v>
      </c>
      <c r="J217" t="s">
        <v>283</v>
      </c>
      <c r="K217" s="1">
        <v>1</v>
      </c>
      <c r="L217" t="s">
        <v>378</v>
      </c>
      <c r="M217">
        <v>25</v>
      </c>
      <c r="N217" s="92">
        <v>43101</v>
      </c>
      <c r="O217" s="92"/>
      <c r="Q217" t="s">
        <v>283</v>
      </c>
      <c r="R217">
        <v>1</v>
      </c>
    </row>
    <row r="218" spans="1:18" x14ac:dyDescent="0.25">
      <c r="A218" t="str">
        <f>TableMJRPEDUSC[[#This Row],[Study Package Code]]</f>
        <v>EDUC5009</v>
      </c>
      <c r="B218" s="1">
        <f>TableMJRPEDUSC[[#This Row],[Ver]]</f>
        <v>1</v>
      </c>
      <c r="D218" t="str">
        <f>TableMJRPEDUSC[[#This Row],[Structure Line]]</f>
        <v>Pedagogies for Diversity</v>
      </c>
      <c r="E218" s="53">
        <f>TableMJRPEDUSC[[#This Row],[Credit Points]]</f>
        <v>25</v>
      </c>
      <c r="F218">
        <v>5</v>
      </c>
      <c r="G218" t="s">
        <v>467</v>
      </c>
      <c r="H218">
        <v>1</v>
      </c>
      <c r="I218" t="s">
        <v>479</v>
      </c>
      <c r="J218" t="s">
        <v>98</v>
      </c>
      <c r="K218" s="1">
        <v>1</v>
      </c>
      <c r="L218" t="s">
        <v>392</v>
      </c>
      <c r="M218">
        <v>25</v>
      </c>
      <c r="N218" s="92">
        <v>43101</v>
      </c>
      <c r="O218" s="92"/>
      <c r="Q218" t="s">
        <v>98</v>
      </c>
      <c r="R218">
        <v>1</v>
      </c>
    </row>
    <row r="219" spans="1:18" x14ac:dyDescent="0.25">
      <c r="A219" t="str">
        <f>TableMJRPEDUSC[[#This Row],[Study Package Code]]</f>
        <v>EDUC6062</v>
      </c>
      <c r="B219" s="1">
        <f>TableMJRPEDUSC[[#This Row],[Ver]]</f>
        <v>1</v>
      </c>
      <c r="D219" t="str">
        <f>TableMJRPEDUSC[[#This Row],[Structure Line]]</f>
        <v>Professional Experience 3: Using Data to Inform Teaching and Learning</v>
      </c>
      <c r="E219" s="53">
        <f>TableMJRPEDUSC[[#This Row],[Credit Points]]</f>
        <v>25</v>
      </c>
      <c r="F219">
        <v>6</v>
      </c>
      <c r="G219" t="s">
        <v>467</v>
      </c>
      <c r="H219">
        <v>1</v>
      </c>
      <c r="I219" t="s">
        <v>479</v>
      </c>
      <c r="J219" t="s">
        <v>121</v>
      </c>
      <c r="K219" s="1">
        <v>1</v>
      </c>
      <c r="L219" t="s">
        <v>415</v>
      </c>
      <c r="M219">
        <v>25</v>
      </c>
      <c r="N219" s="92">
        <v>44562</v>
      </c>
      <c r="O219" s="92"/>
      <c r="Q219" t="s">
        <v>121</v>
      </c>
      <c r="R219">
        <v>1</v>
      </c>
    </row>
    <row r="220" spans="1:18" x14ac:dyDescent="0.25">
      <c r="A220" t="str">
        <f>TableMJRPEDUSC[[#This Row],[Study Package Code]]</f>
        <v>EDUC5006</v>
      </c>
      <c r="B220" s="1">
        <f>TableMJRPEDUSC[[#This Row],[Ver]]</f>
        <v>1</v>
      </c>
      <c r="D220" t="str">
        <f>TableMJRPEDUSC[[#This Row],[Structure Line]]</f>
        <v>Creative Technologies</v>
      </c>
      <c r="E220" s="53">
        <f>TableMJRPEDUSC[[#This Row],[Credit Points]]</f>
        <v>25</v>
      </c>
      <c r="F220">
        <v>7</v>
      </c>
      <c r="G220" t="s">
        <v>467</v>
      </c>
      <c r="H220">
        <v>1</v>
      </c>
      <c r="I220" t="s">
        <v>480</v>
      </c>
      <c r="J220" t="s">
        <v>97</v>
      </c>
      <c r="K220" s="1">
        <v>1</v>
      </c>
      <c r="L220" t="s">
        <v>391</v>
      </c>
      <c r="M220">
        <v>25</v>
      </c>
      <c r="N220" s="92">
        <v>43101</v>
      </c>
      <c r="O220" s="92"/>
      <c r="Q220" t="s">
        <v>97</v>
      </c>
      <c r="R220">
        <v>1</v>
      </c>
    </row>
    <row r="221" spans="1:18" x14ac:dyDescent="0.25">
      <c r="A221" t="str">
        <f>TableMJRPEDUSC[[#This Row],[Study Package Code]]</f>
        <v>STRP-SCART</v>
      </c>
      <c r="B221" s="1">
        <f>TableMJRPEDUSC[[#This Row],[Ver]]</f>
        <v>1</v>
      </c>
      <c r="D221" t="str">
        <f>TableMJRPEDUSC[[#This Row],[Structure Line]]</f>
        <v>The Arts Teaching Area Stream (MTch Sec)</v>
      </c>
      <c r="E221" s="53">
        <f>TableMJRPEDUSC[[#This Row],[Credit Points]]</f>
        <v>50</v>
      </c>
      <c r="F221">
        <v>1</v>
      </c>
      <c r="G221" t="s">
        <v>438</v>
      </c>
      <c r="H221">
        <v>1</v>
      </c>
      <c r="I221" t="s">
        <v>468</v>
      </c>
      <c r="J221" t="s">
        <v>274</v>
      </c>
      <c r="K221" s="1">
        <v>1</v>
      </c>
      <c r="L221" t="s">
        <v>445</v>
      </c>
      <c r="M221">
        <v>50</v>
      </c>
      <c r="N221" s="92">
        <v>44562</v>
      </c>
      <c r="O221" s="92"/>
      <c r="Q221" t="s">
        <v>274</v>
      </c>
      <c r="R221">
        <v>1</v>
      </c>
    </row>
    <row r="222" spans="1:18" x14ac:dyDescent="0.25">
      <c r="A222" t="str">
        <f>TableMJRPEDUSC[[#This Row],[Study Package Code]]</f>
        <v>STRP-SCENG</v>
      </c>
      <c r="B222" s="1">
        <f>TableMJRPEDUSC[[#This Row],[Ver]]</f>
        <v>1</v>
      </c>
      <c r="D222" t="str">
        <f>TableMJRPEDUSC[[#This Row],[Structure Line]]</f>
        <v>English Teaching Area Stream (MTch Sec)</v>
      </c>
      <c r="E222" s="53">
        <f>TableMJRPEDUSC[[#This Row],[Credit Points]]</f>
        <v>50</v>
      </c>
      <c r="F222">
        <v>1</v>
      </c>
      <c r="G222" t="s">
        <v>438</v>
      </c>
      <c r="H222">
        <v>1</v>
      </c>
      <c r="I222" t="s">
        <v>468</v>
      </c>
      <c r="J222" t="s">
        <v>280</v>
      </c>
      <c r="K222" s="1">
        <v>1</v>
      </c>
      <c r="L222" t="s">
        <v>446</v>
      </c>
      <c r="M222">
        <v>50</v>
      </c>
      <c r="N222" s="92">
        <v>44562</v>
      </c>
      <c r="O222" s="92"/>
      <c r="Q222" t="s">
        <v>280</v>
      </c>
      <c r="R222">
        <v>1</v>
      </c>
    </row>
    <row r="223" spans="1:18" x14ac:dyDescent="0.25">
      <c r="A223" t="str">
        <f>TableMJRPEDUSC[[#This Row],[Study Package Code]]</f>
        <v>STRP-SCHLP</v>
      </c>
      <c r="B223" s="1">
        <f>TableMJRPEDUSC[[#This Row],[Ver]]</f>
        <v>1</v>
      </c>
      <c r="D223" t="str">
        <f>TableMJRPEDUSC[[#This Row],[Structure Line]]</f>
        <v>Health and Physical Education Teaching Area Stream (MTch Sec)</v>
      </c>
      <c r="E223" s="53">
        <f>TableMJRPEDUSC[[#This Row],[Credit Points]]</f>
        <v>50</v>
      </c>
      <c r="F223">
        <v>1</v>
      </c>
      <c r="G223" t="s">
        <v>438</v>
      </c>
      <c r="H223">
        <v>1</v>
      </c>
      <c r="I223" t="s">
        <v>468</v>
      </c>
      <c r="J223" t="s">
        <v>282</v>
      </c>
      <c r="K223" s="1">
        <v>1</v>
      </c>
      <c r="L223" t="s">
        <v>448</v>
      </c>
      <c r="M223">
        <v>50</v>
      </c>
      <c r="N223" s="92">
        <v>44562</v>
      </c>
      <c r="O223" s="92"/>
      <c r="Q223" t="s">
        <v>282</v>
      </c>
      <c r="R223">
        <v>1</v>
      </c>
    </row>
    <row r="224" spans="1:18" x14ac:dyDescent="0.25">
      <c r="A224" t="str">
        <f>TableMJRPEDUSC[[#This Row],[Study Package Code]]</f>
        <v>STRP-SCHUS</v>
      </c>
      <c r="B224" s="1">
        <f>TableMJRPEDUSC[[#This Row],[Ver]]</f>
        <v>1</v>
      </c>
      <c r="D224" t="str">
        <f>TableMJRPEDUSC[[#This Row],[Structure Line]]</f>
        <v>Humanities and Social Sciences Teaching Area Stream (MTch Sec)</v>
      </c>
      <c r="E224" s="53">
        <f>TableMJRPEDUSC[[#This Row],[Credit Points]]</f>
        <v>50</v>
      </c>
      <c r="F224">
        <v>1</v>
      </c>
      <c r="G224" t="s">
        <v>438</v>
      </c>
      <c r="H224">
        <v>1</v>
      </c>
      <c r="I224" t="s">
        <v>468</v>
      </c>
      <c r="J224" t="s">
        <v>285</v>
      </c>
      <c r="K224" s="1">
        <v>1</v>
      </c>
      <c r="L224" t="s">
        <v>449</v>
      </c>
      <c r="M224">
        <v>50</v>
      </c>
      <c r="N224" s="92">
        <v>44562</v>
      </c>
      <c r="O224" s="92"/>
      <c r="Q224" t="s">
        <v>285</v>
      </c>
      <c r="R224">
        <v>1</v>
      </c>
    </row>
    <row r="225" spans="1:18" x14ac:dyDescent="0.25">
      <c r="A225" t="str">
        <f>TableMJRPEDUSC[[#This Row],[Study Package Code]]</f>
        <v>STRP-SCMAT</v>
      </c>
      <c r="B225" s="1">
        <f>TableMJRPEDUSC[[#This Row],[Ver]]</f>
        <v>1</v>
      </c>
      <c r="D225" t="str">
        <f>TableMJRPEDUSC[[#This Row],[Structure Line]]</f>
        <v>Mathematics Teaching Area Stream (MTch Sec)</v>
      </c>
      <c r="E225" s="53">
        <f>TableMJRPEDUSC[[#This Row],[Credit Points]]</f>
        <v>50</v>
      </c>
      <c r="F225">
        <v>1</v>
      </c>
      <c r="G225" t="s">
        <v>438</v>
      </c>
      <c r="H225">
        <v>1</v>
      </c>
      <c r="I225" t="s">
        <v>468</v>
      </c>
      <c r="J225" t="s">
        <v>287</v>
      </c>
      <c r="K225" s="1">
        <v>1</v>
      </c>
      <c r="L225" t="s">
        <v>450</v>
      </c>
      <c r="M225">
        <v>50</v>
      </c>
      <c r="N225" s="92">
        <v>44562</v>
      </c>
      <c r="O225" s="92"/>
      <c r="Q225" t="s">
        <v>287</v>
      </c>
      <c r="R225">
        <v>1</v>
      </c>
    </row>
    <row r="226" spans="1:18" x14ac:dyDescent="0.25">
      <c r="A226" t="str">
        <f>TableMJRPEDUSC[[#This Row],[Study Package Code]]</f>
        <v>STRP-SCSCI</v>
      </c>
      <c r="B226" s="1">
        <f>TableMJRPEDUSC[[#This Row],[Ver]]</f>
        <v>1</v>
      </c>
      <c r="D226" t="str">
        <f>TableMJRPEDUSC[[#This Row],[Structure Line]]</f>
        <v>Science Teaching Area Stream (MTch Sec)</v>
      </c>
      <c r="E226" s="53">
        <f>TableMJRPEDUSC[[#This Row],[Credit Points]]</f>
        <v>50</v>
      </c>
      <c r="F226">
        <v>1</v>
      </c>
      <c r="G226" t="s">
        <v>438</v>
      </c>
      <c r="H226">
        <v>1</v>
      </c>
      <c r="I226" t="s">
        <v>468</v>
      </c>
      <c r="J226" t="s">
        <v>290</v>
      </c>
      <c r="K226" s="1">
        <v>1</v>
      </c>
      <c r="L226" t="s">
        <v>451</v>
      </c>
      <c r="M226">
        <v>50</v>
      </c>
      <c r="N226" s="92">
        <v>44562</v>
      </c>
      <c r="O226" s="92"/>
      <c r="Q226" t="s">
        <v>290</v>
      </c>
      <c r="R226">
        <v>1</v>
      </c>
    </row>
  </sheetData>
  <conditionalFormatting sqref="J4:J7">
    <cfRule type="duplicateValues" dxfId="90" priority="72"/>
  </conditionalFormatting>
  <conditionalFormatting sqref="J10:J25">
    <cfRule type="duplicateValues" dxfId="89" priority="69"/>
  </conditionalFormatting>
  <conditionalFormatting sqref="J28:J43">
    <cfRule type="duplicateValues" dxfId="88" priority="66"/>
  </conditionalFormatting>
  <conditionalFormatting sqref="J46:J72">
    <cfRule type="duplicateValues" dxfId="87" priority="63"/>
  </conditionalFormatting>
  <conditionalFormatting sqref="J75:J76">
    <cfRule type="duplicateValues" dxfId="86" priority="60"/>
  </conditionalFormatting>
  <conditionalFormatting sqref="J79:J80">
    <cfRule type="duplicateValues" dxfId="85" priority="57"/>
  </conditionalFormatting>
  <conditionalFormatting sqref="J83:J84">
    <cfRule type="duplicateValues" dxfId="84" priority="54"/>
  </conditionalFormatting>
  <conditionalFormatting sqref="J87:J88">
    <cfRule type="duplicateValues" dxfId="83" priority="51"/>
  </conditionalFormatting>
  <conditionalFormatting sqref="J91:J92">
    <cfRule type="duplicateValues" dxfId="82" priority="48"/>
  </conditionalFormatting>
  <conditionalFormatting sqref="J95:J96">
    <cfRule type="duplicateValues" dxfId="81" priority="45"/>
  </conditionalFormatting>
  <conditionalFormatting sqref="J99:J100">
    <cfRule type="duplicateValues" dxfId="80" priority="42"/>
  </conditionalFormatting>
  <conditionalFormatting sqref="J104:J118">
    <cfRule type="duplicateValues" dxfId="79" priority="39"/>
  </conditionalFormatting>
  <conditionalFormatting sqref="J121:J127">
    <cfRule type="duplicateValues" dxfId="78" priority="36"/>
  </conditionalFormatting>
  <conditionalFormatting sqref="J130:J133">
    <cfRule type="duplicateValues" dxfId="77" priority="33"/>
  </conditionalFormatting>
  <conditionalFormatting sqref="J137:J143 J145:J153">
    <cfRule type="duplicateValues" dxfId="76" priority="139"/>
  </conditionalFormatting>
  <conditionalFormatting sqref="J144">
    <cfRule type="duplicateValues" dxfId="75" priority="4"/>
  </conditionalFormatting>
  <conditionalFormatting sqref="J156:J159">
    <cfRule type="duplicateValues" dxfId="74" priority="27"/>
  </conditionalFormatting>
  <conditionalFormatting sqref="J162:J165">
    <cfRule type="duplicateValues" dxfId="73" priority="24"/>
  </conditionalFormatting>
  <conditionalFormatting sqref="J168:J171">
    <cfRule type="duplicateValues" dxfId="72" priority="21"/>
  </conditionalFormatting>
  <conditionalFormatting sqref="J174:J188">
    <cfRule type="duplicateValues" dxfId="71" priority="145"/>
  </conditionalFormatting>
  <conditionalFormatting sqref="J192:J195">
    <cfRule type="duplicateValues" dxfId="70" priority="15"/>
  </conditionalFormatting>
  <conditionalFormatting sqref="J199:J201">
    <cfRule type="duplicateValues" dxfId="69" priority="12"/>
  </conditionalFormatting>
  <conditionalFormatting sqref="J204:J211">
    <cfRule type="duplicateValues" dxfId="68" priority="9"/>
  </conditionalFormatting>
  <conditionalFormatting sqref="J214:J226">
    <cfRule type="duplicateValues" dxfId="67" priority="6"/>
  </conditionalFormatting>
  <conditionalFormatting sqref="N4:N7 N174:N188">
    <cfRule type="cellIs" dxfId="66" priority="73" operator="greaterThan">
      <formula>$P$2</formula>
    </cfRule>
  </conditionalFormatting>
  <conditionalFormatting sqref="N10:N25">
    <cfRule type="cellIs" dxfId="65" priority="70" operator="greaterThan">
      <formula>$P$2</formula>
    </cfRule>
  </conditionalFormatting>
  <conditionalFormatting sqref="N28:N43">
    <cfRule type="cellIs" dxfId="64" priority="67" operator="greaterThan">
      <formula>$P$2</formula>
    </cfRule>
  </conditionalFormatting>
  <conditionalFormatting sqref="N46:N72">
    <cfRule type="cellIs" dxfId="63" priority="64" operator="greaterThan">
      <formula>$P$2</formula>
    </cfRule>
  </conditionalFormatting>
  <conditionalFormatting sqref="N75:N76">
    <cfRule type="cellIs" dxfId="62" priority="61" operator="greaterThan">
      <formula>$P$2</formula>
    </cfRule>
  </conditionalFormatting>
  <conditionalFormatting sqref="N79:N80">
    <cfRule type="cellIs" dxfId="61" priority="58" operator="greaterThan">
      <formula>$P$2</formula>
    </cfRule>
  </conditionalFormatting>
  <conditionalFormatting sqref="N83:N84">
    <cfRule type="cellIs" dxfId="60" priority="55" operator="greaterThan">
      <formula>$P$2</formula>
    </cfRule>
  </conditionalFormatting>
  <conditionalFormatting sqref="N87:N88">
    <cfRule type="cellIs" dxfId="59" priority="52" operator="greaterThan">
      <formula>$P$2</formula>
    </cfRule>
  </conditionalFormatting>
  <conditionalFormatting sqref="N91:N92">
    <cfRule type="cellIs" dxfId="58" priority="49" operator="greaterThan">
      <formula>$P$2</formula>
    </cfRule>
  </conditionalFormatting>
  <conditionalFormatting sqref="N95:N96">
    <cfRule type="cellIs" dxfId="57" priority="46" operator="greaterThan">
      <formula>$P$2</formula>
    </cfRule>
  </conditionalFormatting>
  <conditionalFormatting sqref="N99:N100">
    <cfRule type="cellIs" dxfId="56" priority="43" operator="greaterThan">
      <formula>$P$2</formula>
    </cfRule>
  </conditionalFormatting>
  <conditionalFormatting sqref="N104:N118">
    <cfRule type="cellIs" dxfId="55" priority="40" operator="greaterThan">
      <formula>$P$2</formula>
    </cfRule>
  </conditionalFormatting>
  <conditionalFormatting sqref="N121:N127">
    <cfRule type="cellIs" dxfId="54" priority="37" operator="greaterThan">
      <formula>$P$2</formula>
    </cfRule>
  </conditionalFormatting>
  <conditionalFormatting sqref="N130:N133">
    <cfRule type="cellIs" dxfId="53" priority="34" operator="greaterThan">
      <formula>$P$2</formula>
    </cfRule>
  </conditionalFormatting>
  <conditionalFormatting sqref="N137:N153">
    <cfRule type="cellIs" dxfId="52" priority="2" operator="greaterThan">
      <formula>$P$2</formula>
    </cfRule>
  </conditionalFormatting>
  <conditionalFormatting sqref="N156:N159">
    <cfRule type="cellIs" dxfId="51" priority="28" operator="greaterThan">
      <formula>$P$2</formula>
    </cfRule>
  </conditionalFormatting>
  <conditionalFormatting sqref="N162:N165">
    <cfRule type="cellIs" dxfId="50" priority="25" operator="greaterThan">
      <formula>$P$2</formula>
    </cfRule>
  </conditionalFormatting>
  <conditionalFormatting sqref="N168:N171">
    <cfRule type="cellIs" dxfId="49" priority="22" operator="greaterThan">
      <formula>$P$2</formula>
    </cfRule>
  </conditionalFormatting>
  <conditionalFormatting sqref="N192:N195">
    <cfRule type="cellIs" dxfId="48" priority="16" operator="greaterThan">
      <formula>$P$2</formula>
    </cfRule>
  </conditionalFormatting>
  <conditionalFormatting sqref="N199:N201">
    <cfRule type="cellIs" dxfId="47" priority="13" operator="greaterThan">
      <formula>$P$2</formula>
    </cfRule>
  </conditionalFormatting>
  <conditionalFormatting sqref="N204:N211">
    <cfRule type="cellIs" dxfId="46" priority="10" operator="greaterThan">
      <formula>$P$2</formula>
    </cfRule>
  </conditionalFormatting>
  <conditionalFormatting sqref="N214:N226">
    <cfRule type="cellIs" dxfId="45" priority="7" operator="greaterThan">
      <formula>$P$2</formula>
    </cfRule>
  </conditionalFormatting>
  <conditionalFormatting sqref="O4:O7 O174:O188">
    <cfRule type="notContainsBlanks" dxfId="44" priority="128">
      <formula>LEN(TRIM(O4))&gt;0</formula>
    </cfRule>
  </conditionalFormatting>
  <conditionalFormatting sqref="O10:O25">
    <cfRule type="notContainsBlanks" dxfId="43" priority="71">
      <formula>LEN(TRIM(O10))&gt;0</formula>
    </cfRule>
  </conditionalFormatting>
  <conditionalFormatting sqref="O28:O43">
    <cfRule type="notContainsBlanks" dxfId="42" priority="68">
      <formula>LEN(TRIM(O28))&gt;0</formula>
    </cfRule>
  </conditionalFormatting>
  <conditionalFormatting sqref="O46:O72">
    <cfRule type="notContainsBlanks" dxfId="41" priority="65">
      <formula>LEN(TRIM(O46))&gt;0</formula>
    </cfRule>
  </conditionalFormatting>
  <conditionalFormatting sqref="O75:O76">
    <cfRule type="notContainsBlanks" dxfId="40" priority="62">
      <formula>LEN(TRIM(O75))&gt;0</formula>
    </cfRule>
  </conditionalFormatting>
  <conditionalFormatting sqref="O79:O80">
    <cfRule type="notContainsBlanks" dxfId="39" priority="59">
      <formula>LEN(TRIM(O79))&gt;0</formula>
    </cfRule>
  </conditionalFormatting>
  <conditionalFormatting sqref="O83:O84">
    <cfRule type="notContainsBlanks" dxfId="38" priority="56">
      <formula>LEN(TRIM(O83))&gt;0</formula>
    </cfRule>
  </conditionalFormatting>
  <conditionalFormatting sqref="O87:O88">
    <cfRule type="notContainsBlanks" dxfId="37" priority="53">
      <formula>LEN(TRIM(O87))&gt;0</formula>
    </cfRule>
  </conditionalFormatting>
  <conditionalFormatting sqref="O91:O92">
    <cfRule type="notContainsBlanks" dxfId="36" priority="50">
      <formula>LEN(TRIM(O91))&gt;0</formula>
    </cfRule>
  </conditionalFormatting>
  <conditionalFormatting sqref="O95:O96">
    <cfRule type="notContainsBlanks" dxfId="35" priority="47">
      <formula>LEN(TRIM(O95))&gt;0</formula>
    </cfRule>
  </conditionalFormatting>
  <conditionalFormatting sqref="O99:O100">
    <cfRule type="notContainsBlanks" dxfId="34" priority="44">
      <formula>LEN(TRIM(O99))&gt;0</formula>
    </cfRule>
  </conditionalFormatting>
  <conditionalFormatting sqref="O104:O118">
    <cfRule type="notContainsBlanks" dxfId="33" priority="41">
      <formula>LEN(TRIM(O104))&gt;0</formula>
    </cfRule>
  </conditionalFormatting>
  <conditionalFormatting sqref="O121:O127">
    <cfRule type="notContainsBlanks" dxfId="32" priority="38">
      <formula>LEN(TRIM(O121))&gt;0</formula>
    </cfRule>
  </conditionalFormatting>
  <conditionalFormatting sqref="O130:O133">
    <cfRule type="notContainsBlanks" dxfId="31" priority="35">
      <formula>LEN(TRIM(O130))&gt;0</formula>
    </cfRule>
  </conditionalFormatting>
  <conditionalFormatting sqref="O137:O153">
    <cfRule type="notContainsBlanks" dxfId="30" priority="3">
      <formula>LEN(TRIM(O137))&gt;0</formula>
    </cfRule>
  </conditionalFormatting>
  <conditionalFormatting sqref="O156:O159">
    <cfRule type="notContainsBlanks" dxfId="29" priority="29">
      <formula>LEN(TRIM(O156))&gt;0</formula>
    </cfRule>
  </conditionalFormatting>
  <conditionalFormatting sqref="O162:O165">
    <cfRule type="notContainsBlanks" dxfId="28" priority="26">
      <formula>LEN(TRIM(O162))&gt;0</formula>
    </cfRule>
  </conditionalFormatting>
  <conditionalFormatting sqref="O168:O171">
    <cfRule type="notContainsBlanks" dxfId="27" priority="23">
      <formula>LEN(TRIM(O168))&gt;0</formula>
    </cfRule>
  </conditionalFormatting>
  <conditionalFormatting sqref="O192:O195">
    <cfRule type="notContainsBlanks" dxfId="26" priority="17">
      <formula>LEN(TRIM(O192))&gt;0</formula>
    </cfRule>
  </conditionalFormatting>
  <conditionalFormatting sqref="O199:O201">
    <cfRule type="notContainsBlanks" dxfId="25" priority="14">
      <formula>LEN(TRIM(O199))&gt;0</formula>
    </cfRule>
  </conditionalFormatting>
  <conditionalFormatting sqref="O204:O211">
    <cfRule type="notContainsBlanks" dxfId="24" priority="11">
      <formula>LEN(TRIM(O204))&gt;0</formula>
    </cfRule>
  </conditionalFormatting>
  <conditionalFormatting sqref="O214:O226">
    <cfRule type="notContainsBlanks" dxfId="23" priority="8">
      <formula>LEN(TRIM(O214))&gt;0</formula>
    </cfRule>
  </conditionalFormatting>
  <conditionalFormatting sqref="Q4:R7 Q137:R153 Q174:R188 Q199:R201 Q204:R211 Q214:R226">
    <cfRule type="expression" dxfId="22" priority="93">
      <formula>Q4&lt;&gt;J4</formula>
    </cfRule>
  </conditionalFormatting>
  <conditionalFormatting sqref="Q10:R25">
    <cfRule type="expression" dxfId="21" priority="92">
      <formula>Q10&lt;&gt;J10</formula>
    </cfRule>
  </conditionalFormatting>
  <conditionalFormatting sqref="Q28:R43">
    <cfRule type="expression" dxfId="20" priority="91">
      <formula>Q28&lt;&gt;J28</formula>
    </cfRule>
  </conditionalFormatting>
  <conditionalFormatting sqref="Q46:R72">
    <cfRule type="expression" dxfId="19" priority="90">
      <formula>Q46&lt;&gt;J46</formula>
    </cfRule>
  </conditionalFormatting>
  <conditionalFormatting sqref="Q75:R76">
    <cfRule type="expression" dxfId="18" priority="89">
      <formula>Q75&lt;&gt;J75</formula>
    </cfRule>
  </conditionalFormatting>
  <conditionalFormatting sqref="Q79:R80">
    <cfRule type="expression" dxfId="17" priority="88">
      <formula>Q79&lt;&gt;J79</formula>
    </cfRule>
  </conditionalFormatting>
  <conditionalFormatting sqref="Q83:R84">
    <cfRule type="expression" dxfId="16" priority="87">
      <formula>Q83&lt;&gt;J83</formula>
    </cfRule>
  </conditionalFormatting>
  <conditionalFormatting sqref="Q87:R88">
    <cfRule type="expression" dxfId="15" priority="86">
      <formula>Q87&lt;&gt;J87</formula>
    </cfRule>
  </conditionalFormatting>
  <conditionalFormatting sqref="Q91:R92">
    <cfRule type="expression" dxfId="14" priority="85">
      <formula>Q91&lt;&gt;J91</formula>
    </cfRule>
  </conditionalFormatting>
  <conditionalFormatting sqref="Q95:R96">
    <cfRule type="expression" dxfId="13" priority="84">
      <formula>Q95&lt;&gt;J95</formula>
    </cfRule>
  </conditionalFormatting>
  <conditionalFormatting sqref="Q99:R100">
    <cfRule type="expression" dxfId="12" priority="83">
      <formula>Q99&lt;&gt;J99</formula>
    </cfRule>
  </conditionalFormatting>
  <conditionalFormatting sqref="Q104:R118">
    <cfRule type="expression" dxfId="11" priority="94">
      <formula>Q104&lt;&gt;J104</formula>
    </cfRule>
  </conditionalFormatting>
  <conditionalFormatting sqref="Q121:R127">
    <cfRule type="expression" dxfId="10" priority="101">
      <formula>Q121&lt;&gt;J121</formula>
    </cfRule>
  </conditionalFormatting>
  <conditionalFormatting sqref="Q130:R133">
    <cfRule type="expression" dxfId="9" priority="1">
      <formula>Q130&lt;&gt;J130</formula>
    </cfRule>
  </conditionalFormatting>
  <conditionalFormatting sqref="Q156:R159">
    <cfRule type="expression" dxfId="8" priority="97">
      <formula>Q156&lt;&gt;J156</formula>
    </cfRule>
  </conditionalFormatting>
  <conditionalFormatting sqref="Q162:R165">
    <cfRule type="expression" dxfId="7" priority="96">
      <formula>Q162&lt;&gt;J162</formula>
    </cfRule>
  </conditionalFormatting>
  <conditionalFormatting sqref="Q168:R171">
    <cfRule type="expression" dxfId="6" priority="95">
      <formula>Q168&lt;&gt;J168</formula>
    </cfRule>
  </conditionalFormatting>
  <conditionalFormatting sqref="Q192:R195">
    <cfRule type="expression" dxfId="5" priority="103">
      <formula>Q192&lt;&gt;J192</formula>
    </cfRule>
  </conditionalFormatting>
  <pageMargins left="0.7" right="0.7" top="0.75" bottom="0.75" header="0.3" footer="0.3"/>
  <pageSetup paperSize="9" orientation="portrait" r:id="rId1"/>
  <tableParts count="4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72"/>
  <sheetViews>
    <sheetView workbookViewId="0">
      <selection activeCell="A11" sqref="A11"/>
    </sheetView>
  </sheetViews>
  <sheetFormatPr defaultRowHeight="15.75" x14ac:dyDescent="0.25"/>
  <cols>
    <col min="1" max="1" width="12.375" bestFit="1" customWidth="1"/>
    <col min="2" max="9" width="5.375" bestFit="1" customWidth="1"/>
    <col min="10" max="10" width="16.125" bestFit="1" customWidth="1"/>
    <col min="11" max="11" width="9.375" bestFit="1" customWidth="1"/>
  </cols>
  <sheetData>
    <row r="1" spans="1:11" x14ac:dyDescent="0.25">
      <c r="J1" s="94" t="s">
        <v>481</v>
      </c>
      <c r="K1" s="95">
        <v>45603</v>
      </c>
    </row>
    <row r="2" spans="1:11" ht="68.25" x14ac:dyDescent="0.25">
      <c r="A2" t="s">
        <v>482</v>
      </c>
      <c r="B2" s="223" t="s">
        <v>483</v>
      </c>
      <c r="C2" s="223" t="s">
        <v>484</v>
      </c>
      <c r="D2" s="223" t="s">
        <v>485</v>
      </c>
      <c r="E2" s="223" t="s">
        <v>486</v>
      </c>
      <c r="F2" s="223" t="s">
        <v>487</v>
      </c>
      <c r="G2" s="223" t="s">
        <v>488</v>
      </c>
      <c r="H2" s="223" t="s">
        <v>489</v>
      </c>
      <c r="I2" s="223" t="s">
        <v>490</v>
      </c>
    </row>
    <row r="3" spans="1:11" x14ac:dyDescent="0.25">
      <c r="A3" t="s">
        <v>91</v>
      </c>
      <c r="B3" s="1"/>
      <c r="C3" s="1"/>
      <c r="D3" s="1">
        <v>1</v>
      </c>
      <c r="E3" s="1">
        <v>1</v>
      </c>
      <c r="F3" s="1"/>
      <c r="G3" s="1"/>
      <c r="H3" s="1"/>
      <c r="I3" s="1"/>
    </row>
    <row r="4" spans="1:11" x14ac:dyDescent="0.25">
      <c r="A4" t="s">
        <v>102</v>
      </c>
      <c r="B4" s="1"/>
      <c r="C4" s="1"/>
      <c r="D4" s="1"/>
      <c r="E4" s="1"/>
      <c r="F4" s="1">
        <v>1</v>
      </c>
      <c r="G4" s="1">
        <v>1</v>
      </c>
      <c r="H4" s="1"/>
      <c r="I4" s="1"/>
    </row>
    <row r="5" spans="1:11" x14ac:dyDescent="0.25">
      <c r="A5" t="s">
        <v>83</v>
      </c>
      <c r="B5" s="1"/>
      <c r="C5" s="1"/>
      <c r="D5" s="1"/>
      <c r="E5" s="1"/>
      <c r="F5" s="1">
        <v>1</v>
      </c>
      <c r="G5" s="1">
        <v>1</v>
      </c>
      <c r="H5" s="1"/>
      <c r="I5" s="1"/>
    </row>
    <row r="6" spans="1:11" x14ac:dyDescent="0.25">
      <c r="A6" t="s">
        <v>111</v>
      </c>
      <c r="B6" s="1"/>
      <c r="C6" s="1"/>
      <c r="D6" s="1">
        <v>1</v>
      </c>
      <c r="E6" s="1">
        <v>1</v>
      </c>
      <c r="F6" s="1"/>
      <c r="G6" s="1"/>
      <c r="H6" s="1"/>
      <c r="I6" s="1"/>
    </row>
    <row r="7" spans="1:11" x14ac:dyDescent="0.25">
      <c r="A7" t="s">
        <v>119</v>
      </c>
      <c r="B7" s="1">
        <v>1</v>
      </c>
      <c r="C7" s="1">
        <v>1</v>
      </c>
      <c r="D7" s="1"/>
      <c r="E7" s="1"/>
      <c r="F7" s="1"/>
      <c r="G7" s="1"/>
      <c r="H7" s="1"/>
      <c r="I7" s="1"/>
    </row>
    <row r="8" spans="1:11" x14ac:dyDescent="0.25">
      <c r="A8" t="s">
        <v>127</v>
      </c>
      <c r="B8" s="1"/>
      <c r="C8" s="1"/>
      <c r="D8" s="1">
        <v>1</v>
      </c>
      <c r="E8" s="1">
        <v>1</v>
      </c>
      <c r="F8" s="1"/>
      <c r="G8" s="1"/>
      <c r="H8" s="1"/>
      <c r="I8" s="1"/>
    </row>
    <row r="9" spans="1:11" x14ac:dyDescent="0.25">
      <c r="A9" t="s">
        <v>92</v>
      </c>
      <c r="B9" s="1"/>
      <c r="C9" s="1"/>
      <c r="D9" s="1"/>
      <c r="E9" s="1"/>
      <c r="F9" s="1"/>
      <c r="G9" s="1"/>
      <c r="H9" s="1">
        <v>1</v>
      </c>
      <c r="I9" s="1">
        <v>1</v>
      </c>
    </row>
    <row r="10" spans="1:11" x14ac:dyDescent="0.25">
      <c r="A10" t="s">
        <v>103</v>
      </c>
      <c r="B10" s="1">
        <v>1</v>
      </c>
      <c r="C10" s="1">
        <v>1</v>
      </c>
      <c r="D10" s="1">
        <v>1</v>
      </c>
      <c r="E10" s="1">
        <v>1</v>
      </c>
      <c r="F10" s="1"/>
      <c r="G10" s="1"/>
      <c r="H10" s="1"/>
      <c r="I10" s="1"/>
    </row>
    <row r="11" spans="1:11" x14ac:dyDescent="0.25">
      <c r="A11" t="s">
        <v>124</v>
      </c>
      <c r="B11" s="1"/>
      <c r="C11" s="1"/>
      <c r="D11" s="1"/>
      <c r="E11" s="1"/>
      <c r="F11" s="1"/>
      <c r="G11" s="1"/>
      <c r="H11" s="1">
        <v>1</v>
      </c>
      <c r="I11" s="1">
        <v>1</v>
      </c>
    </row>
    <row r="12" spans="1:11" x14ac:dyDescent="0.25">
      <c r="A12" t="s">
        <v>120</v>
      </c>
      <c r="B12" s="1"/>
      <c r="C12" s="1"/>
      <c r="D12" s="1"/>
      <c r="E12" s="1"/>
      <c r="F12" s="1">
        <v>1</v>
      </c>
      <c r="G12" s="1">
        <v>1</v>
      </c>
      <c r="H12" s="1"/>
      <c r="I12" s="1"/>
    </row>
    <row r="13" spans="1:11" x14ac:dyDescent="0.25">
      <c r="A13" t="s">
        <v>245</v>
      </c>
      <c r="B13" s="1"/>
      <c r="C13" s="1">
        <v>1</v>
      </c>
      <c r="D13" s="1"/>
      <c r="E13" s="1"/>
      <c r="F13" s="1"/>
      <c r="G13" s="1">
        <v>1</v>
      </c>
      <c r="H13" s="1"/>
      <c r="I13" s="1"/>
    </row>
    <row r="14" spans="1:11" x14ac:dyDescent="0.25">
      <c r="A14" t="s">
        <v>246</v>
      </c>
      <c r="B14" s="1"/>
      <c r="C14" s="1"/>
      <c r="D14" s="1"/>
      <c r="E14" s="1">
        <v>1</v>
      </c>
      <c r="F14" s="1"/>
      <c r="G14" s="1"/>
      <c r="H14" s="1"/>
      <c r="I14" s="1">
        <v>1</v>
      </c>
    </row>
    <row r="15" spans="1:11" x14ac:dyDescent="0.25">
      <c r="A15" t="s">
        <v>248</v>
      </c>
      <c r="B15" s="1"/>
      <c r="C15" s="1">
        <v>1</v>
      </c>
      <c r="D15" s="1"/>
      <c r="E15" s="1"/>
      <c r="F15" s="1"/>
      <c r="G15" s="1">
        <v>1</v>
      </c>
      <c r="H15" s="1"/>
      <c r="I15" s="1"/>
    </row>
    <row r="16" spans="1:11" x14ac:dyDescent="0.25">
      <c r="A16" t="s">
        <v>249</v>
      </c>
      <c r="B16" s="1"/>
      <c r="C16" s="1"/>
      <c r="D16" s="1"/>
      <c r="E16" s="1">
        <v>1</v>
      </c>
      <c r="F16" s="1"/>
      <c r="G16" s="1"/>
      <c r="H16" s="1"/>
      <c r="I16" s="1">
        <v>1</v>
      </c>
    </row>
    <row r="17" spans="1:9" x14ac:dyDescent="0.25">
      <c r="A17" t="s">
        <v>93</v>
      </c>
      <c r="B17" s="1">
        <v>1</v>
      </c>
      <c r="C17" s="1">
        <v>1</v>
      </c>
      <c r="D17" s="1">
        <v>1</v>
      </c>
      <c r="E17" s="1">
        <v>1</v>
      </c>
      <c r="F17" s="1"/>
      <c r="G17" s="1"/>
      <c r="H17" s="1"/>
      <c r="I17" s="1"/>
    </row>
    <row r="18" spans="1:9" x14ac:dyDescent="0.25">
      <c r="A18" t="s">
        <v>104</v>
      </c>
      <c r="B18" s="1"/>
      <c r="C18" s="1"/>
      <c r="D18" s="1">
        <v>1</v>
      </c>
      <c r="E18" s="1">
        <v>1</v>
      </c>
      <c r="F18" s="1">
        <v>1</v>
      </c>
      <c r="G18" s="1">
        <v>1</v>
      </c>
      <c r="H18" s="1"/>
      <c r="I18" s="1"/>
    </row>
    <row r="19" spans="1:9" x14ac:dyDescent="0.25">
      <c r="A19" t="s">
        <v>89</v>
      </c>
      <c r="B19" s="1"/>
      <c r="C19" s="1"/>
      <c r="D19" s="1"/>
      <c r="E19" s="1"/>
      <c r="F19" s="1"/>
      <c r="G19" s="1"/>
      <c r="H19" s="1">
        <v>1</v>
      </c>
      <c r="I19" s="1">
        <v>1</v>
      </c>
    </row>
    <row r="20" spans="1:9" x14ac:dyDescent="0.25">
      <c r="A20" t="s">
        <v>112</v>
      </c>
      <c r="B20" s="1"/>
      <c r="C20" s="1"/>
      <c r="D20" s="1"/>
      <c r="E20" s="1"/>
      <c r="F20" s="1"/>
      <c r="G20" s="1"/>
      <c r="H20" s="1">
        <v>1</v>
      </c>
      <c r="I20" s="1">
        <v>1</v>
      </c>
    </row>
    <row r="21" spans="1:9" x14ac:dyDescent="0.25">
      <c r="A21" t="s">
        <v>108</v>
      </c>
      <c r="B21" s="1"/>
      <c r="C21" s="1"/>
      <c r="D21" s="1">
        <v>1</v>
      </c>
      <c r="E21" s="1">
        <v>1</v>
      </c>
      <c r="F21" s="1"/>
      <c r="G21" s="1"/>
      <c r="H21" s="1"/>
      <c r="I21" s="1"/>
    </row>
    <row r="22" spans="1:9" x14ac:dyDescent="0.25">
      <c r="A22" t="s">
        <v>125</v>
      </c>
      <c r="B22" s="1"/>
      <c r="C22" s="1"/>
      <c r="D22" s="1">
        <v>1</v>
      </c>
      <c r="E22" s="1">
        <v>1</v>
      </c>
      <c r="F22" s="1"/>
      <c r="G22" s="1"/>
      <c r="H22" s="1"/>
      <c r="I22" s="1"/>
    </row>
    <row r="23" spans="1:9" x14ac:dyDescent="0.25">
      <c r="A23" t="s">
        <v>117</v>
      </c>
      <c r="B23" s="1">
        <v>1</v>
      </c>
      <c r="C23" s="1">
        <v>1</v>
      </c>
      <c r="D23" s="1"/>
      <c r="E23" s="1"/>
      <c r="F23" s="1"/>
      <c r="G23" s="1"/>
      <c r="H23" s="1"/>
      <c r="I23" s="1"/>
    </row>
    <row r="24" spans="1:9" x14ac:dyDescent="0.25">
      <c r="A24" t="s">
        <v>122</v>
      </c>
      <c r="B24" s="1"/>
      <c r="C24" s="1"/>
      <c r="D24" s="1"/>
      <c r="E24" s="1"/>
      <c r="F24" s="1">
        <v>1</v>
      </c>
      <c r="G24" s="1">
        <v>1</v>
      </c>
      <c r="H24" s="1"/>
      <c r="I24" s="1"/>
    </row>
    <row r="25" spans="1:9" x14ac:dyDescent="0.25">
      <c r="A25" t="s">
        <v>275</v>
      </c>
      <c r="B25" s="1"/>
      <c r="C25" s="1"/>
      <c r="D25" s="1">
        <v>1</v>
      </c>
      <c r="E25" s="1">
        <v>1</v>
      </c>
      <c r="F25" s="1"/>
      <c r="G25" s="1"/>
      <c r="H25" s="1">
        <v>1</v>
      </c>
      <c r="I25" s="1">
        <v>1</v>
      </c>
    </row>
    <row r="26" spans="1:9" x14ac:dyDescent="0.25">
      <c r="A26" t="s">
        <v>185</v>
      </c>
      <c r="B26" s="1">
        <v>1</v>
      </c>
      <c r="C26" s="1">
        <v>1</v>
      </c>
      <c r="D26" s="1"/>
      <c r="E26" s="1"/>
      <c r="F26" s="1">
        <v>1</v>
      </c>
      <c r="G26" s="1">
        <v>1</v>
      </c>
      <c r="H26" s="1"/>
      <c r="I26" s="1"/>
    </row>
    <row r="27" spans="1:9" x14ac:dyDescent="0.25">
      <c r="A27" t="s">
        <v>301</v>
      </c>
      <c r="B27" s="1"/>
      <c r="C27" s="1"/>
      <c r="D27" s="1">
        <v>1</v>
      </c>
      <c r="E27" s="1">
        <v>1</v>
      </c>
      <c r="F27" s="1"/>
      <c r="G27" s="1"/>
      <c r="H27" s="1">
        <v>1</v>
      </c>
      <c r="I27" s="1">
        <v>1</v>
      </c>
    </row>
    <row r="28" spans="1:9" x14ac:dyDescent="0.25">
      <c r="A28" t="s">
        <v>302</v>
      </c>
      <c r="B28" s="1"/>
      <c r="C28" s="1"/>
      <c r="D28" s="1">
        <v>1</v>
      </c>
      <c r="E28" s="1">
        <v>1</v>
      </c>
      <c r="F28" s="1"/>
      <c r="G28" s="1"/>
      <c r="H28" s="1">
        <v>1</v>
      </c>
      <c r="I28" s="1">
        <v>1</v>
      </c>
    </row>
    <row r="29" spans="1:9" x14ac:dyDescent="0.25">
      <c r="A29" t="s">
        <v>304</v>
      </c>
      <c r="B29" s="1"/>
      <c r="C29" s="1"/>
      <c r="D29" s="1">
        <v>1</v>
      </c>
      <c r="E29" s="1">
        <v>1</v>
      </c>
      <c r="F29" s="1"/>
      <c r="G29" s="1"/>
      <c r="H29" s="1">
        <v>1</v>
      </c>
      <c r="I29" s="1">
        <v>1</v>
      </c>
    </row>
    <row r="30" spans="1:9" x14ac:dyDescent="0.25">
      <c r="A30" t="s">
        <v>305</v>
      </c>
      <c r="B30" s="1"/>
      <c r="C30" s="1"/>
      <c r="D30" s="1">
        <v>1</v>
      </c>
      <c r="E30" s="1">
        <v>1</v>
      </c>
      <c r="F30" s="1"/>
      <c r="G30" s="1"/>
      <c r="H30" s="1">
        <v>1</v>
      </c>
      <c r="I30" s="1">
        <v>1</v>
      </c>
    </row>
    <row r="31" spans="1:9" x14ac:dyDescent="0.25">
      <c r="A31" t="s">
        <v>306</v>
      </c>
      <c r="B31" s="1"/>
      <c r="C31" s="1"/>
      <c r="D31" s="1">
        <v>1</v>
      </c>
      <c r="E31" s="1">
        <v>1</v>
      </c>
      <c r="F31" s="1"/>
      <c r="G31" s="1"/>
      <c r="H31" s="1">
        <v>1</v>
      </c>
      <c r="I31" s="1">
        <v>1</v>
      </c>
    </row>
    <row r="32" spans="1:9" x14ac:dyDescent="0.25">
      <c r="A32" t="s">
        <v>278</v>
      </c>
      <c r="B32" s="1">
        <v>1</v>
      </c>
      <c r="C32" s="1">
        <v>1</v>
      </c>
      <c r="D32" s="1">
        <v>1</v>
      </c>
      <c r="E32" s="1">
        <v>1</v>
      </c>
      <c r="F32" s="1"/>
      <c r="G32" s="1"/>
      <c r="H32" s="1"/>
      <c r="I32" s="1"/>
    </row>
    <row r="33" spans="1:9" x14ac:dyDescent="0.25">
      <c r="A33" t="s">
        <v>283</v>
      </c>
      <c r="B33" s="1"/>
      <c r="C33" s="1"/>
      <c r="D33" s="1">
        <v>1</v>
      </c>
      <c r="E33" s="1">
        <v>1</v>
      </c>
      <c r="F33" s="1">
        <v>1</v>
      </c>
      <c r="G33" s="1">
        <v>1</v>
      </c>
      <c r="H33" s="1"/>
      <c r="I33" s="1"/>
    </row>
    <row r="34" spans="1:9" x14ac:dyDescent="0.25">
      <c r="A34" t="s">
        <v>309</v>
      </c>
      <c r="B34" s="1"/>
      <c r="C34" s="1"/>
      <c r="D34" s="1">
        <v>1</v>
      </c>
      <c r="E34" s="1">
        <v>1</v>
      </c>
      <c r="F34" s="1"/>
      <c r="G34" s="1"/>
      <c r="H34" s="1">
        <v>1</v>
      </c>
      <c r="I34" s="1">
        <v>1</v>
      </c>
    </row>
    <row r="35" spans="1:9" x14ac:dyDescent="0.25">
      <c r="A35" t="s">
        <v>312</v>
      </c>
      <c r="B35" s="1"/>
      <c r="C35" s="1"/>
      <c r="D35" s="1">
        <v>1</v>
      </c>
      <c r="E35" s="1">
        <v>1</v>
      </c>
      <c r="F35" s="1"/>
      <c r="G35" s="1"/>
      <c r="H35" s="1">
        <v>1</v>
      </c>
      <c r="I35" s="1">
        <v>1</v>
      </c>
    </row>
    <row r="36" spans="1:9" x14ac:dyDescent="0.25">
      <c r="A36" t="s">
        <v>313</v>
      </c>
      <c r="B36" s="1"/>
      <c r="C36" s="1"/>
      <c r="D36" s="1">
        <v>1</v>
      </c>
      <c r="E36" s="1">
        <v>1</v>
      </c>
      <c r="F36" s="1"/>
      <c r="G36" s="1"/>
      <c r="H36" s="1">
        <v>1</v>
      </c>
      <c r="I36" s="1">
        <v>1</v>
      </c>
    </row>
    <row r="37" spans="1:9" x14ac:dyDescent="0.25">
      <c r="A37" t="s">
        <v>314</v>
      </c>
      <c r="B37" s="1"/>
      <c r="C37" s="1"/>
      <c r="D37" s="1">
        <v>1</v>
      </c>
      <c r="E37" s="1">
        <v>1</v>
      </c>
      <c r="F37" s="1"/>
      <c r="G37" s="1"/>
      <c r="H37" s="1">
        <v>1</v>
      </c>
      <c r="I37" s="1">
        <v>1</v>
      </c>
    </row>
    <row r="38" spans="1:9" x14ac:dyDescent="0.25">
      <c r="A38" t="s">
        <v>269</v>
      </c>
      <c r="B38" s="1">
        <v>1</v>
      </c>
      <c r="C38" s="1">
        <v>1</v>
      </c>
      <c r="D38" s="1">
        <v>1</v>
      </c>
      <c r="E38" s="1">
        <v>1</v>
      </c>
      <c r="F38" s="1"/>
      <c r="G38" s="1"/>
      <c r="H38" s="1"/>
      <c r="I38" s="1"/>
    </row>
    <row r="39" spans="1:9" x14ac:dyDescent="0.25">
      <c r="A39" t="s">
        <v>310</v>
      </c>
      <c r="B39" s="1"/>
      <c r="C39" s="1"/>
      <c r="D39" s="1">
        <v>1</v>
      </c>
      <c r="E39" s="1">
        <v>1</v>
      </c>
      <c r="F39" s="1"/>
      <c r="G39" s="1"/>
      <c r="H39" s="1">
        <v>1</v>
      </c>
      <c r="I39" s="1">
        <v>1</v>
      </c>
    </row>
    <row r="40" spans="1:9" x14ac:dyDescent="0.25">
      <c r="A40" t="s">
        <v>303</v>
      </c>
      <c r="B40" s="1"/>
      <c r="C40" s="1"/>
      <c r="D40" s="1">
        <v>1</v>
      </c>
      <c r="E40" s="1">
        <v>1</v>
      </c>
      <c r="F40" s="1"/>
      <c r="G40" s="1"/>
      <c r="H40" s="1">
        <v>1</v>
      </c>
      <c r="I40" s="1">
        <v>1</v>
      </c>
    </row>
    <row r="41" spans="1:9" x14ac:dyDescent="0.25">
      <c r="A41" t="s">
        <v>311</v>
      </c>
      <c r="B41" s="1"/>
      <c r="C41" s="1"/>
      <c r="D41" s="1">
        <v>1</v>
      </c>
      <c r="E41" s="1">
        <v>1</v>
      </c>
      <c r="F41" s="1"/>
      <c r="G41" s="1"/>
      <c r="H41" s="1">
        <v>1</v>
      </c>
      <c r="I41" s="1">
        <v>1</v>
      </c>
    </row>
    <row r="42" spans="1:9" x14ac:dyDescent="0.25">
      <c r="A42" t="s">
        <v>320</v>
      </c>
      <c r="B42" s="1"/>
      <c r="C42" s="1"/>
      <c r="D42" s="1">
        <v>1</v>
      </c>
      <c r="E42" s="1">
        <v>1</v>
      </c>
      <c r="F42" s="1"/>
      <c r="G42" s="1"/>
      <c r="H42" s="1">
        <v>1</v>
      </c>
      <c r="I42" s="1">
        <v>1</v>
      </c>
    </row>
    <row r="43" spans="1:9" x14ac:dyDescent="0.25">
      <c r="A43" t="s">
        <v>291</v>
      </c>
      <c r="B43" s="1">
        <v>1</v>
      </c>
      <c r="C43" s="1">
        <v>1</v>
      </c>
      <c r="D43" s="1"/>
      <c r="E43" s="1"/>
      <c r="F43" s="1"/>
      <c r="G43" s="1"/>
      <c r="H43" s="1"/>
      <c r="I43" s="1"/>
    </row>
    <row r="44" spans="1:9" x14ac:dyDescent="0.25">
      <c r="A44" t="s">
        <v>74</v>
      </c>
      <c r="B44" s="1">
        <v>1</v>
      </c>
      <c r="C44" s="1">
        <v>1</v>
      </c>
      <c r="D44" s="1"/>
      <c r="E44" s="1"/>
      <c r="F44" s="1">
        <v>1</v>
      </c>
      <c r="G44" s="1">
        <v>1</v>
      </c>
      <c r="H44" s="1"/>
      <c r="I44" s="1"/>
    </row>
    <row r="45" spans="1:9" x14ac:dyDescent="0.25">
      <c r="A45" t="s">
        <v>97</v>
      </c>
      <c r="B45" s="1"/>
      <c r="C45" s="1"/>
      <c r="D45" s="1">
        <v>1</v>
      </c>
      <c r="E45" s="1">
        <v>1</v>
      </c>
      <c r="F45" s="1">
        <v>1</v>
      </c>
      <c r="G45" s="1">
        <v>1</v>
      </c>
      <c r="H45" s="1">
        <v>1</v>
      </c>
      <c r="I45" s="1">
        <v>1</v>
      </c>
    </row>
    <row r="46" spans="1:9" x14ac:dyDescent="0.25">
      <c r="A46" t="s">
        <v>98</v>
      </c>
      <c r="B46" s="1">
        <v>1</v>
      </c>
      <c r="C46" s="1">
        <v>1</v>
      </c>
      <c r="D46" s="1"/>
      <c r="E46" s="1"/>
      <c r="F46" s="1">
        <v>1</v>
      </c>
      <c r="G46" s="1">
        <v>1</v>
      </c>
      <c r="H46" s="1"/>
      <c r="I46" s="1"/>
    </row>
    <row r="47" spans="1:9" x14ac:dyDescent="0.25">
      <c r="A47" t="s">
        <v>88</v>
      </c>
      <c r="B47" s="1"/>
      <c r="C47" s="1"/>
      <c r="D47" s="1">
        <v>1</v>
      </c>
      <c r="E47" s="1">
        <v>1</v>
      </c>
      <c r="F47" s="1"/>
      <c r="G47" s="1"/>
      <c r="H47" s="1">
        <v>1</v>
      </c>
      <c r="I47" s="1">
        <v>1</v>
      </c>
    </row>
    <row r="48" spans="1:9" x14ac:dyDescent="0.25">
      <c r="A48" t="s">
        <v>172</v>
      </c>
      <c r="B48" s="1"/>
      <c r="C48" s="1"/>
      <c r="D48" s="1">
        <v>1</v>
      </c>
      <c r="E48" s="1">
        <v>1</v>
      </c>
      <c r="F48" s="1"/>
      <c r="G48" s="1"/>
      <c r="H48" s="1">
        <v>1</v>
      </c>
      <c r="I48" s="1">
        <v>1</v>
      </c>
    </row>
    <row r="49" spans="1:9" x14ac:dyDescent="0.25">
      <c r="A49" t="s">
        <v>160</v>
      </c>
      <c r="B49" s="1">
        <v>1</v>
      </c>
      <c r="C49" s="1">
        <v>1</v>
      </c>
      <c r="D49" s="1"/>
      <c r="E49" s="1"/>
      <c r="F49" s="1"/>
      <c r="G49" s="1">
        <v>1</v>
      </c>
      <c r="H49" s="1"/>
      <c r="I49" s="1"/>
    </row>
    <row r="50" spans="1:9" x14ac:dyDescent="0.25">
      <c r="A50" t="s">
        <v>165</v>
      </c>
      <c r="B50" s="1"/>
      <c r="C50" s="1">
        <v>1</v>
      </c>
      <c r="D50" s="1"/>
      <c r="E50" s="1"/>
      <c r="F50" s="1">
        <v>1</v>
      </c>
      <c r="G50" s="1">
        <v>1</v>
      </c>
      <c r="H50" s="1"/>
      <c r="I50" s="1"/>
    </row>
    <row r="51" spans="1:9" x14ac:dyDescent="0.25">
      <c r="A51" t="s">
        <v>179</v>
      </c>
      <c r="B51" s="1"/>
      <c r="C51" s="1"/>
      <c r="D51" s="1">
        <v>1</v>
      </c>
      <c r="E51" s="1">
        <v>1</v>
      </c>
      <c r="F51" s="1"/>
      <c r="G51" s="1"/>
      <c r="H51" s="1"/>
      <c r="I51" s="1">
        <v>1</v>
      </c>
    </row>
    <row r="52" spans="1:9" x14ac:dyDescent="0.25">
      <c r="A52" t="s">
        <v>79</v>
      </c>
      <c r="B52" s="1">
        <v>1</v>
      </c>
      <c r="C52" s="1">
        <v>1</v>
      </c>
      <c r="D52" s="1"/>
      <c r="E52" s="1"/>
      <c r="F52" s="1">
        <v>1</v>
      </c>
      <c r="G52" s="1">
        <v>1</v>
      </c>
      <c r="H52" s="1"/>
      <c r="I52" s="1"/>
    </row>
    <row r="53" spans="1:9" x14ac:dyDescent="0.25">
      <c r="A53" t="s">
        <v>182</v>
      </c>
      <c r="B53" s="1"/>
      <c r="C53" s="1"/>
      <c r="D53" s="1">
        <v>1</v>
      </c>
      <c r="E53" s="1">
        <v>1</v>
      </c>
      <c r="F53" s="1"/>
      <c r="G53" s="1"/>
      <c r="H53" s="1">
        <v>1</v>
      </c>
      <c r="I53" s="1">
        <v>1</v>
      </c>
    </row>
    <row r="54" spans="1:9" x14ac:dyDescent="0.25">
      <c r="A54" t="s">
        <v>208</v>
      </c>
      <c r="B54" s="1">
        <v>1</v>
      </c>
      <c r="C54" s="1">
        <v>1</v>
      </c>
      <c r="D54" s="1"/>
      <c r="E54" s="1"/>
      <c r="F54" s="1">
        <v>1</v>
      </c>
      <c r="G54" s="1">
        <v>1</v>
      </c>
      <c r="H54" s="1"/>
      <c r="I54" s="1"/>
    </row>
    <row r="55" spans="1:9" x14ac:dyDescent="0.25">
      <c r="A55" t="s">
        <v>187</v>
      </c>
      <c r="B55" s="1"/>
      <c r="C55" s="1"/>
      <c r="D55" s="1">
        <v>1</v>
      </c>
      <c r="E55" s="1">
        <v>1</v>
      </c>
      <c r="F55" s="1"/>
      <c r="G55" s="1"/>
      <c r="H55" s="1">
        <v>1</v>
      </c>
      <c r="I55" s="1">
        <v>1</v>
      </c>
    </row>
    <row r="56" spans="1:9" x14ac:dyDescent="0.25">
      <c r="A56" t="s">
        <v>167</v>
      </c>
      <c r="B56" s="1"/>
      <c r="C56" s="1"/>
      <c r="D56" s="1"/>
      <c r="E56" s="1"/>
      <c r="F56" s="1">
        <v>1</v>
      </c>
      <c r="G56" s="1">
        <v>1</v>
      </c>
      <c r="H56" s="1"/>
      <c r="I56" s="1"/>
    </row>
    <row r="57" spans="1:9" x14ac:dyDescent="0.25">
      <c r="A57" t="s">
        <v>181</v>
      </c>
      <c r="B57" s="1"/>
      <c r="C57" s="1"/>
      <c r="D57" s="1">
        <v>1</v>
      </c>
      <c r="E57" s="1">
        <v>1</v>
      </c>
      <c r="F57" s="1"/>
      <c r="G57" s="1"/>
      <c r="H57" s="1">
        <v>1</v>
      </c>
      <c r="I57" s="1">
        <v>1</v>
      </c>
    </row>
    <row r="58" spans="1:9" x14ac:dyDescent="0.25">
      <c r="A58" t="s">
        <v>173</v>
      </c>
      <c r="B58" s="1"/>
      <c r="C58" s="1"/>
      <c r="D58" s="1">
        <v>1</v>
      </c>
      <c r="E58" s="1">
        <v>1</v>
      </c>
      <c r="F58" s="1"/>
      <c r="G58" s="1"/>
      <c r="H58" s="1"/>
      <c r="I58" s="1">
        <v>1</v>
      </c>
    </row>
    <row r="59" spans="1:9" x14ac:dyDescent="0.25">
      <c r="A59" t="s">
        <v>162</v>
      </c>
      <c r="B59" s="1">
        <v>1</v>
      </c>
      <c r="C59" s="1">
        <v>1</v>
      </c>
      <c r="D59" s="1"/>
      <c r="E59" s="1"/>
      <c r="F59" s="1">
        <v>1</v>
      </c>
      <c r="G59" s="1">
        <v>1</v>
      </c>
      <c r="H59" s="1"/>
      <c r="I59" s="1"/>
    </row>
    <row r="60" spans="1:9" x14ac:dyDescent="0.25">
      <c r="A60" t="s">
        <v>215</v>
      </c>
      <c r="B60" s="1"/>
      <c r="C60" s="1"/>
      <c r="D60" s="1">
        <v>1</v>
      </c>
      <c r="E60" s="1">
        <v>1</v>
      </c>
      <c r="F60" s="1"/>
      <c r="G60" s="1"/>
      <c r="H60" s="1">
        <v>1</v>
      </c>
      <c r="I60" s="1">
        <v>1</v>
      </c>
    </row>
    <row r="61" spans="1:9" x14ac:dyDescent="0.25">
      <c r="A61" t="s">
        <v>214</v>
      </c>
      <c r="B61" s="1"/>
      <c r="C61" s="1"/>
      <c r="D61" s="1"/>
      <c r="E61" s="1"/>
      <c r="F61" s="1">
        <v>1</v>
      </c>
      <c r="G61" s="1">
        <v>1</v>
      </c>
      <c r="H61" s="1"/>
      <c r="I61" s="1"/>
    </row>
    <row r="62" spans="1:9" x14ac:dyDescent="0.25">
      <c r="A62" t="s">
        <v>217</v>
      </c>
      <c r="B62" s="1">
        <v>1</v>
      </c>
      <c r="C62" s="1">
        <v>1</v>
      </c>
      <c r="D62" s="1"/>
      <c r="E62" s="1"/>
      <c r="F62" s="1">
        <v>1</v>
      </c>
      <c r="G62" s="1">
        <v>1</v>
      </c>
      <c r="H62" s="1"/>
      <c r="I62" s="1"/>
    </row>
    <row r="63" spans="1:9" x14ac:dyDescent="0.25">
      <c r="A63" t="s">
        <v>216</v>
      </c>
      <c r="B63" s="1"/>
      <c r="C63" s="1"/>
      <c r="D63" s="1">
        <v>1</v>
      </c>
      <c r="E63" s="1">
        <v>1</v>
      </c>
      <c r="F63" s="1"/>
      <c r="G63" s="1"/>
      <c r="H63" s="1">
        <v>1</v>
      </c>
      <c r="I63" s="1">
        <v>1</v>
      </c>
    </row>
    <row r="64" spans="1:9" x14ac:dyDescent="0.25">
      <c r="A64" t="s">
        <v>211</v>
      </c>
      <c r="B64" s="1">
        <v>1</v>
      </c>
      <c r="C64" s="1">
        <v>1</v>
      </c>
      <c r="D64" s="1"/>
      <c r="E64" s="1"/>
      <c r="F64" s="1"/>
      <c r="G64" s="1"/>
      <c r="H64" s="1"/>
      <c r="I64" s="1"/>
    </row>
    <row r="65" spans="1:9" x14ac:dyDescent="0.25">
      <c r="A65" t="s">
        <v>210</v>
      </c>
      <c r="B65" s="1">
        <v>1</v>
      </c>
      <c r="C65" s="1">
        <v>1</v>
      </c>
      <c r="D65" s="1"/>
      <c r="E65" s="1"/>
      <c r="F65" s="1"/>
      <c r="G65" s="1"/>
      <c r="H65" s="1"/>
      <c r="I65" s="1"/>
    </row>
    <row r="66" spans="1:9" x14ac:dyDescent="0.25">
      <c r="A66" t="s">
        <v>212</v>
      </c>
      <c r="B66" s="1"/>
      <c r="C66" s="1"/>
      <c r="D66" s="1"/>
      <c r="E66" s="1"/>
      <c r="F66" s="1">
        <v>1</v>
      </c>
      <c r="G66" s="1">
        <v>1</v>
      </c>
      <c r="H66" s="1"/>
      <c r="I66" s="1"/>
    </row>
    <row r="67" spans="1:9" x14ac:dyDescent="0.25">
      <c r="A67" t="s">
        <v>213</v>
      </c>
      <c r="B67" s="1">
        <v>1</v>
      </c>
      <c r="C67" s="1">
        <v>1</v>
      </c>
      <c r="D67" s="1"/>
      <c r="E67" s="1"/>
      <c r="F67" s="1"/>
      <c r="G67" s="1"/>
      <c r="H67" s="1"/>
      <c r="I67" s="1"/>
    </row>
    <row r="68" spans="1:9" x14ac:dyDescent="0.25">
      <c r="A68" t="s">
        <v>121</v>
      </c>
      <c r="B68" s="1">
        <v>1</v>
      </c>
      <c r="C68" s="1">
        <v>1</v>
      </c>
      <c r="D68" s="1"/>
      <c r="E68" s="1"/>
      <c r="F68" s="1">
        <v>1</v>
      </c>
      <c r="G68" s="1">
        <v>1</v>
      </c>
      <c r="H68" s="1"/>
      <c r="I68" s="1"/>
    </row>
    <row r="69" spans="1:9" x14ac:dyDescent="0.25">
      <c r="A69" t="s">
        <v>133</v>
      </c>
      <c r="B69" s="1">
        <v>1</v>
      </c>
      <c r="C69" s="1">
        <v>1</v>
      </c>
      <c r="D69" s="1">
        <v>1</v>
      </c>
      <c r="E69" s="1">
        <v>1</v>
      </c>
      <c r="F69" s="1">
        <v>1</v>
      </c>
      <c r="G69" s="1">
        <v>1</v>
      </c>
      <c r="H69" s="1">
        <v>1</v>
      </c>
      <c r="I69" s="1">
        <v>1</v>
      </c>
    </row>
    <row r="70" spans="1:9" x14ac:dyDescent="0.25">
      <c r="A70" t="s">
        <v>128</v>
      </c>
      <c r="B70" s="1">
        <v>1</v>
      </c>
      <c r="C70" s="1">
        <v>1</v>
      </c>
      <c r="D70" s="1"/>
      <c r="E70" s="1"/>
      <c r="F70" s="1"/>
      <c r="G70" s="1"/>
      <c r="H70" s="1">
        <v>1</v>
      </c>
      <c r="I70" s="1">
        <v>1</v>
      </c>
    </row>
    <row r="71" spans="1:9" x14ac:dyDescent="0.25">
      <c r="A71" t="s">
        <v>432</v>
      </c>
      <c r="B71" s="1"/>
      <c r="C71" s="1">
        <v>1</v>
      </c>
      <c r="D71" s="1"/>
      <c r="E71" s="1"/>
      <c r="F71" s="1"/>
      <c r="G71" s="1"/>
      <c r="H71" s="1"/>
      <c r="I71" s="1"/>
    </row>
    <row r="72" spans="1:9" x14ac:dyDescent="0.25">
      <c r="A72" t="s">
        <v>184</v>
      </c>
      <c r="B72" s="1">
        <v>1</v>
      </c>
      <c r="C72" s="1">
        <v>1</v>
      </c>
      <c r="D72" s="1"/>
      <c r="E72" s="1"/>
      <c r="F72" s="1">
        <v>1</v>
      </c>
      <c r="G72" s="1">
        <v>1</v>
      </c>
      <c r="H72" s="1"/>
      <c r="I72" s="1"/>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9"/>
  <sheetViews>
    <sheetView zoomScale="85" zoomScaleNormal="85" workbookViewId="0">
      <selection activeCell="A11" sqref="A11"/>
    </sheetView>
  </sheetViews>
  <sheetFormatPr defaultRowHeight="15.75" x14ac:dyDescent="0.25"/>
  <cols>
    <col min="1" max="1" width="19.5" bestFit="1" customWidth="1"/>
    <col min="2" max="2" width="9.625" bestFit="1" customWidth="1"/>
    <col min="3" max="3" width="10" bestFit="1" customWidth="1"/>
    <col min="4" max="4" width="12" bestFit="1" customWidth="1"/>
    <col min="5" max="5" width="65.875" bestFit="1" customWidth="1"/>
    <col min="6" max="6" width="71.5" customWidth="1"/>
    <col min="7" max="7" width="25.625" bestFit="1" customWidth="1"/>
  </cols>
  <sheetData>
    <row r="1" spans="1:7" x14ac:dyDescent="0.25">
      <c r="A1" t="s">
        <v>491</v>
      </c>
      <c r="B1" t="s">
        <v>0</v>
      </c>
      <c r="C1" t="s">
        <v>455</v>
      </c>
      <c r="D1" t="s">
        <v>456</v>
      </c>
      <c r="E1" t="s">
        <v>3</v>
      </c>
      <c r="F1" t="s">
        <v>492</v>
      </c>
      <c r="G1" t="s">
        <v>493</v>
      </c>
    </row>
    <row r="2" spans="1:7" x14ac:dyDescent="0.25">
      <c r="A2" t="s">
        <v>494</v>
      </c>
      <c r="B2" t="s">
        <v>89</v>
      </c>
      <c r="C2">
        <v>1</v>
      </c>
      <c r="D2" t="s">
        <v>469</v>
      </c>
      <c r="E2" t="s">
        <v>362</v>
      </c>
      <c r="F2" s="104" t="s">
        <v>495</v>
      </c>
      <c r="G2" s="269" t="s">
        <v>496</v>
      </c>
    </row>
    <row r="3" spans="1:7" x14ac:dyDescent="0.25">
      <c r="A3" t="s">
        <v>497</v>
      </c>
      <c r="B3" t="s">
        <v>309</v>
      </c>
      <c r="C3">
        <v>2</v>
      </c>
      <c r="E3" t="s">
        <v>379</v>
      </c>
      <c r="F3" s="104" t="s">
        <v>498</v>
      </c>
      <c r="G3" s="269" t="s">
        <v>496</v>
      </c>
    </row>
    <row r="4" spans="1:7" x14ac:dyDescent="0.25">
      <c r="A4" t="s">
        <v>497</v>
      </c>
      <c r="B4" t="s">
        <v>312</v>
      </c>
      <c r="C4">
        <v>2</v>
      </c>
      <c r="E4" t="s">
        <v>381</v>
      </c>
      <c r="F4" s="104" t="s">
        <v>499</v>
      </c>
      <c r="G4" s="269" t="s">
        <v>496</v>
      </c>
    </row>
    <row r="5" spans="1:7" x14ac:dyDescent="0.25">
      <c r="A5" t="s">
        <v>497</v>
      </c>
      <c r="B5" t="s">
        <v>313</v>
      </c>
      <c r="C5">
        <v>2</v>
      </c>
      <c r="E5" t="s">
        <v>382</v>
      </c>
      <c r="F5" s="104" t="s">
        <v>500</v>
      </c>
      <c r="G5" s="269" t="s">
        <v>496</v>
      </c>
    </row>
    <row r="6" spans="1:7" x14ac:dyDescent="0.25">
      <c r="A6" t="s">
        <v>497</v>
      </c>
      <c r="B6" t="s">
        <v>314</v>
      </c>
      <c r="C6">
        <v>2</v>
      </c>
      <c r="E6" t="s">
        <v>383</v>
      </c>
      <c r="F6" s="104" t="s">
        <v>501</v>
      </c>
      <c r="G6" s="269" t="s">
        <v>496</v>
      </c>
    </row>
    <row r="7" spans="1:7" x14ac:dyDescent="0.25">
      <c r="A7" t="s">
        <v>497</v>
      </c>
      <c r="B7" t="s">
        <v>310</v>
      </c>
      <c r="C7">
        <v>1</v>
      </c>
      <c r="E7" t="s">
        <v>385</v>
      </c>
      <c r="F7" s="104" t="s">
        <v>502</v>
      </c>
      <c r="G7" s="269" t="s">
        <v>496</v>
      </c>
    </row>
    <row r="8" spans="1:7" x14ac:dyDescent="0.25">
      <c r="A8" t="s">
        <v>497</v>
      </c>
      <c r="B8" t="s">
        <v>311</v>
      </c>
      <c r="C8">
        <v>1</v>
      </c>
      <c r="E8" t="s">
        <v>387</v>
      </c>
      <c r="F8" s="104" t="s">
        <v>503</v>
      </c>
      <c r="G8" s="269" t="s">
        <v>496</v>
      </c>
    </row>
    <row r="9" spans="1:7" ht="31.5" x14ac:dyDescent="0.25">
      <c r="A9" t="s">
        <v>504</v>
      </c>
      <c r="B9" t="s">
        <v>238</v>
      </c>
      <c r="C9">
        <v>1</v>
      </c>
      <c r="E9" t="s">
        <v>428</v>
      </c>
      <c r="F9" s="104" t="s">
        <v>505</v>
      </c>
      <c r="G9" s="269" t="s">
        <v>506</v>
      </c>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AA23"/>
  <sheetViews>
    <sheetView showGridLines="0" topLeftCell="A3" workbookViewId="0">
      <selection activeCell="A11" sqref="A11"/>
    </sheetView>
  </sheetViews>
  <sheetFormatPr defaultColWidth="9" defaultRowHeight="15" x14ac:dyDescent="0.25"/>
  <cols>
    <col min="1" max="1" width="8.5" style="9" customWidth="1"/>
    <col min="2" max="2" width="3.25" style="9" customWidth="1"/>
    <col min="3" max="3" width="3.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88" t="s">
        <v>8</v>
      </c>
      <c r="B3" s="288"/>
      <c r="C3" s="288"/>
      <c r="D3" s="288"/>
      <c r="E3" s="118"/>
      <c r="F3" s="118"/>
      <c r="G3" s="118"/>
      <c r="H3" s="118"/>
      <c r="I3" s="118"/>
      <c r="J3" s="118"/>
      <c r="K3" s="118"/>
      <c r="L3" s="118"/>
      <c r="M3" s="118"/>
      <c r="N3" s="118"/>
      <c r="O3" s="118"/>
      <c r="P3" s="118"/>
      <c r="Q3" s="88"/>
    </row>
    <row r="4" spans="1:20" ht="26.25" x14ac:dyDescent="0.25">
      <c r="A4" s="244"/>
      <c r="B4" s="244"/>
      <c r="C4" s="244"/>
      <c r="D4" s="245"/>
      <c r="E4" s="246" t="s">
        <v>507</v>
      </c>
      <c r="F4" s="244"/>
      <c r="G4" s="247"/>
      <c r="H4" s="247"/>
      <c r="I4" s="247"/>
      <c r="J4" s="247"/>
      <c r="K4" s="247"/>
      <c r="L4" s="247"/>
      <c r="M4" s="247"/>
      <c r="N4" s="247"/>
      <c r="O4" s="247"/>
      <c r="P4" s="247"/>
      <c r="Q4" s="88"/>
    </row>
    <row r="5" spans="1:20" ht="19.5" customHeight="1" x14ac:dyDescent="0.25">
      <c r="A5" s="119"/>
      <c r="B5" s="119"/>
      <c r="C5" s="120" t="s">
        <v>10</v>
      </c>
      <c r="D5" s="121" t="s">
        <v>84</v>
      </c>
      <c r="E5" s="122"/>
      <c r="F5" s="120" t="s">
        <v>12</v>
      </c>
      <c r="G5" s="127" t="str">
        <f>IFERROR(CONCATENATE(VLOOKUP(D5,TableCourses[],2,FALSE)," ",VLOOKUP(D5,TableCourses[],3,FALSE)),"")</f>
        <v>GD-EDUC v.1</v>
      </c>
      <c r="H5" s="167"/>
      <c r="I5" s="122"/>
      <c r="J5" s="122"/>
      <c r="K5" s="122"/>
      <c r="L5" s="122"/>
      <c r="M5" s="122"/>
      <c r="N5" s="122"/>
      <c r="O5" s="122"/>
      <c r="P5" s="168"/>
      <c r="Q5" s="88"/>
    </row>
    <row r="6" spans="1:20" ht="19.5" customHeight="1" x14ac:dyDescent="0.25">
      <c r="B6" s="119"/>
      <c r="C6" s="120" t="s">
        <v>13</v>
      </c>
      <c r="D6" s="125" t="s">
        <v>250</v>
      </c>
      <c r="E6" s="122"/>
      <c r="F6" s="120" t="s">
        <v>15</v>
      </c>
      <c r="G6" s="127" t="str">
        <f>IFERROR(CONCATENATE(VLOOKUP(D6,TableMajorsGDEDUC[],2,FALSE)," ",VLOOKUP(D6,TableMajorsGDEDUC[],3,FALSE)),"")</f>
        <v>MJRP-EDUPR v.1</v>
      </c>
      <c r="H6" s="167"/>
      <c r="I6" s="122"/>
      <c r="J6" s="122"/>
      <c r="K6" s="122"/>
      <c r="L6" s="122"/>
      <c r="M6" s="122"/>
      <c r="N6" s="122"/>
      <c r="O6" s="122"/>
      <c r="P6" s="169" t="str">
        <f>CONCATENATE(VLOOKUP(D6,TableMajorsGDEDUC[],2,FALSE),VLOOKUP(D7,TableStudyPeriods[],2,FALSE))</f>
        <v>MJRP-EDUPRSSP1</v>
      </c>
      <c r="Q6" s="88"/>
    </row>
    <row r="7" spans="1:20" ht="19.5" customHeight="1" x14ac:dyDescent="0.25">
      <c r="A7" s="127"/>
      <c r="B7" s="128"/>
      <c r="C7" s="120" t="s">
        <v>16</v>
      </c>
      <c r="D7" s="129" t="s">
        <v>39</v>
      </c>
      <c r="E7" s="130"/>
      <c r="F7" s="120" t="s">
        <v>18</v>
      </c>
      <c r="G7" s="122" t="str">
        <f>IFERROR(VLOOKUP($D$5,TableCourses[],7,FALSE),"")</f>
        <v>200 credit points required</v>
      </c>
      <c r="H7" s="131"/>
      <c r="I7" s="131"/>
      <c r="J7" s="131"/>
      <c r="K7" s="131"/>
      <c r="L7" s="131"/>
      <c r="M7" s="131"/>
      <c r="N7" s="131"/>
      <c r="O7" s="131"/>
      <c r="P7" s="169"/>
      <c r="Q7" s="88"/>
    </row>
    <row r="8" spans="1:20" s="12" customFormat="1" ht="14.1" customHeight="1" x14ac:dyDescent="0.25">
      <c r="A8" s="133"/>
      <c r="B8" s="133"/>
      <c r="C8" s="133"/>
      <c r="D8" s="134"/>
      <c r="E8" s="135"/>
      <c r="F8" s="133"/>
      <c r="G8" s="133"/>
      <c r="H8" s="136" t="s">
        <v>19</v>
      </c>
      <c r="I8" s="137"/>
      <c r="J8" s="137"/>
      <c r="K8" s="137"/>
      <c r="L8" s="137"/>
      <c r="M8" s="137"/>
      <c r="N8" s="137"/>
      <c r="O8" s="138"/>
      <c r="P8" s="135"/>
      <c r="Q8" s="157"/>
      <c r="R8" s="139"/>
      <c r="S8" s="139"/>
    </row>
    <row r="9" spans="1:20" s="12" customFormat="1" ht="31.5" x14ac:dyDescent="0.25">
      <c r="A9" s="133" t="s">
        <v>20</v>
      </c>
      <c r="B9" s="133"/>
      <c r="C9" s="133"/>
      <c r="D9" s="134" t="s">
        <v>3</v>
      </c>
      <c r="E9" s="140" t="s">
        <v>21</v>
      </c>
      <c r="F9" s="133" t="s">
        <v>22</v>
      </c>
      <c r="G9" s="133" t="s">
        <v>23</v>
      </c>
      <c r="H9" s="141" t="s">
        <v>24</v>
      </c>
      <c r="I9" s="142" t="s">
        <v>25</v>
      </c>
      <c r="J9" s="141" t="s">
        <v>26</v>
      </c>
      <c r="K9" s="142" t="s">
        <v>27</v>
      </c>
      <c r="L9" s="141" t="s">
        <v>28</v>
      </c>
      <c r="M9" s="142" t="s">
        <v>29</v>
      </c>
      <c r="N9" s="141" t="s">
        <v>30</v>
      </c>
      <c r="O9" s="142" t="s">
        <v>31</v>
      </c>
      <c r="P9" s="133" t="s">
        <v>32</v>
      </c>
      <c r="Q9" s="157"/>
      <c r="R9" s="139"/>
      <c r="S9" s="139"/>
    </row>
    <row r="10" spans="1:20" s="14" customFormat="1" ht="21" customHeight="1" x14ac:dyDescent="0.15">
      <c r="A10" s="143" t="str">
        <f>IFERROR(IF(HLOOKUP($P$6,RangeUnitsetsGDEDUCAcc,Q10,FALSE)=0,"",HLOOKUP($P$6,RangeUnitsetsGDEDUCAcc,Q10,FALSE)),"")</f>
        <v>EDUC5005</v>
      </c>
      <c r="B10" s="144">
        <f>IFERROR(IF(VLOOKUP($A10,TableHandbook[],2,FALSE)=0,"",VLOOKUP($A10,TableHandbook[],2,FALSE)),"")</f>
        <v>2</v>
      </c>
      <c r="C10" s="144" t="str">
        <f>IFERROR(IF(VLOOKUP($A10,TableHandbook[],3,FALSE)=0,"",VLOOKUP($A10,TableHandbook[],3,FALSE)),"")</f>
        <v/>
      </c>
      <c r="D10" s="145" t="str">
        <f>IFERROR(IF(VLOOKUP($A10,TableHandbook[],4,FALSE)=0,"",VLOOKUP($A10,TableHandbook[],4,FALSE)),"")</f>
        <v>Theories of Development and Learning</v>
      </c>
      <c r="E10" s="144" t="str">
        <f>IF(OR(A10="",A10="--"),"",VLOOKUP($D$7,TableStudyPeriods[],2,FALSE))</f>
        <v>SSP1</v>
      </c>
      <c r="F10" s="146" t="str">
        <f>IFERROR(IF(VLOOKUP($A10,TableHandbook[],6,FALSE)=0,"",VLOOKUP($A10,TableHandbook[],6,FALSE)),"")</f>
        <v>Nil</v>
      </c>
      <c r="G10" s="144">
        <f>IFERROR(IF(VLOOKUP($A10,TableHandbook[],5,FALSE)=0,"",VLOOKUP($A10,TableHandbook[],5,FALSE)),"")</f>
        <v>25</v>
      </c>
      <c r="H10" s="147" t="str">
        <f>IFERROR(VLOOKUP($A10,TableHandbook[],H$2,FALSE),"")</f>
        <v>Y</v>
      </c>
      <c r="I10" s="148" t="str">
        <f>IFERROR(VLOOKUP($A10,TableHandbook[],I$2,FALSE),"")</f>
        <v>Y</v>
      </c>
      <c r="J10" s="147" t="str">
        <f>IFERROR(VLOOKUP($A10,TableHandbook[],J$2,FALSE),"")</f>
        <v/>
      </c>
      <c r="K10" s="148" t="str">
        <f>IFERROR(VLOOKUP($A10,TableHandbook[],K$2,FALSE),"")</f>
        <v/>
      </c>
      <c r="L10" s="147" t="str">
        <f>IFERROR(VLOOKUP($A10,TableHandbook[],L$2,FALSE),"")</f>
        <v>Y</v>
      </c>
      <c r="M10" s="148" t="str">
        <f>IFERROR(VLOOKUP($A10,TableHandbook[],M$2,FALSE),"")</f>
        <v>Y</v>
      </c>
      <c r="N10" s="147" t="str">
        <f>IFERROR(VLOOKUP($A10,TableHandbook[],N$2,FALSE),"")</f>
        <v/>
      </c>
      <c r="O10" s="148" t="str">
        <f>IFERROR(VLOOKUP($A10,TableHandbook[],O$2,FALSE),"")</f>
        <v/>
      </c>
      <c r="P10" s="23"/>
      <c r="Q10" s="149">
        <v>2</v>
      </c>
      <c r="R10" s="150"/>
      <c r="S10" s="150"/>
    </row>
    <row r="11" spans="1:20" s="14" customFormat="1" ht="21" customHeight="1" x14ac:dyDescent="0.15">
      <c r="A11" s="170" t="str">
        <f>IFERROR(IF(HLOOKUP($P$6,RangeUnitsetsGDEDUCAcc,Q11,FALSE)=0,"",HLOOKUP($P$6,RangeUnitsetsGDEDUCAcc,Q11,FALSE)),"")</f>
        <v>EDPR5000</v>
      </c>
      <c r="B11" s="144">
        <f>IFERROR(IF(VLOOKUP($A11,TableHandbook[],2,FALSE)=0,"",VLOOKUP($A11,TableHandbook[],2,FALSE)),"")</f>
        <v>2</v>
      </c>
      <c r="C11" s="144" t="str">
        <f>IFERROR(IF(VLOOKUP($A11,TableHandbook[],3,FALSE)=0,"",VLOOKUP($A11,TableHandbook[],3,FALSE)),"")</f>
        <v/>
      </c>
      <c r="D11" s="145" t="str">
        <f>IFERROR(IF(VLOOKUP($A11,TableHandbook[],4,FALSE)=0,"",VLOOKUP($A11,TableHandbook[],4,FALSE)),"")</f>
        <v>Primary Professional Experience 1: Planning for Writing</v>
      </c>
      <c r="E11" s="144" t="str">
        <f>IF(A11="","",E10)</f>
        <v>SSP1</v>
      </c>
      <c r="F11" s="146" t="str">
        <f>IFERROR(IF(VLOOKUP($A11,TableHandbook[],6,FALSE)=0,"",VLOOKUP($A11,TableHandbook[],6,FALSE)),"")</f>
        <v>Nil</v>
      </c>
      <c r="G11" s="144">
        <f>IFERROR(IF(VLOOKUP($A11,TableHandbook[],5,FALSE)=0,"",VLOOKUP($A11,TableHandbook[],5,FALSE)),"")</f>
        <v>25</v>
      </c>
      <c r="H11" s="147" t="str">
        <f>IFERROR(VLOOKUP($A11,TableHandbook[],H$2,FALSE),"")</f>
        <v>Y</v>
      </c>
      <c r="I11" s="148" t="str">
        <f>IFERROR(VLOOKUP($A11,TableHandbook[],I$2,FALSE),"")</f>
        <v>Y</v>
      </c>
      <c r="J11" s="147" t="str">
        <f>IFERROR(VLOOKUP($A11,TableHandbook[],J$2,FALSE),"")</f>
        <v>Y</v>
      </c>
      <c r="K11" s="148" t="str">
        <f>IFERROR(VLOOKUP($A11,TableHandbook[],K$2,FALSE),"")</f>
        <v>Y</v>
      </c>
      <c r="L11" s="147" t="str">
        <f>IFERROR(VLOOKUP($A11,TableHandbook[],L$2,FALSE),"")</f>
        <v/>
      </c>
      <c r="M11" s="148" t="str">
        <f>IFERROR(VLOOKUP($A11,TableHandbook[],M$2,FALSE),"")</f>
        <v/>
      </c>
      <c r="N11" s="147" t="str">
        <f>IFERROR(VLOOKUP($A11,TableHandbook[],N$2,FALSE),"")</f>
        <v/>
      </c>
      <c r="O11" s="148" t="str">
        <f>IFERROR(VLOOKUP($A11,TableHandbook[],O$2,FALSE),"")</f>
        <v/>
      </c>
      <c r="P11" s="23"/>
      <c r="Q11" s="149">
        <v>3</v>
      </c>
      <c r="R11" s="150"/>
      <c r="S11" s="150"/>
    </row>
    <row r="12" spans="1:20" s="14" customFormat="1" ht="21" customHeight="1" x14ac:dyDescent="0.15">
      <c r="A12" s="143" t="str">
        <f>IFERROR(IF(HLOOKUP($P$6,RangeUnitsetsGDEDUCAcc,Q12,FALSE)=0,"",HLOOKUP($P$6,RangeUnitsetsGDEDUCAcc,Q12,FALSE)),"")</f>
        <v>EDUC5031</v>
      </c>
      <c r="B12" s="144">
        <f>IFERROR(IF(VLOOKUP($A12,TableHandbook[],2,FALSE)=0,"",VLOOKUP($A12,TableHandbook[],2,FALSE)),"")</f>
        <v>1</v>
      </c>
      <c r="C12" s="144" t="str">
        <f>IFERROR(IF(VLOOKUP($A12,TableHandbook[],3,FALSE)=0,"",VLOOKUP($A12,TableHandbook[],3,FALSE)),"")</f>
        <v/>
      </c>
      <c r="D12" s="145" t="str">
        <f>IFERROR(IF(VLOOKUP($A12,TableHandbook[],4,FALSE)=0,"",VLOOKUP($A12,TableHandbook[],4,FALSE)),"")</f>
        <v>Introduction to English: Reading</v>
      </c>
      <c r="E12" s="144" t="str">
        <f>IF(A12="","",E11)</f>
        <v>SSP1</v>
      </c>
      <c r="F12" s="146" t="str">
        <f>IFERROR(IF(VLOOKUP($A12,TableHandbook[],6,FALSE)=0,"",VLOOKUP($A12,TableHandbook[],6,FALSE)),"")</f>
        <v>Nil</v>
      </c>
      <c r="G12" s="144">
        <f>IFERROR(IF(VLOOKUP($A12,TableHandbook[],5,FALSE)=0,"",VLOOKUP($A12,TableHandbook[],5,FALSE)),"")</f>
        <v>25</v>
      </c>
      <c r="H12" s="147" t="str">
        <f>IFERROR(VLOOKUP($A12,TableHandbook[],H$2,FALSE),"")</f>
        <v>Y</v>
      </c>
      <c r="I12" s="148" t="str">
        <f>IFERROR(VLOOKUP($A12,TableHandbook[],I$2,FALSE),"")</f>
        <v>Y</v>
      </c>
      <c r="J12" s="147" t="str">
        <f>IFERROR(VLOOKUP($A12,TableHandbook[],J$2,FALSE),"")</f>
        <v/>
      </c>
      <c r="K12" s="148" t="str">
        <f>IFERROR(VLOOKUP($A12,TableHandbook[],K$2,FALSE),"")</f>
        <v/>
      </c>
      <c r="L12" s="147" t="str">
        <f>IFERROR(VLOOKUP($A12,TableHandbook[],L$2,FALSE),"")</f>
        <v>Y</v>
      </c>
      <c r="M12" s="148" t="str">
        <f>IFERROR(VLOOKUP($A12,TableHandbook[],M$2,FALSE),"")</f>
        <v>Y</v>
      </c>
      <c r="N12" s="147" t="str">
        <f>IFERROR(VLOOKUP($A12,TableHandbook[],N$2,FALSE),"")</f>
        <v/>
      </c>
      <c r="O12" s="148" t="str">
        <f>IFERROR(VLOOKUP($A12,TableHandbook[],O$2,FALSE),"")</f>
        <v/>
      </c>
      <c r="P12" s="24"/>
      <c r="Q12" s="149">
        <v>4</v>
      </c>
      <c r="R12" s="150"/>
      <c r="S12" s="150"/>
    </row>
    <row r="13" spans="1:20" s="14" customFormat="1" ht="6" customHeight="1" x14ac:dyDescent="0.15">
      <c r="A13" s="171"/>
      <c r="B13" s="172"/>
      <c r="C13" s="172"/>
      <c r="D13" s="173"/>
      <c r="E13" s="172"/>
      <c r="F13" s="174"/>
      <c r="G13" s="172"/>
      <c r="H13" s="175"/>
      <c r="I13" s="176"/>
      <c r="J13" s="175"/>
      <c r="K13" s="176"/>
      <c r="L13" s="175"/>
      <c r="M13" s="176"/>
      <c r="N13" s="175"/>
      <c r="O13" s="176"/>
      <c r="P13" s="106"/>
      <c r="Q13" s="149"/>
      <c r="R13" s="150"/>
      <c r="S13" s="150"/>
      <c r="T13" s="150"/>
    </row>
    <row r="14" spans="1:20" s="14" customFormat="1" ht="21" customHeight="1" x14ac:dyDescent="0.15">
      <c r="A14" s="143" t="str">
        <f>IFERROR(IF(HLOOKUP($P$6,RangeUnitsetsGDEDUCAcc,Q14,FALSE)=0,"",HLOOKUP($P$6,RangeUnitsetsGDEDUCAcc,Q14,FALSE)),"")</f>
        <v>EDPR5005</v>
      </c>
      <c r="B14" s="144">
        <f>IFERROR(IF(VLOOKUP($A14,TableHandbook[],2,FALSE)=0,"",VLOOKUP($A14,TableHandbook[],2,FALSE)),"")</f>
        <v>1</v>
      </c>
      <c r="C14" s="144" t="str">
        <f>IFERROR(IF(VLOOKUP($A14,TableHandbook[],3,FALSE)=0,"",VLOOKUP($A14,TableHandbook[],3,FALSE)),"")</f>
        <v/>
      </c>
      <c r="D14" s="145" t="str">
        <f>IFERROR(IF(VLOOKUP($A14,TableHandbook[],4,FALSE)=0,"",VLOOKUP($A14,TableHandbook[],4,FALSE)),"")</f>
        <v>Teaching Science in the Primary Years</v>
      </c>
      <c r="E14" s="144" t="str">
        <f>IF(OR(A14="",A14="--"),"",VLOOKUP($D$7,TableStudyPeriods[],3,FALSE))</f>
        <v>SSP2</v>
      </c>
      <c r="F14" s="146" t="str">
        <f>IFERROR(IF(VLOOKUP($A14,TableHandbook[],6,FALSE)=0,"",VLOOKUP($A14,TableHandbook[],6,FALSE)),"")</f>
        <v>Nil</v>
      </c>
      <c r="G14" s="144">
        <f>IFERROR(IF(VLOOKUP($A14,TableHandbook[],5,FALSE)=0,"",VLOOKUP($A14,TableHandbook[],5,FALSE)),"")</f>
        <v>25</v>
      </c>
      <c r="H14" s="147" t="str">
        <f>IFERROR(VLOOKUP($A14,TableHandbook[],H$2,FALSE),"")</f>
        <v/>
      </c>
      <c r="I14" s="148" t="str">
        <f>IFERROR(VLOOKUP($A14,TableHandbook[],I$2,FALSE),"")</f>
        <v/>
      </c>
      <c r="J14" s="147" t="str">
        <f>IFERROR(VLOOKUP($A14,TableHandbook[],J$2,FALSE),"")</f>
        <v>Y</v>
      </c>
      <c r="K14" s="148" t="str">
        <f>IFERROR(VLOOKUP($A14,TableHandbook[],K$2,FALSE),"")</f>
        <v>Y</v>
      </c>
      <c r="L14" s="147" t="str">
        <f>IFERROR(VLOOKUP($A14,TableHandbook[],L$2,FALSE),"")</f>
        <v/>
      </c>
      <c r="M14" s="148" t="str">
        <f>IFERROR(VLOOKUP($A14,TableHandbook[],M$2,FALSE),"")</f>
        <v/>
      </c>
      <c r="N14" s="147" t="str">
        <f>IFERROR(VLOOKUP($A14,TableHandbook[],N$2,FALSE),"")</f>
        <v/>
      </c>
      <c r="O14" s="148" t="str">
        <f>IFERROR(VLOOKUP($A14,TableHandbook[],O$2,FALSE),"")</f>
        <v/>
      </c>
      <c r="P14" s="23"/>
      <c r="Q14" s="149">
        <v>5</v>
      </c>
      <c r="R14" s="150"/>
      <c r="S14" s="150"/>
    </row>
    <row r="15" spans="1:20" s="14" customFormat="1" ht="21" customHeight="1" x14ac:dyDescent="0.15">
      <c r="A15" s="143" t="str">
        <f>IFERROR(IF(HLOOKUP($P$6,RangeUnitsetsGDEDUCAcc,Q15,FALSE)=0,"",HLOOKUP($P$6,RangeUnitsetsGDEDUCAcc,Q15,FALSE)),"")</f>
        <v>EDPR5001</v>
      </c>
      <c r="B15" s="151">
        <f>IFERROR(IF(VLOOKUP($A15,TableHandbook[],2,FALSE)=0,"",VLOOKUP($A15,TableHandbook[],2,FALSE)),"")</f>
        <v>1</v>
      </c>
      <c r="C15" s="151" t="str">
        <f>IFERROR(IF(VLOOKUP($A15,TableHandbook[],3,FALSE)=0,"",VLOOKUP($A15,TableHandbook[],3,FALSE)),"")</f>
        <v/>
      </c>
      <c r="D15" s="145" t="str">
        <f>IFERROR(IF(VLOOKUP($A15,TableHandbook[],4,FALSE)=0,"",VLOOKUP($A15,TableHandbook[],4,FALSE)),"")</f>
        <v>Primary Professional Experience 2: Assessment and Reporting</v>
      </c>
      <c r="E15" s="144" t="str">
        <f>IF(A15="","",E14)</f>
        <v>SSP2</v>
      </c>
      <c r="F15" s="146" t="str">
        <f>IFERROR(IF(VLOOKUP($A15,TableHandbook[],6,FALSE)=0,"",VLOOKUP($A15,TableHandbook[],6,FALSE)),"")</f>
        <v>EDPR5000</v>
      </c>
      <c r="G15" s="151">
        <f>IFERROR(IF(VLOOKUP($A15,TableHandbook[],5,FALSE)=0,"",VLOOKUP($A15,TableHandbook[],5,FALSE)),"")</f>
        <v>25</v>
      </c>
      <c r="H15" s="152" t="str">
        <f>IFERROR(VLOOKUP($A15,TableHandbook[],H$2,FALSE),"")</f>
        <v/>
      </c>
      <c r="I15" s="153" t="str">
        <f>IFERROR(VLOOKUP($A15,TableHandbook[],I$2,FALSE),"")</f>
        <v/>
      </c>
      <c r="J15" s="152" t="str">
        <f>IFERROR(VLOOKUP($A15,TableHandbook[],J$2,FALSE),"")</f>
        <v>Y</v>
      </c>
      <c r="K15" s="153" t="str">
        <f>IFERROR(VLOOKUP($A15,TableHandbook[],K$2,FALSE),"")</f>
        <v>Y</v>
      </c>
      <c r="L15" s="152" t="str">
        <f>IFERROR(VLOOKUP($A15,TableHandbook[],L$2,FALSE),"")</f>
        <v>Y</v>
      </c>
      <c r="M15" s="153" t="str">
        <f>IFERROR(VLOOKUP($A15,TableHandbook[],M$2,FALSE),"")</f>
        <v>Y</v>
      </c>
      <c r="N15" s="152" t="str">
        <f>IFERROR(VLOOKUP($A15,TableHandbook[],N$2,FALSE),"")</f>
        <v/>
      </c>
      <c r="O15" s="153" t="str">
        <f>IFERROR(VLOOKUP($A15,TableHandbook[],O$2,FALSE),"")</f>
        <v/>
      </c>
      <c r="P15" s="24"/>
      <c r="Q15" s="149">
        <v>6</v>
      </c>
      <c r="R15" s="150"/>
      <c r="S15" s="150"/>
    </row>
    <row r="16" spans="1:20" s="16" customFormat="1" ht="21" customHeight="1" x14ac:dyDescent="0.15">
      <c r="A16" s="143" t="str">
        <f>IFERROR(IF(HLOOKUP($P$6,RangeUnitsetsGDEDUCAcc,Q16,FALSE)=0,"",HLOOKUP($P$6,RangeUnitsetsGDEDUCAcc,Q16,FALSE)),"")</f>
        <v>EDPR5003</v>
      </c>
      <c r="B16" s="151">
        <f>IFERROR(IF(VLOOKUP($A16,TableHandbook[],2,FALSE)=0,"",VLOOKUP($A16,TableHandbook[],2,FALSE)),"")</f>
        <v>1</v>
      </c>
      <c r="C16" s="151" t="str">
        <f>IFERROR(IF(VLOOKUP($A16,TableHandbook[],3,FALSE)=0,"",VLOOKUP($A16,TableHandbook[],3,FALSE)),"")</f>
        <v/>
      </c>
      <c r="D16" s="145" t="str">
        <f>IFERROR(IF(VLOOKUP($A16,TableHandbook[],4,FALSE)=0,"",VLOOKUP($A16,TableHandbook[],4,FALSE)),"")</f>
        <v>Teaching Number, Algebra and Probability in the Primary Years</v>
      </c>
      <c r="E16" s="144" t="str">
        <f>IF(A16="","",E15)</f>
        <v>SSP2</v>
      </c>
      <c r="F16" s="146" t="str">
        <f>IFERROR(IF(VLOOKUP($A16,TableHandbook[],6,FALSE)=0,"",VLOOKUP($A16,TableHandbook[],6,FALSE)),"")</f>
        <v>Nil</v>
      </c>
      <c r="G16" s="151">
        <f>IFERROR(IF(VLOOKUP($A16,TableHandbook[],5,FALSE)=0,"",VLOOKUP($A16,TableHandbook[],5,FALSE)),"")</f>
        <v>25</v>
      </c>
      <c r="H16" s="152" t="str">
        <f>IFERROR(VLOOKUP($A16,TableHandbook[],H$2,FALSE),"")</f>
        <v/>
      </c>
      <c r="I16" s="153" t="str">
        <f>IFERROR(VLOOKUP($A16,TableHandbook[],I$2,FALSE),"")</f>
        <v/>
      </c>
      <c r="J16" s="152" t="str">
        <f>IFERROR(VLOOKUP($A16,TableHandbook[],J$2,FALSE),"")</f>
        <v/>
      </c>
      <c r="K16" s="153" t="str">
        <f>IFERROR(VLOOKUP($A16,TableHandbook[],K$2,FALSE),"")</f>
        <v/>
      </c>
      <c r="L16" s="152" t="str">
        <f>IFERROR(VLOOKUP($A16,TableHandbook[],L$2,FALSE),"")</f>
        <v/>
      </c>
      <c r="M16" s="153" t="str">
        <f>IFERROR(VLOOKUP($A16,TableHandbook[],M$2,FALSE),"")</f>
        <v/>
      </c>
      <c r="N16" s="152" t="str">
        <f>IFERROR(VLOOKUP($A16,TableHandbook[],N$2,FALSE),"")</f>
        <v>Y</v>
      </c>
      <c r="O16" s="153" t="str">
        <f>IFERROR(VLOOKUP($A16,TableHandbook[],O$2,FALSE),"")</f>
        <v>Y</v>
      </c>
      <c r="P16" s="24"/>
      <c r="Q16" s="149">
        <v>7</v>
      </c>
      <c r="R16" s="154"/>
      <c r="S16" s="154"/>
    </row>
    <row r="17" spans="1:27" s="14" customFormat="1" ht="6" customHeight="1" x14ac:dyDescent="0.15">
      <c r="A17" s="171"/>
      <c r="B17" s="172"/>
      <c r="C17" s="172"/>
      <c r="D17" s="173"/>
      <c r="E17" s="172"/>
      <c r="F17" s="174"/>
      <c r="G17" s="172"/>
      <c r="H17" s="175"/>
      <c r="I17" s="176"/>
      <c r="J17" s="175"/>
      <c r="K17" s="176"/>
      <c r="L17" s="175"/>
      <c r="M17" s="176"/>
      <c r="N17" s="175"/>
      <c r="O17" s="176"/>
      <c r="P17" s="106"/>
      <c r="Q17" s="149"/>
      <c r="R17" s="150"/>
      <c r="S17" s="150"/>
      <c r="T17" s="150"/>
    </row>
    <row r="18" spans="1:27" s="16" customFormat="1" ht="21" customHeight="1" x14ac:dyDescent="0.15">
      <c r="A18" s="143" t="str">
        <f>IFERROR(IF(HLOOKUP($P$6,RangeUnitsetsGDEDUCAcc,Q18,FALSE)=0,"",HLOOKUP($P$6,RangeUnitsetsGDEDUCAcc,Q18,FALSE)),"")</f>
        <v>EDUC5006</v>
      </c>
      <c r="B18" s="151">
        <f>IFERROR(IF(VLOOKUP($A18,TableHandbook[],2,FALSE)=0,"",VLOOKUP($A18,TableHandbook[],2,FALSE)),"")</f>
        <v>1</v>
      </c>
      <c r="C18" s="151" t="str">
        <f>IFERROR(IF(VLOOKUP($A18,TableHandbook[],3,FALSE)=0,"",VLOOKUP($A18,TableHandbook[],3,FALSE)),"")</f>
        <v/>
      </c>
      <c r="D18" s="145" t="str">
        <f>IFERROR(IF(VLOOKUP($A18,TableHandbook[],4,FALSE)=0,"",VLOOKUP($A18,TableHandbook[],4,FALSE)),"")</f>
        <v>Creative Technologies</v>
      </c>
      <c r="E18" s="144" t="str">
        <f>IF(OR(A18="",A18="--"),"",VLOOKUP($D$7,TableStudyPeriods[],4,FALSE))</f>
        <v>SSP3</v>
      </c>
      <c r="F18" s="146" t="str">
        <f>IFERROR(IF(VLOOKUP($A18,TableHandbook[],6,FALSE)=0,"",VLOOKUP($A18,TableHandbook[],6,FALSE)),"")</f>
        <v>Nil</v>
      </c>
      <c r="G18" s="151">
        <f>IFERROR(IF(VLOOKUP($A18,TableHandbook[],5,FALSE)=0,"",VLOOKUP($A18,TableHandbook[],5,FALSE)),"")</f>
        <v>25</v>
      </c>
      <c r="H18" s="152" t="str">
        <f>IFERROR(VLOOKUP($A18,TableHandbook[],H$2,FALSE),"")</f>
        <v/>
      </c>
      <c r="I18" s="153" t="str">
        <f>IFERROR(VLOOKUP($A18,TableHandbook[],I$2,FALSE),"")</f>
        <v/>
      </c>
      <c r="J18" s="152" t="str">
        <f>IFERROR(VLOOKUP($A18,TableHandbook[],J$2,FALSE),"")</f>
        <v>Y</v>
      </c>
      <c r="K18" s="153" t="str">
        <f>IFERROR(VLOOKUP($A18,TableHandbook[],K$2,FALSE),"")</f>
        <v>Y</v>
      </c>
      <c r="L18" s="152" t="str">
        <f>IFERROR(VLOOKUP($A18,TableHandbook[],L$2,FALSE),"")</f>
        <v>Y</v>
      </c>
      <c r="M18" s="153" t="str">
        <f>IFERROR(VLOOKUP($A18,TableHandbook[],M$2,FALSE),"")</f>
        <v>Y</v>
      </c>
      <c r="N18" s="152" t="str">
        <f>IFERROR(VLOOKUP($A18,TableHandbook[],N$2,FALSE),"")</f>
        <v>Y</v>
      </c>
      <c r="O18" s="153" t="str">
        <f>IFERROR(VLOOKUP($A18,TableHandbook[],O$2,FALSE),"")</f>
        <v>Y</v>
      </c>
      <c r="P18" s="24"/>
      <c r="Q18" s="149">
        <v>8</v>
      </c>
      <c r="R18" s="154"/>
      <c r="S18" s="154"/>
    </row>
    <row r="19" spans="1:27" s="16" customFormat="1" ht="21" customHeight="1" x14ac:dyDescent="0.15">
      <c r="A19" s="143" t="str">
        <f>IFERROR(IF(HLOOKUP($P$6,RangeUnitsetsGDEDUCAcc,Q19,FALSE)=0,"",HLOOKUP($P$6,RangeUnitsetsGDEDUCAcc,Q19,FALSE)),"")</f>
        <v>EDUC6062</v>
      </c>
      <c r="B19" s="151">
        <f>IFERROR(IF(VLOOKUP($A19,TableHandbook[],2,FALSE)=0,"",VLOOKUP($A19,TableHandbook[],2,FALSE)),"")</f>
        <v>1</v>
      </c>
      <c r="C19" s="151" t="str">
        <f>IFERROR(IF(VLOOKUP($A19,TableHandbook[],3,FALSE)=0,"",VLOOKUP($A19,TableHandbook[],3,FALSE)),"")</f>
        <v/>
      </c>
      <c r="D19" s="177" t="str">
        <f>IFERROR(IF(VLOOKUP($A19,TableHandbook[],4,FALSE)=0,"",VLOOKUP($A19,TableHandbook[],4,FALSE)),"")</f>
        <v>Professional Experience 3: Using Data to Inform Teaching and Learning</v>
      </c>
      <c r="E19" s="151" t="str">
        <f>IF(A19="","",E18)</f>
        <v>SSP3</v>
      </c>
      <c r="F19" s="146" t="str">
        <f>IFERROR(IF(VLOOKUP($A19,TableHandbook[],6,FALSE)=0,"",VLOOKUP($A19,TableHandbook[],6,FALSE)),"")</f>
        <v>EDEC5001 or EDPR5001 or EDSC5029</v>
      </c>
      <c r="G19" s="151">
        <f>IFERROR(IF(VLOOKUP($A19,TableHandbook[],5,FALSE)=0,"",VLOOKUP($A19,TableHandbook[],5,FALSE)),"")</f>
        <v>25</v>
      </c>
      <c r="H19" s="152" t="str">
        <f>IFERROR(VLOOKUP($A19,TableHandbook[],H$2,FALSE),"")</f>
        <v>Y</v>
      </c>
      <c r="I19" s="153" t="str">
        <f>IFERROR(VLOOKUP($A19,TableHandbook[],I$2,FALSE),"")</f>
        <v>Y</v>
      </c>
      <c r="J19" s="152" t="str">
        <f>IFERROR(VLOOKUP($A19,TableHandbook[],J$2,FALSE),"")</f>
        <v/>
      </c>
      <c r="K19" s="153" t="str">
        <f>IFERROR(VLOOKUP($A19,TableHandbook[],K$2,FALSE),"")</f>
        <v/>
      </c>
      <c r="L19" s="152" t="str">
        <f>IFERROR(VLOOKUP($A19,TableHandbook[],L$2,FALSE),"")</f>
        <v>Y</v>
      </c>
      <c r="M19" s="153" t="str">
        <f>IFERROR(VLOOKUP($A19,TableHandbook[],M$2,FALSE),"")</f>
        <v>Y</v>
      </c>
      <c r="N19" s="152" t="str">
        <f>IFERROR(VLOOKUP($A19,TableHandbook[],N$2,FALSE),"")</f>
        <v/>
      </c>
      <c r="O19" s="153" t="str">
        <f>IFERROR(VLOOKUP($A19,TableHandbook[],O$2,FALSE),"")</f>
        <v/>
      </c>
      <c r="P19" s="24"/>
      <c r="Q19" s="149">
        <v>9</v>
      </c>
      <c r="R19" s="154"/>
      <c r="S19" s="154"/>
    </row>
    <row r="20" spans="1:27" ht="16.5" customHeight="1" x14ac:dyDescent="0.25">
      <c r="A20" s="159"/>
      <c r="B20" s="159"/>
      <c r="C20" s="159"/>
      <c r="D20" s="160"/>
      <c r="E20" s="160"/>
      <c r="F20" s="161"/>
      <c r="G20" s="161"/>
      <c r="H20" s="161"/>
      <c r="I20" s="161"/>
      <c r="J20" s="161"/>
      <c r="K20" s="161"/>
      <c r="L20" s="161"/>
      <c r="M20" s="161"/>
      <c r="N20" s="161"/>
      <c r="O20" s="161"/>
      <c r="P20" s="161"/>
      <c r="Q20" s="88"/>
    </row>
    <row r="21" spans="1:27" s="10" customFormat="1" ht="18" x14ac:dyDescent="0.25">
      <c r="A21" s="198" t="s">
        <v>34</v>
      </c>
      <c r="B21" s="198"/>
      <c r="C21" s="198"/>
      <c r="D21" s="198"/>
      <c r="E21" s="198"/>
      <c r="F21" s="198"/>
      <c r="G21" s="198"/>
      <c r="H21" s="198"/>
      <c r="I21" s="198"/>
      <c r="J21" s="198"/>
      <c r="K21" s="198"/>
      <c r="L21" s="198"/>
      <c r="M21" s="198"/>
      <c r="N21" s="198"/>
      <c r="O21" s="198"/>
      <c r="P21" s="198"/>
      <c r="Q21" s="88"/>
      <c r="R21" s="8"/>
      <c r="S21" s="8"/>
      <c r="T21" s="8"/>
      <c r="U21" s="8"/>
      <c r="V21" s="8"/>
      <c r="W21" s="8"/>
      <c r="X21" s="8"/>
      <c r="Y21" s="8"/>
      <c r="Z21" s="8"/>
      <c r="AA21" s="8"/>
    </row>
    <row r="22" spans="1:27" s="18" customFormat="1" ht="17.25" x14ac:dyDescent="0.2">
      <c r="A22" s="66" t="s">
        <v>35</v>
      </c>
      <c r="B22" s="66"/>
      <c r="C22" s="66"/>
      <c r="D22" s="67"/>
      <c r="E22" s="67"/>
      <c r="F22" s="67"/>
      <c r="G22" s="67"/>
      <c r="H22" s="67"/>
      <c r="I22" s="67"/>
      <c r="J22" s="67"/>
      <c r="K22" s="67"/>
      <c r="L22" s="67"/>
      <c r="M22" s="67"/>
      <c r="N22" s="67"/>
      <c r="O22" s="67"/>
      <c r="P22" s="67"/>
      <c r="Q22" s="162"/>
      <c r="R22" s="162"/>
      <c r="S22" s="162"/>
    </row>
    <row r="23" spans="1:27" x14ac:dyDescent="0.25">
      <c r="A23" s="163" t="s">
        <v>36</v>
      </c>
      <c r="B23" s="163"/>
      <c r="C23" s="163"/>
      <c r="D23" s="163"/>
      <c r="E23" s="164"/>
      <c r="F23" s="161"/>
      <c r="G23" s="165"/>
      <c r="H23" s="165"/>
      <c r="I23" s="165"/>
      <c r="J23" s="165"/>
      <c r="K23" s="165"/>
      <c r="L23" s="165"/>
      <c r="M23" s="165"/>
      <c r="N23" s="165"/>
      <c r="O23" s="165"/>
      <c r="P23" s="165" t="s">
        <v>37</v>
      </c>
    </row>
  </sheetData>
  <sheetProtection formatCells="0"/>
  <mergeCells count="1">
    <mergeCell ref="A3:D3"/>
  </mergeCells>
  <conditionalFormatting sqref="D5:D7">
    <cfRule type="containsText" dxfId="4" priority="3" operator="containsText" text="Choose">
      <formula>NOT(ISERROR(SEARCH("Choose",D5)))</formula>
    </cfRule>
  </conditionalFormatting>
  <conditionalFormatting sqref="H10:O19">
    <cfRule type="expression" dxfId="3" priority="1">
      <formula>$E10=LEFT(H$9,4)</formula>
    </cfRule>
  </conditionalFormatting>
  <dataValidations count="1">
    <dataValidation type="list" allowBlank="1" showInputMessage="1" showErrorMessage="1" sqref="P13 P17" xr:uid="{00000000-0002-0000-0600-000000000000}"/>
  </dataValidations>
  <hyperlinks>
    <hyperlink ref="A22:P22" r:id="rId1" display="If you have any queries about your course, please contact Curtin Connect." xr:uid="{00000000-0004-0000-0600-000000000000}"/>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19" max="10" man="1"/>
  </rowBreaks>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AA30"/>
  <sheetViews>
    <sheetView showGridLines="0" topLeftCell="D3" workbookViewId="0">
      <selection activeCell="A11" sqref="A11"/>
    </sheetView>
  </sheetViews>
  <sheetFormatPr defaultColWidth="9" defaultRowHeight="15" x14ac:dyDescent="0.25"/>
  <cols>
    <col min="1" max="1" width="8.5" style="9" customWidth="1"/>
    <col min="2" max="2" width="3.25" style="9" customWidth="1"/>
    <col min="3" max="3" width="5.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88" t="s">
        <v>8</v>
      </c>
      <c r="B3" s="288"/>
      <c r="C3" s="288"/>
      <c r="D3" s="288"/>
      <c r="E3" s="118"/>
      <c r="F3" s="118"/>
      <c r="G3" s="118"/>
      <c r="H3" s="118"/>
      <c r="I3" s="118"/>
      <c r="J3" s="118"/>
      <c r="K3" s="118"/>
      <c r="L3" s="118"/>
      <c r="M3" s="118"/>
      <c r="N3" s="118"/>
      <c r="O3" s="118"/>
      <c r="P3" s="118"/>
      <c r="Q3" s="88"/>
    </row>
    <row r="4" spans="1:20" ht="26.25" x14ac:dyDescent="0.25">
      <c r="A4" s="244"/>
      <c r="B4" s="244"/>
      <c r="C4" s="244"/>
      <c r="D4" s="245"/>
      <c r="E4" s="246" t="s">
        <v>507</v>
      </c>
      <c r="F4" s="244"/>
      <c r="G4" s="247"/>
      <c r="H4" s="247"/>
      <c r="I4" s="247"/>
      <c r="J4" s="247"/>
      <c r="K4" s="247"/>
      <c r="L4" s="247"/>
      <c r="M4" s="247"/>
      <c r="N4" s="247"/>
      <c r="O4" s="247"/>
      <c r="P4" s="247"/>
      <c r="Q4" s="88"/>
    </row>
    <row r="5" spans="1:20" ht="20.100000000000001" customHeight="1" x14ac:dyDescent="0.25">
      <c r="A5" s="119"/>
      <c r="B5" s="119"/>
      <c r="C5" s="120" t="s">
        <v>10</v>
      </c>
      <c r="D5" s="121" t="s">
        <v>84</v>
      </c>
      <c r="E5" s="122"/>
      <c r="F5" s="120" t="s">
        <v>12</v>
      </c>
      <c r="G5" s="127" t="str">
        <f>IFERROR(CONCATENATE(VLOOKUP(D5,TableCourses[],2,FALSE)," ",VLOOKUP(D5,TableCourses[],3,FALSE)),"")</f>
        <v>GD-EDUC v.1</v>
      </c>
      <c r="H5" s="167"/>
      <c r="I5" s="122"/>
      <c r="J5" s="122"/>
      <c r="K5" s="122"/>
      <c r="L5" s="122"/>
      <c r="M5" s="122"/>
      <c r="N5" s="122"/>
      <c r="O5" s="122"/>
      <c r="P5" s="168"/>
      <c r="Q5" s="88"/>
    </row>
    <row r="6" spans="1:20" ht="20.100000000000001" customHeight="1" x14ac:dyDescent="0.25">
      <c r="B6" s="119"/>
      <c r="C6" s="120" t="s">
        <v>13</v>
      </c>
      <c r="D6" s="125" t="s">
        <v>251</v>
      </c>
      <c r="E6" s="122"/>
      <c r="F6" s="120" t="s">
        <v>15</v>
      </c>
      <c r="G6" s="127" t="str">
        <f>IFERROR(CONCATENATE(VLOOKUP(D6,TableMajorsGDEDUC[],2,FALSE)," ",VLOOKUP(D6,TableMajorsGDEDUC[],3,FALSE)),"")</f>
        <v>MJRP-EDUSC v.1</v>
      </c>
      <c r="H6" s="167"/>
      <c r="I6" s="122"/>
      <c r="J6" s="122"/>
      <c r="K6" s="122"/>
      <c r="L6" s="122"/>
      <c r="M6" s="122"/>
      <c r="N6" s="122"/>
      <c r="O6" s="122"/>
      <c r="P6" s="169" t="str">
        <f>CONCATENATE(VLOOKUP(D6,TableMajorsGDEDUC[],2,FALSE),VLOOKUP(D8,TableStudyPeriods[],2,FALSE))</f>
        <v>MJRP-EDUSCSSP1</v>
      </c>
      <c r="Q6" s="88"/>
    </row>
    <row r="7" spans="1:20" ht="20.100000000000001" customHeight="1" x14ac:dyDescent="0.25">
      <c r="B7" s="119"/>
      <c r="C7" s="120" t="s">
        <v>252</v>
      </c>
      <c r="D7" s="201" t="s">
        <v>257</v>
      </c>
      <c r="E7" s="122"/>
      <c r="F7" s="120" t="s">
        <v>254</v>
      </c>
      <c r="G7" s="127" t="str">
        <f>IFERROR(CONCATENATE(VLOOKUP(D7,TableTeachingArea1[],2,FALSE)," ",VLOOKUP(D7,TableTeachingArea1[],3,FALSE)),"")</f>
        <v>STRP-SCART v.1</v>
      </c>
      <c r="H7" s="167"/>
      <c r="I7" s="122"/>
      <c r="J7" s="122"/>
      <c r="K7" s="122"/>
      <c r="L7" s="122"/>
      <c r="M7" s="122"/>
      <c r="N7" s="122"/>
      <c r="O7" s="122"/>
      <c r="P7" s="169" t="str">
        <f>VLOOKUP(D7,TableTeachingArea1[],2,FALSE)</f>
        <v>STRP-SCART</v>
      </c>
      <c r="Q7" s="88"/>
    </row>
    <row r="8" spans="1:20" ht="20.100000000000001" customHeight="1" x14ac:dyDescent="0.25">
      <c r="A8" s="127"/>
      <c r="B8" s="128"/>
      <c r="C8" s="120" t="s">
        <v>16</v>
      </c>
      <c r="D8" s="129" t="s">
        <v>39</v>
      </c>
      <c r="E8" s="130"/>
      <c r="F8" s="120" t="s">
        <v>18</v>
      </c>
      <c r="G8" s="122" t="str">
        <f>IFERROR(VLOOKUP($D$5,TableCourses[],7,FALSE),"")</f>
        <v>200 credit points required</v>
      </c>
      <c r="H8" s="131"/>
      <c r="I8" s="131"/>
      <c r="J8" s="131"/>
      <c r="K8" s="131"/>
      <c r="L8" s="131"/>
      <c r="M8" s="131"/>
      <c r="N8" s="131"/>
      <c r="O8" s="131"/>
      <c r="P8" s="169" t="str">
        <f>IFERROR(CONCATENATE("DDGD",MID(G6,6,5)),"")</f>
        <v>DDGDEDUSC</v>
      </c>
      <c r="Q8" s="88"/>
    </row>
    <row r="9" spans="1:20" s="12" customFormat="1" ht="14.1" customHeight="1" x14ac:dyDescent="0.25">
      <c r="A9" s="133"/>
      <c r="B9" s="133"/>
      <c r="C9" s="133"/>
      <c r="D9" s="134"/>
      <c r="E9" s="135"/>
      <c r="F9" s="133"/>
      <c r="G9" s="133"/>
      <c r="H9" s="136" t="s">
        <v>19</v>
      </c>
      <c r="I9" s="137"/>
      <c r="J9" s="137"/>
      <c r="K9" s="137"/>
      <c r="L9" s="137"/>
      <c r="M9" s="137"/>
      <c r="N9" s="137"/>
      <c r="O9" s="138"/>
      <c r="P9" s="135"/>
      <c r="Q9" s="157"/>
      <c r="R9" s="139"/>
      <c r="S9" s="139"/>
    </row>
    <row r="10" spans="1:20" s="12" customFormat="1" ht="31.5" x14ac:dyDescent="0.25">
      <c r="A10" s="133" t="s">
        <v>20</v>
      </c>
      <c r="B10" s="133"/>
      <c r="C10" s="133"/>
      <c r="D10" s="134" t="s">
        <v>3</v>
      </c>
      <c r="E10" s="140" t="s">
        <v>21</v>
      </c>
      <c r="F10" s="133" t="s">
        <v>22</v>
      </c>
      <c r="G10" s="133" t="s">
        <v>23</v>
      </c>
      <c r="H10" s="141" t="s">
        <v>24</v>
      </c>
      <c r="I10" s="142" t="s">
        <v>25</v>
      </c>
      <c r="J10" s="141" t="s">
        <v>26</v>
      </c>
      <c r="K10" s="142" t="s">
        <v>27</v>
      </c>
      <c r="L10" s="141" t="s">
        <v>28</v>
      </c>
      <c r="M10" s="142" t="s">
        <v>29</v>
      </c>
      <c r="N10" s="141" t="s">
        <v>30</v>
      </c>
      <c r="O10" s="142" t="s">
        <v>31</v>
      </c>
      <c r="P10" s="133" t="s">
        <v>32</v>
      </c>
      <c r="Q10" s="157"/>
      <c r="R10" s="139"/>
      <c r="S10" s="139"/>
    </row>
    <row r="11" spans="1:20" s="14" customFormat="1" ht="21" customHeight="1" x14ac:dyDescent="0.15">
      <c r="A11" s="143" t="str">
        <f>IFERROR(IF(HLOOKUP($P$6,RangeUnitsetsGDEDUCAcc,Q11,FALSE)=0,"",HLOOKUP($P$6,RangeUnitsetsGDEDUCAcc,Q11,FALSE)),"")</f>
        <v>EDSC5035</v>
      </c>
      <c r="B11" s="144">
        <f>IFERROR(IF(VLOOKUP($A11,TableHandbook[],2,FALSE)=0,"",VLOOKUP($A11,TableHandbook[],2,FALSE)),"")</f>
        <v>1</v>
      </c>
      <c r="C11" s="144" t="str">
        <f>IFERROR(IF(VLOOKUP($A11,TableHandbook[],3,FALSE)=0,"",VLOOKUP($A11,TableHandbook[],3,FALSE)),"")</f>
        <v/>
      </c>
      <c r="D11" s="145" t="str">
        <f>IFERROR(IF(VLOOKUP($A11,TableHandbook[],4,FALSE)=0,"",VLOOKUP($A11,TableHandbook[],4,FALSE)),"")</f>
        <v>Teaching in the Secondary School</v>
      </c>
      <c r="E11" s="144" t="str">
        <f>IF(OR(A11="",A11="--"),"",VLOOKUP($D$8,TableStudyPeriods[],2,FALSE))</f>
        <v>SSP1</v>
      </c>
      <c r="F11" s="146" t="str">
        <f>IFERROR(IF(VLOOKUP($A11,TableHandbook[],6,FALSE)=0,"",VLOOKUP($A11,TableHandbook[],6,FALSE)),"")</f>
        <v>Nil</v>
      </c>
      <c r="G11" s="144">
        <f>IFERROR(IF(VLOOKUP($A11,TableHandbook[],5,FALSE)=0,"",VLOOKUP($A11,TableHandbook[],5,FALSE)),"")</f>
        <v>25</v>
      </c>
      <c r="H11" s="147" t="str">
        <f>IFERROR(VLOOKUP($A11,TableHandbook[],H$2,FALSE),"")</f>
        <v>Y</v>
      </c>
      <c r="I11" s="148" t="str">
        <f>IFERROR(VLOOKUP($A11,TableHandbook[],I$2,FALSE),"")</f>
        <v>Y</v>
      </c>
      <c r="J11" s="147" t="str">
        <f>IFERROR(VLOOKUP($A11,TableHandbook[],J$2,FALSE),"")</f>
        <v>Y</v>
      </c>
      <c r="K11" s="148" t="str">
        <f>IFERROR(VLOOKUP($A11,TableHandbook[],K$2,FALSE),"")</f>
        <v>Y</v>
      </c>
      <c r="L11" s="147" t="str">
        <f>IFERROR(VLOOKUP($A11,TableHandbook[],L$2,FALSE),"")</f>
        <v/>
      </c>
      <c r="M11" s="148" t="str">
        <f>IFERROR(VLOOKUP($A11,TableHandbook[],M$2,FALSE),"")</f>
        <v/>
      </c>
      <c r="N11" s="147" t="str">
        <f>IFERROR(VLOOKUP($A11,TableHandbook[],N$2,FALSE),"")</f>
        <v/>
      </c>
      <c r="O11" s="148" t="str">
        <f>IFERROR(VLOOKUP($A11,TableHandbook[],O$2,FALSE),"")</f>
        <v/>
      </c>
      <c r="P11" s="23"/>
      <c r="Q11" s="149">
        <v>2</v>
      </c>
      <c r="R11" s="150"/>
      <c r="S11" s="150"/>
    </row>
    <row r="12" spans="1:20" s="14" customFormat="1" ht="21" customHeight="1" x14ac:dyDescent="0.15">
      <c r="A12" s="170" t="str">
        <f>IFERROR(IF(HLOOKUP($P$6,RangeUnitsetsGDEDUCAcc,Q12,FALSE)=0,"",HLOOKUP($P$6,RangeUnitsetsGDEDUCAcc,Q12,FALSE)),"")</f>
        <v>EDSC5028</v>
      </c>
      <c r="B12" s="144">
        <f>IFERROR(IF(VLOOKUP($A12,TableHandbook[],2,FALSE)=0,"",VLOOKUP($A12,TableHandbook[],2,FALSE)),"")</f>
        <v>1</v>
      </c>
      <c r="C12" s="144" t="str">
        <f>IFERROR(IF(VLOOKUP($A12,TableHandbook[],3,FALSE)=0,"",VLOOKUP($A12,TableHandbook[],3,FALSE)),"")</f>
        <v/>
      </c>
      <c r="D12" s="145" t="str">
        <f>IFERROR(IF(VLOOKUP($A12,TableHandbook[],4,FALSE)=0,"",VLOOKUP($A12,TableHandbook[],4,FALSE)),"")</f>
        <v>Secondary Professional Experience 1: Planning</v>
      </c>
      <c r="E12" s="144" t="str">
        <f>IF(A12="","",E11)</f>
        <v>SSP1</v>
      </c>
      <c r="F12" s="146" t="str">
        <f>IFERROR(IF(VLOOKUP($A12,TableHandbook[],6,FALSE)=0,"",VLOOKUP($A12,TableHandbook[],6,FALSE)),"")</f>
        <v>Nil</v>
      </c>
      <c r="G12" s="144">
        <f>IFERROR(IF(VLOOKUP($A12,TableHandbook[],5,FALSE)=0,"",VLOOKUP($A12,TableHandbook[],5,FALSE)),"")</f>
        <v>25</v>
      </c>
      <c r="H12" s="147" t="str">
        <f>IFERROR(VLOOKUP($A12,TableHandbook[],H$2,FALSE),"")</f>
        <v>Y</v>
      </c>
      <c r="I12" s="148" t="str">
        <f>IFERROR(VLOOKUP($A12,TableHandbook[],I$2,FALSE),"")</f>
        <v>Y</v>
      </c>
      <c r="J12" s="147" t="str">
        <f>IFERROR(VLOOKUP($A12,TableHandbook[],J$2,FALSE),"")</f>
        <v>Y</v>
      </c>
      <c r="K12" s="148" t="str">
        <f>IFERROR(VLOOKUP($A12,TableHandbook[],K$2,FALSE),"")</f>
        <v>Y</v>
      </c>
      <c r="L12" s="147" t="str">
        <f>IFERROR(VLOOKUP($A12,TableHandbook[],L$2,FALSE),"")</f>
        <v/>
      </c>
      <c r="M12" s="148" t="str">
        <f>IFERROR(VLOOKUP($A12,TableHandbook[],M$2,FALSE),"")</f>
        <v/>
      </c>
      <c r="N12" s="147" t="str">
        <f>IFERROR(VLOOKUP($A12,TableHandbook[],N$2,FALSE),"")</f>
        <v/>
      </c>
      <c r="O12" s="148" t="str">
        <f>IFERROR(VLOOKUP($A12,TableHandbook[],O$2,FALSE),"")</f>
        <v/>
      </c>
      <c r="P12" s="23"/>
      <c r="Q12" s="149">
        <v>3</v>
      </c>
      <c r="R12" s="150"/>
      <c r="S12" s="150"/>
    </row>
    <row r="13" spans="1:20" s="14" customFormat="1" ht="21" customHeight="1" x14ac:dyDescent="0.15">
      <c r="A13" s="143" t="str">
        <f>IFERROR(IF(HLOOKUP($P$6,RangeUnitsetsGDEDUCAcc,Q13,FALSE)=0,"",HLOOKUP($P$6,RangeUnitsetsGDEDUCAcc,Q13,FALSE)),"")</f>
        <v>EDUC5009</v>
      </c>
      <c r="B13" s="144">
        <f>IFERROR(IF(VLOOKUP($A13,TableHandbook[],2,FALSE)=0,"",VLOOKUP($A13,TableHandbook[],2,FALSE)),"")</f>
        <v>1</v>
      </c>
      <c r="C13" s="144" t="str">
        <f>IFERROR(IF(VLOOKUP($A13,TableHandbook[],3,FALSE)=0,"",VLOOKUP($A13,TableHandbook[],3,FALSE)),"")</f>
        <v/>
      </c>
      <c r="D13" s="145" t="str">
        <f>IFERROR(IF(VLOOKUP($A13,TableHandbook[],4,FALSE)=0,"",VLOOKUP($A13,TableHandbook[],4,FALSE)),"")</f>
        <v>Pedagogies for Diversity</v>
      </c>
      <c r="E13" s="144" t="str">
        <f>IF(A13="","",E12)</f>
        <v>SSP1</v>
      </c>
      <c r="F13" s="146" t="str">
        <f>IFERROR(IF(VLOOKUP($A13,TableHandbook[],6,FALSE)=0,"",VLOOKUP($A13,TableHandbook[],6,FALSE)),"")</f>
        <v>Nil</v>
      </c>
      <c r="G13" s="144">
        <f>IFERROR(IF(VLOOKUP($A13,TableHandbook[],5,FALSE)=0,"",VLOOKUP($A13,TableHandbook[],5,FALSE)),"")</f>
        <v>25</v>
      </c>
      <c r="H13" s="147" t="str">
        <f>IFERROR(VLOOKUP($A13,TableHandbook[],H$2,FALSE),"")</f>
        <v>Y</v>
      </c>
      <c r="I13" s="148" t="str">
        <f>IFERROR(VLOOKUP($A13,TableHandbook[],I$2,FALSE),"")</f>
        <v>Y</v>
      </c>
      <c r="J13" s="147" t="str">
        <f>IFERROR(VLOOKUP($A13,TableHandbook[],J$2,FALSE),"")</f>
        <v/>
      </c>
      <c r="K13" s="148" t="str">
        <f>IFERROR(VLOOKUP($A13,TableHandbook[],K$2,FALSE),"")</f>
        <v/>
      </c>
      <c r="L13" s="147" t="str">
        <f>IFERROR(VLOOKUP($A13,TableHandbook[],L$2,FALSE),"")</f>
        <v>Y</v>
      </c>
      <c r="M13" s="148" t="str">
        <f>IFERROR(VLOOKUP($A13,TableHandbook[],M$2,FALSE),"")</f>
        <v>Y</v>
      </c>
      <c r="N13" s="147" t="str">
        <f>IFERROR(VLOOKUP($A13,TableHandbook[],N$2,FALSE),"")</f>
        <v/>
      </c>
      <c r="O13" s="148" t="str">
        <f>IFERROR(VLOOKUP($A13,TableHandbook[],O$2,FALSE),"")</f>
        <v/>
      </c>
      <c r="P13" s="24"/>
      <c r="Q13" s="149">
        <v>4</v>
      </c>
      <c r="R13" s="150"/>
      <c r="S13" s="150"/>
    </row>
    <row r="14" spans="1:20" s="14" customFormat="1" ht="6" customHeight="1" x14ac:dyDescent="0.15">
      <c r="A14" s="171"/>
      <c r="B14" s="172"/>
      <c r="C14" s="172"/>
      <c r="D14" s="173"/>
      <c r="E14" s="172"/>
      <c r="F14" s="174"/>
      <c r="G14" s="172"/>
      <c r="H14" s="175"/>
      <c r="I14" s="176"/>
      <c r="J14" s="175"/>
      <c r="K14" s="176"/>
      <c r="L14" s="175"/>
      <c r="M14" s="176"/>
      <c r="N14" s="175"/>
      <c r="O14" s="176"/>
      <c r="P14" s="106"/>
      <c r="Q14" s="149"/>
      <c r="R14" s="150"/>
      <c r="S14" s="150"/>
      <c r="T14" s="150"/>
    </row>
    <row r="15" spans="1:20" s="14" customFormat="1" ht="21" customHeight="1" x14ac:dyDescent="0.15">
      <c r="A15" s="143" t="str">
        <f>IFERROR(IF(HLOOKUP($P$6,RangeUnitsetsGDEDUCAcc,Q15,FALSE)=0,"",HLOOKUP($P$6,RangeUnitsetsGDEDUCAcc,Q15,FALSE)),"")</f>
        <v>EDSC5029</v>
      </c>
      <c r="B15" s="144">
        <f>IFERROR(IF(VLOOKUP($A15,TableHandbook[],2,FALSE)=0,"",VLOOKUP($A15,TableHandbook[],2,FALSE)),"")</f>
        <v>1</v>
      </c>
      <c r="C15" s="144" t="str">
        <f>IFERROR(IF(VLOOKUP($A15,TableHandbook[],3,FALSE)=0,"",VLOOKUP($A15,TableHandbook[],3,FALSE)),"")</f>
        <v/>
      </c>
      <c r="D15" s="145" t="str">
        <f>IFERROR(IF(VLOOKUP($A15,TableHandbook[],4,FALSE)=0,"",VLOOKUP($A15,TableHandbook[],4,FALSE)),"")</f>
        <v>Secondary Professional Experience 2: Assessment and Reporting</v>
      </c>
      <c r="E15" s="144" t="str">
        <f>IF(OR(A15="",A15="--"),"",VLOOKUP($D$8,TableStudyPeriods[],3,FALSE))</f>
        <v>SSP2</v>
      </c>
      <c r="F15" s="146" t="str">
        <f>IFERROR(IF(VLOOKUP($A15,TableHandbook[],6,FALSE)=0,"",VLOOKUP($A15,TableHandbook[],6,FALSE)),"")</f>
        <v>EDSC5028</v>
      </c>
      <c r="G15" s="144">
        <f>IFERROR(IF(VLOOKUP($A15,TableHandbook[],5,FALSE)=0,"",VLOOKUP($A15,TableHandbook[],5,FALSE)),"")</f>
        <v>25</v>
      </c>
      <c r="H15" s="147" t="str">
        <f>IFERROR(VLOOKUP($A15,TableHandbook[],H$2,FALSE),"")</f>
        <v/>
      </c>
      <c r="I15" s="148" t="str">
        <f>IFERROR(VLOOKUP($A15,TableHandbook[],I$2,FALSE),"")</f>
        <v/>
      </c>
      <c r="J15" s="147" t="str">
        <f>IFERROR(VLOOKUP($A15,TableHandbook[],J$2,FALSE),"")</f>
        <v>Y</v>
      </c>
      <c r="K15" s="148" t="str">
        <f>IFERROR(VLOOKUP($A15,TableHandbook[],K$2,FALSE),"")</f>
        <v>Y</v>
      </c>
      <c r="L15" s="147" t="str">
        <f>IFERROR(VLOOKUP($A15,TableHandbook[],L$2,FALSE),"")</f>
        <v>Y</v>
      </c>
      <c r="M15" s="148" t="str">
        <f>IFERROR(VLOOKUP($A15,TableHandbook[],M$2,FALSE),"")</f>
        <v>Y</v>
      </c>
      <c r="N15" s="147" t="str">
        <f>IFERROR(VLOOKUP($A15,TableHandbook[],N$2,FALSE),"")</f>
        <v/>
      </c>
      <c r="O15" s="148" t="str">
        <f>IFERROR(VLOOKUP($A15,TableHandbook[],O$2,FALSE),"")</f>
        <v/>
      </c>
      <c r="P15" s="23"/>
      <c r="Q15" s="149">
        <v>5</v>
      </c>
      <c r="R15" s="150"/>
      <c r="S15" s="150"/>
    </row>
    <row r="16" spans="1:20" s="14" customFormat="1" ht="21" customHeight="1" x14ac:dyDescent="0.15">
      <c r="A16" s="143" t="str">
        <f>IFERROR(IF(HLOOKUP($P$6,RangeUnitsetsGDEDUCAcc,Q16,FALSE)=0,"",HLOOKUP($P$6,RangeUnitsetsGDEDUCAcc,Q16,FALSE)),"")</f>
        <v>EDUC5006</v>
      </c>
      <c r="B16" s="151">
        <f>IFERROR(IF(VLOOKUP($A16,TableHandbook[],2,FALSE)=0,"",VLOOKUP($A16,TableHandbook[],2,FALSE)),"")</f>
        <v>1</v>
      </c>
      <c r="C16" s="151" t="str">
        <f>IFERROR(IF(VLOOKUP($A16,TableHandbook[],3,FALSE)=0,"",VLOOKUP($A16,TableHandbook[],3,FALSE)),"")</f>
        <v/>
      </c>
      <c r="D16" s="145" t="str">
        <f>IFERROR(IF(VLOOKUP($A16,TableHandbook[],4,FALSE)=0,"",VLOOKUP($A16,TableHandbook[],4,FALSE)),"")</f>
        <v>Creative Technologies</v>
      </c>
      <c r="E16" s="144" t="str">
        <f>IF(A16="","",E15)</f>
        <v>SSP2</v>
      </c>
      <c r="F16" s="146" t="str">
        <f>IFERROR(IF(VLOOKUP($A16,TableHandbook[],6,FALSE)=0,"",VLOOKUP($A16,TableHandbook[],6,FALSE)),"")</f>
        <v>Nil</v>
      </c>
      <c r="G16" s="151">
        <f>IFERROR(IF(VLOOKUP($A16,TableHandbook[],5,FALSE)=0,"",VLOOKUP($A16,TableHandbook[],5,FALSE)),"")</f>
        <v>25</v>
      </c>
      <c r="H16" s="152" t="str">
        <f>IFERROR(VLOOKUP($A16,TableHandbook[],H$2,FALSE),"")</f>
        <v/>
      </c>
      <c r="I16" s="153" t="str">
        <f>IFERROR(VLOOKUP($A16,TableHandbook[],I$2,FALSE),"")</f>
        <v/>
      </c>
      <c r="J16" s="152" t="str">
        <f>IFERROR(VLOOKUP($A16,TableHandbook[],J$2,FALSE),"")</f>
        <v>Y</v>
      </c>
      <c r="K16" s="153" t="str">
        <f>IFERROR(VLOOKUP($A16,TableHandbook[],K$2,FALSE),"")</f>
        <v>Y</v>
      </c>
      <c r="L16" s="152" t="str">
        <f>IFERROR(VLOOKUP($A16,TableHandbook[],L$2,FALSE),"")</f>
        <v>Y</v>
      </c>
      <c r="M16" s="153" t="str">
        <f>IFERROR(VLOOKUP($A16,TableHandbook[],M$2,FALSE),"")</f>
        <v>Y</v>
      </c>
      <c r="N16" s="152" t="str">
        <f>IFERROR(VLOOKUP($A16,TableHandbook[],N$2,FALSE),"")</f>
        <v>Y</v>
      </c>
      <c r="O16" s="153" t="str">
        <f>IFERROR(VLOOKUP($A16,TableHandbook[],O$2,FALSE),"")</f>
        <v>Y</v>
      </c>
      <c r="P16" s="24"/>
      <c r="Q16" s="149">
        <v>6</v>
      </c>
      <c r="R16" s="150"/>
      <c r="S16" s="150"/>
    </row>
    <row r="17" spans="1:27" s="16" customFormat="1" ht="21" customHeight="1" x14ac:dyDescent="0.15">
      <c r="A17" s="143" t="str">
        <f>IFERROR(IF(HLOOKUP($P$6,RangeUnitsetsGDEDUCAcc,Q17,FALSE)=0,"",HLOOKUP($P$6,RangeUnitsetsGDEDUCAcc,Q17,FALSE)),"")</f>
        <v>GDTAL</v>
      </c>
      <c r="B17" s="151" t="str">
        <f>IFERROR(IF(VLOOKUP($A17,TableHandbook[],2,FALSE)=0,"",VLOOKUP($A17,TableHandbook[],2,FALSE)),"")</f>
        <v/>
      </c>
      <c r="C17" s="151" t="str">
        <f>IFERROR(IF(VLOOKUP($A17,TableHandbook[],3,FALSE)=0,"",VLOOKUP($A17,TableHandbook[],3,FALSE)),"")</f>
        <v/>
      </c>
      <c r="D17" s="145" t="str">
        <f>IFERROR(IF(VLOOKUP($A17,TableHandbook[],4,FALSE)=0,"",VLOOKUP($A17,TableHandbook[],4,FALSE)),"")</f>
        <v>Teaching Area LOWER subject (see below)</v>
      </c>
      <c r="E17" s="144" t="str">
        <f>IF(A17="","",E16)</f>
        <v>SSP2</v>
      </c>
      <c r="F17" s="146" t="str">
        <f>IFERROR(IF(VLOOKUP($A17,TableHandbook[],6,FALSE)=0,"",VLOOKUP($A17,TableHandbook[],6,FALSE)),"")</f>
        <v>See below</v>
      </c>
      <c r="G17" s="151">
        <f>IFERROR(IF(VLOOKUP($A17,TableHandbook[],5,FALSE)=0,"",VLOOKUP($A17,TableHandbook[],5,FALSE)),"")</f>
        <v>25</v>
      </c>
      <c r="H17" s="152" t="str">
        <f>IFERROR(VLOOKUP($A17,TableHandbook[],H$2,FALSE),"")</f>
        <v/>
      </c>
      <c r="I17" s="153" t="str">
        <f>IFERROR(VLOOKUP($A17,TableHandbook[],I$2,FALSE),"")</f>
        <v/>
      </c>
      <c r="J17" s="152" t="str">
        <f>IFERROR(VLOOKUP($A17,TableHandbook[],J$2,FALSE),"")</f>
        <v/>
      </c>
      <c r="K17" s="153" t="str">
        <f>IFERROR(VLOOKUP($A17,TableHandbook[],K$2,FALSE),"")</f>
        <v/>
      </c>
      <c r="L17" s="152" t="str">
        <f>IFERROR(VLOOKUP($A17,TableHandbook[],L$2,FALSE),"")</f>
        <v/>
      </c>
      <c r="M17" s="153" t="str">
        <f>IFERROR(VLOOKUP($A17,TableHandbook[],M$2,FALSE),"")</f>
        <v/>
      </c>
      <c r="N17" s="152" t="str">
        <f>IFERROR(VLOOKUP($A17,TableHandbook[],N$2,FALSE),"")</f>
        <v/>
      </c>
      <c r="O17" s="153" t="str">
        <f>IFERROR(VLOOKUP($A17,TableHandbook[],O$2,FALSE),"")</f>
        <v/>
      </c>
      <c r="P17" s="24"/>
      <c r="Q17" s="149">
        <v>7</v>
      </c>
      <c r="R17" s="154"/>
      <c r="S17" s="154"/>
    </row>
    <row r="18" spans="1:27" s="14" customFormat="1" ht="6" customHeight="1" x14ac:dyDescent="0.15">
      <c r="A18" s="171"/>
      <c r="B18" s="172"/>
      <c r="C18" s="172"/>
      <c r="D18" s="173"/>
      <c r="E18" s="172"/>
      <c r="F18" s="174"/>
      <c r="G18" s="172"/>
      <c r="H18" s="175"/>
      <c r="I18" s="176"/>
      <c r="J18" s="175"/>
      <c r="K18" s="176"/>
      <c r="L18" s="175"/>
      <c r="M18" s="176"/>
      <c r="N18" s="175"/>
      <c r="O18" s="176"/>
      <c r="P18" s="106"/>
      <c r="Q18" s="149"/>
      <c r="R18" s="150"/>
      <c r="S18" s="150"/>
      <c r="T18" s="150"/>
    </row>
    <row r="19" spans="1:27" s="16" customFormat="1" ht="21" customHeight="1" x14ac:dyDescent="0.15">
      <c r="A19" s="143" t="str">
        <f>IFERROR(IF(HLOOKUP($P$6,RangeUnitsetsGDEDUCAcc,Q19,FALSE)=0,"",HLOOKUP($P$6,RangeUnitsetsGDEDUCAcc,Q19,FALSE)),"")</f>
        <v>EDUC6062</v>
      </c>
      <c r="B19" s="151">
        <f>IFERROR(IF(VLOOKUP($A19,TableHandbook[],2,FALSE)=0,"",VLOOKUP($A19,TableHandbook[],2,FALSE)),"")</f>
        <v>1</v>
      </c>
      <c r="C19" s="151" t="str">
        <f>IFERROR(IF(VLOOKUP($A19,TableHandbook[],3,FALSE)=0,"",VLOOKUP($A19,TableHandbook[],3,FALSE)),"")</f>
        <v/>
      </c>
      <c r="D19" s="145" t="str">
        <f>IFERROR(IF(VLOOKUP($A19,TableHandbook[],4,FALSE)=0,"",VLOOKUP($A19,TableHandbook[],4,FALSE)),"")</f>
        <v>Professional Experience 3: Using Data to Inform Teaching and Learning</v>
      </c>
      <c r="E19" s="144" t="str">
        <f>IF(OR(A19="",A19="--"),"",VLOOKUP($D$8,TableStudyPeriods[],4,FALSE))</f>
        <v>SSP3</v>
      </c>
      <c r="F19" s="146" t="str">
        <f>IFERROR(IF(VLOOKUP($A19,TableHandbook[],6,FALSE)=0,"",VLOOKUP($A19,TableHandbook[],6,FALSE)),"")</f>
        <v>EDEC5001 or EDPR5001 or EDSC5029</v>
      </c>
      <c r="G19" s="151">
        <f>IFERROR(IF(VLOOKUP($A19,TableHandbook[],5,FALSE)=0,"",VLOOKUP($A19,TableHandbook[],5,FALSE)),"")</f>
        <v>25</v>
      </c>
      <c r="H19" s="152" t="str">
        <f>IFERROR(VLOOKUP($A19,TableHandbook[],H$2,FALSE),"")</f>
        <v>Y</v>
      </c>
      <c r="I19" s="153" t="str">
        <f>IFERROR(VLOOKUP($A19,TableHandbook[],I$2,FALSE),"")</f>
        <v>Y</v>
      </c>
      <c r="J19" s="152" t="str">
        <f>IFERROR(VLOOKUP($A19,TableHandbook[],J$2,FALSE),"")</f>
        <v/>
      </c>
      <c r="K19" s="153" t="str">
        <f>IFERROR(VLOOKUP($A19,TableHandbook[],K$2,FALSE),"")</f>
        <v/>
      </c>
      <c r="L19" s="152" t="str">
        <f>IFERROR(VLOOKUP($A19,TableHandbook[],L$2,FALSE),"")</f>
        <v>Y</v>
      </c>
      <c r="M19" s="153" t="str">
        <f>IFERROR(VLOOKUP($A19,TableHandbook[],M$2,FALSE),"")</f>
        <v>Y</v>
      </c>
      <c r="N19" s="152" t="str">
        <f>IFERROR(VLOOKUP($A19,TableHandbook[],N$2,FALSE),"")</f>
        <v/>
      </c>
      <c r="O19" s="153" t="str">
        <f>IFERROR(VLOOKUP($A19,TableHandbook[],O$2,FALSE),"")</f>
        <v/>
      </c>
      <c r="P19" s="24"/>
      <c r="Q19" s="149">
        <v>8</v>
      </c>
      <c r="R19" s="154"/>
      <c r="S19" s="154"/>
    </row>
    <row r="20" spans="1:27" s="16" customFormat="1" ht="21" customHeight="1" x14ac:dyDescent="0.15">
      <c r="A20" s="143" t="str">
        <f>IFERROR(IF(HLOOKUP($P$6,RangeUnitsetsGDEDUCAcc,Q20,FALSE)=0,"",HLOOKUP($P$6,RangeUnitsetsGDEDUCAcc,Q20,FALSE)),"")</f>
        <v>GDTAS</v>
      </c>
      <c r="B20" s="151" t="str">
        <f>IFERROR(IF(VLOOKUP($A20,TableHandbook[],2,FALSE)=0,"",VLOOKUP($A20,TableHandbook[],2,FALSE)),"")</f>
        <v/>
      </c>
      <c r="C20" s="151" t="str">
        <f>IFERROR(IF(VLOOKUP($A20,TableHandbook[],3,FALSE)=0,"",VLOOKUP($A20,TableHandbook[],3,FALSE)),"")</f>
        <v/>
      </c>
      <c r="D20" s="177" t="str">
        <f>IFERROR(IF(VLOOKUP($A20,TableHandbook[],4,FALSE)=0,"",VLOOKUP($A20,TableHandbook[],4,FALSE)),"")</f>
        <v>Teaching Area SENIOR subject (see below)</v>
      </c>
      <c r="E20" s="151" t="str">
        <f>IF(A20="","",E19)</f>
        <v>SSP3</v>
      </c>
      <c r="F20" s="146" t="str">
        <f>IFERROR(IF(VLOOKUP($A20,TableHandbook[],6,FALSE)=0,"",VLOOKUP($A20,TableHandbook[],6,FALSE)),"")</f>
        <v>See below</v>
      </c>
      <c r="G20" s="151">
        <f>IFERROR(IF(VLOOKUP($A20,TableHandbook[],5,FALSE)=0,"",VLOOKUP($A20,TableHandbook[],5,FALSE)),"")</f>
        <v>25</v>
      </c>
      <c r="H20" s="152" t="str">
        <f>IFERROR(VLOOKUP($A20,TableHandbook[],H$2,FALSE),"")</f>
        <v/>
      </c>
      <c r="I20" s="153" t="str">
        <f>IFERROR(VLOOKUP($A20,TableHandbook[],I$2,FALSE),"")</f>
        <v/>
      </c>
      <c r="J20" s="152" t="str">
        <f>IFERROR(VLOOKUP($A20,TableHandbook[],J$2,FALSE),"")</f>
        <v/>
      </c>
      <c r="K20" s="153" t="str">
        <f>IFERROR(VLOOKUP($A20,TableHandbook[],K$2,FALSE),"")</f>
        <v/>
      </c>
      <c r="L20" s="152" t="str">
        <f>IFERROR(VLOOKUP($A20,TableHandbook[],L$2,FALSE),"")</f>
        <v/>
      </c>
      <c r="M20" s="153" t="str">
        <f>IFERROR(VLOOKUP($A20,TableHandbook[],M$2,FALSE),"")</f>
        <v/>
      </c>
      <c r="N20" s="152" t="str">
        <f>IFERROR(VLOOKUP($A20,TableHandbook[],N$2,FALSE),"")</f>
        <v/>
      </c>
      <c r="O20" s="153" t="str">
        <f>IFERROR(VLOOKUP($A20,TableHandbook[],O$2,FALSE),"")</f>
        <v/>
      </c>
      <c r="P20" s="24"/>
      <c r="Q20" s="149">
        <v>9</v>
      </c>
      <c r="R20" s="154"/>
      <c r="S20" s="154"/>
    </row>
    <row r="21" spans="1:27" ht="16.5" customHeight="1" x14ac:dyDescent="0.25">
      <c r="A21" s="159"/>
      <c r="B21" s="159"/>
      <c r="C21" s="159"/>
      <c r="D21" s="160"/>
      <c r="E21" s="160"/>
      <c r="F21" s="161"/>
      <c r="G21" s="161"/>
      <c r="H21" s="161"/>
      <c r="I21" s="161"/>
      <c r="J21" s="161"/>
      <c r="K21" s="161"/>
      <c r="L21" s="161"/>
      <c r="M21" s="161"/>
      <c r="N21" s="161"/>
      <c r="O21" s="161"/>
      <c r="P21" s="161"/>
      <c r="Q21" s="88"/>
    </row>
    <row r="22" spans="1:27" s="20" customFormat="1" ht="25.5" x14ac:dyDescent="0.25">
      <c r="A22" s="178" t="s">
        <v>255</v>
      </c>
      <c r="B22" s="179"/>
      <c r="C22" s="179"/>
      <c r="D22" s="180"/>
      <c r="E22" s="181"/>
      <c r="F22" s="181"/>
      <c r="G22" s="181"/>
      <c r="H22" s="182" t="str">
        <f>H9</f>
        <v>2025 Availabilities</v>
      </c>
      <c r="I22" s="183"/>
      <c r="J22" s="183"/>
      <c r="K22" s="183"/>
      <c r="L22" s="183"/>
      <c r="M22" s="183"/>
      <c r="N22" s="184"/>
      <c r="O22" s="185"/>
      <c r="P22" s="186"/>
      <c r="Q22" s="88"/>
    </row>
    <row r="23" spans="1:27" ht="31.5" x14ac:dyDescent="0.25">
      <c r="A23" s="133"/>
      <c r="B23" s="133"/>
      <c r="C23" s="133"/>
      <c r="D23" s="134" t="s">
        <v>3</v>
      </c>
      <c r="E23" s="140" t="s">
        <v>21</v>
      </c>
      <c r="F23" s="133" t="s">
        <v>45</v>
      </c>
      <c r="G23" s="133" t="s">
        <v>23</v>
      </c>
      <c r="H23" s="141" t="str">
        <f>H10</f>
        <v>SSP1 BEN</v>
      </c>
      <c r="I23" s="142" t="str">
        <f t="shared" ref="I23:P23" si="0">I10</f>
        <v>SSP1 FO</v>
      </c>
      <c r="J23" s="141" t="str">
        <f t="shared" si="0"/>
        <v>SSP2 BEN</v>
      </c>
      <c r="K23" s="142" t="str">
        <f t="shared" si="0"/>
        <v>SSP2 FO</v>
      </c>
      <c r="L23" s="141" t="str">
        <f t="shared" si="0"/>
        <v>SSP3 BEN</v>
      </c>
      <c r="M23" s="142" t="str">
        <f t="shared" si="0"/>
        <v>SSP3 FO</v>
      </c>
      <c r="N23" s="141" t="str">
        <f t="shared" si="0"/>
        <v>SSP4 BEN</v>
      </c>
      <c r="O23" s="142" t="str">
        <f t="shared" si="0"/>
        <v>SSP4 FO</v>
      </c>
      <c r="P23" s="133" t="str">
        <f t="shared" si="0"/>
        <v>Notes / Progress</v>
      </c>
      <c r="Q23" s="149"/>
    </row>
    <row r="24" spans="1:27" x14ac:dyDescent="0.25">
      <c r="A24" s="187" t="str">
        <f>IFERROR(IF(HLOOKUP($P$6,RangeUnitsetsGDEDUC,Q24,FALSE)=0,"",HLOOKUP($P$6,RangeUnitsetsGDEDUC,Q24,FALSE)),"")</f>
        <v>GDTA</v>
      </c>
      <c r="B24" s="188" t="str">
        <f>IFERROR(IF(VLOOKUP($A24,TableHandbook[],2,FALSE)=0,"",VLOOKUP($A24,TableHandbook[],2,FALSE)),"")</f>
        <v/>
      </c>
      <c r="C24" s="189" t="str">
        <f>IFERROR(IF(VLOOKUP($A24,TableHandbook[],3,FALSE)=0,"",VLOOKUP($A24,TableHandbook[],3,FALSE)),"")</f>
        <v/>
      </c>
      <c r="D24" s="189" t="str">
        <f>IFERROR(IF(VLOOKUP($A24,TableHandbook[],4,FALSE)=0,"",VLOOKUP($A24,TableHandbook[],4,FALSE)),"")</f>
        <v>Teaching Area (study Lower before Senior)</v>
      </c>
      <c r="E24" s="190"/>
      <c r="F24" s="191" t="str">
        <f>IFERROR(IF(VLOOKUP($A24,TableHandbook[],6,FALSE)=0,"",VLOOKUP($A24,TableHandbook[],6,FALSE)),"")</f>
        <v/>
      </c>
      <c r="G24" s="191" t="str">
        <f>IFERROR(IF(VLOOKUP($A24,TableHandbook[],5,FALSE)=0,"",VLOOKUP($A24,TableHandbook[],5,FALSE)),"")</f>
        <v/>
      </c>
      <c r="H24" s="152" t="str">
        <f>IFERROR(VLOOKUP($A24,TableHandbook[],H$2,FALSE),"")</f>
        <v/>
      </c>
      <c r="I24" s="153" t="str">
        <f>IFERROR(VLOOKUP($A24,TableHandbook[],I$2,FALSE),"")</f>
        <v/>
      </c>
      <c r="J24" s="151" t="str">
        <f>IFERROR(VLOOKUP($A24,TableHandbook[],J$2,FALSE),"")</f>
        <v/>
      </c>
      <c r="K24" s="153" t="str">
        <f>IFERROR(VLOOKUP($A24,TableHandbook[],K$2,FALSE),"")</f>
        <v/>
      </c>
      <c r="L24" s="151" t="str">
        <f>IFERROR(VLOOKUP($A24,TableHandbook[],L$2,FALSE),"")</f>
        <v/>
      </c>
      <c r="M24" s="153" t="str">
        <f>IFERROR(VLOOKUP($A24,TableHandbook[],M$2,FALSE),"")</f>
        <v/>
      </c>
      <c r="N24" s="151" t="str">
        <f>IFERROR(VLOOKUP($A24,TableHandbook[],N$2,FALSE),"")</f>
        <v/>
      </c>
      <c r="O24" s="153" t="str">
        <f>IFERROR(VLOOKUP($A24,TableHandbook[],O$2,FALSE),"")</f>
        <v/>
      </c>
      <c r="P24" s="24"/>
      <c r="Q24" s="149">
        <v>10</v>
      </c>
    </row>
    <row r="25" spans="1:27" x14ac:dyDescent="0.25">
      <c r="A25" s="187" t="str">
        <f>IFERROR(IF(HLOOKUP($P$7,RangeTeachingAreas,Q25,FALSE)=0,"",HLOOKUP($P$7,RangeTeachingAreas,Q25,FALSE)),"")</f>
        <v>EDSC5023</v>
      </c>
      <c r="B25" s="188">
        <f>IFERROR(IF(VLOOKUP($A25,TableHandbook[],2,FALSE)=0,"",VLOOKUP($A25,TableHandbook[],2,FALSE)),"")</f>
        <v>2</v>
      </c>
      <c r="C25" s="189" t="str">
        <f>IFERROR(IF(VLOOKUP($A25,TableHandbook[],3,FALSE)=0,"",VLOOKUP($A25,TableHandbook[],3,FALSE)),"")</f>
        <v/>
      </c>
      <c r="D25" s="189" t="str">
        <f>IFERROR(IF(VLOOKUP($A25,TableHandbook[],4,FALSE)=0,"",VLOOKUP($A25,TableHandbook[],4,FALSE)),"")</f>
        <v>Curriculum and Instruction Lower Secondary: The Arts</v>
      </c>
      <c r="E25" s="190"/>
      <c r="F25" s="191" t="str">
        <f>IFERROR(IF(VLOOKUP($A25,TableHandbook[],6,FALSE)=0,"",VLOOKUP($A25,TableHandbook[],6,FALSE)),"")</f>
        <v>Nil</v>
      </c>
      <c r="G25" s="191">
        <f>IFERROR(IF(VLOOKUP($A25,TableHandbook[],5,FALSE)=0,"",VLOOKUP($A25,TableHandbook[],5,FALSE)),"")</f>
        <v>25</v>
      </c>
      <c r="H25" s="147" t="str">
        <f>IFERROR(VLOOKUP($A25,TableHandbook[],H$2,FALSE),"")</f>
        <v/>
      </c>
      <c r="I25" s="148" t="str">
        <f>IFERROR(VLOOKUP($A25,TableHandbook[],I$2,FALSE),"")</f>
        <v/>
      </c>
      <c r="J25" s="144" t="str">
        <f>IFERROR(VLOOKUP($A25,TableHandbook[],J$2,FALSE),"")</f>
        <v>Y</v>
      </c>
      <c r="K25" s="148" t="str">
        <f>IFERROR(VLOOKUP($A25,TableHandbook[],K$2,FALSE),"")</f>
        <v>Y</v>
      </c>
      <c r="L25" s="144" t="str">
        <f>IFERROR(VLOOKUP($A25,TableHandbook[],L$2,FALSE),"")</f>
        <v/>
      </c>
      <c r="M25" s="148" t="str">
        <f>IFERROR(VLOOKUP($A25,TableHandbook[],M$2,FALSE),"")</f>
        <v/>
      </c>
      <c r="N25" s="144" t="str">
        <f>IFERROR(VLOOKUP($A25,TableHandbook[],N$2,FALSE),"")</f>
        <v>Y</v>
      </c>
      <c r="O25" s="148" t="str">
        <f>IFERROR(VLOOKUP($A25,TableHandbook[],O$2,FALSE),"")</f>
        <v>Y</v>
      </c>
      <c r="P25" s="24"/>
      <c r="Q25" s="149">
        <v>3</v>
      </c>
    </row>
    <row r="26" spans="1:27" x14ac:dyDescent="0.25">
      <c r="A26" s="187" t="str">
        <f>IFERROR(IF(HLOOKUP($P$7,RangeTeachingAreas,Q26,FALSE)=0,"",HLOOKUP($P$7,RangeTeachingAreas,Q26,FALSE)),"")</f>
        <v>EDSC5030</v>
      </c>
      <c r="B26" s="188">
        <f>IFERROR(IF(VLOOKUP($A26,TableHandbook[],2,FALSE)=0,"",VLOOKUP($A26,TableHandbook[],2,FALSE)),"")</f>
        <v>2</v>
      </c>
      <c r="C26" s="189" t="str">
        <f>IFERROR(IF(VLOOKUP($A26,TableHandbook[],3,FALSE)=0,"",VLOOKUP($A26,TableHandbook[],3,FALSE)),"")</f>
        <v/>
      </c>
      <c r="D26" s="189" t="str">
        <f>IFERROR(IF(VLOOKUP($A26,TableHandbook[],4,FALSE)=0,"",VLOOKUP($A26,TableHandbook[],4,FALSE)),"")</f>
        <v>Curriculum and Instruction Senior Secondary: The Arts</v>
      </c>
      <c r="E26" s="190"/>
      <c r="F26" s="191" t="str">
        <f>IFERROR(IF(VLOOKUP($A26,TableHandbook[],6,FALSE)=0,"",VLOOKUP($A26,TableHandbook[],6,FALSE)),"")</f>
        <v>Nil</v>
      </c>
      <c r="G26" s="191">
        <f>IFERROR(IF(VLOOKUP($A26,TableHandbook[],5,FALSE)=0,"",VLOOKUP($A26,TableHandbook[],5,FALSE)),"")</f>
        <v>25</v>
      </c>
      <c r="H26" s="147" t="str">
        <f>IFERROR(VLOOKUP($A26,TableHandbook[],H$2,FALSE),"")</f>
        <v/>
      </c>
      <c r="I26" s="148" t="str">
        <f>IFERROR(VLOOKUP($A26,TableHandbook[],I$2,FALSE),"")</f>
        <v/>
      </c>
      <c r="J26" s="144" t="str">
        <f>IFERROR(VLOOKUP($A26,TableHandbook[],J$2,FALSE),"")</f>
        <v>Y</v>
      </c>
      <c r="K26" s="148" t="str">
        <f>IFERROR(VLOOKUP($A26,TableHandbook[],K$2,FALSE),"")</f>
        <v>Y</v>
      </c>
      <c r="L26" s="144" t="str">
        <f>IFERROR(VLOOKUP($A26,TableHandbook[],L$2,FALSE),"")</f>
        <v/>
      </c>
      <c r="M26" s="148" t="str">
        <f>IFERROR(VLOOKUP($A26,TableHandbook[],M$2,FALSE),"")</f>
        <v/>
      </c>
      <c r="N26" s="144" t="str">
        <f>IFERROR(VLOOKUP($A26,TableHandbook[],N$2,FALSE),"")</f>
        <v>Y</v>
      </c>
      <c r="O26" s="148" t="str">
        <f>IFERROR(VLOOKUP($A26,TableHandbook[],O$2,FALSE),"")</f>
        <v>Y</v>
      </c>
      <c r="P26" s="24"/>
      <c r="Q26" s="149">
        <v>4</v>
      </c>
    </row>
    <row r="27" spans="1:27" ht="15" customHeight="1" x14ac:dyDescent="0.25">
      <c r="A27" s="192"/>
      <c r="B27" s="192"/>
      <c r="C27" s="193"/>
      <c r="D27" s="193"/>
      <c r="E27" s="194"/>
      <c r="F27" s="195"/>
      <c r="G27" s="195"/>
      <c r="H27" s="196"/>
      <c r="I27" s="196"/>
      <c r="J27" s="196"/>
      <c r="K27" s="196"/>
      <c r="L27" s="196"/>
      <c r="M27" s="196"/>
      <c r="N27" s="196"/>
      <c r="O27" s="196"/>
      <c r="P27" s="197"/>
      <c r="Q27" s="149"/>
    </row>
    <row r="28" spans="1:27" s="10" customFormat="1" ht="18" x14ac:dyDescent="0.25">
      <c r="A28" s="198" t="s">
        <v>34</v>
      </c>
      <c r="B28" s="198"/>
      <c r="C28" s="198"/>
      <c r="D28" s="198"/>
      <c r="E28" s="198"/>
      <c r="F28" s="198"/>
      <c r="G28" s="198"/>
      <c r="H28" s="198"/>
      <c r="I28" s="198"/>
      <c r="J28" s="198"/>
      <c r="K28" s="198"/>
      <c r="L28" s="198"/>
      <c r="M28" s="198"/>
      <c r="N28" s="198"/>
      <c r="O28" s="198"/>
      <c r="P28" s="198"/>
      <c r="Q28" s="88"/>
      <c r="R28" s="8"/>
      <c r="S28" s="8"/>
      <c r="T28" s="8"/>
      <c r="U28" s="8"/>
      <c r="V28" s="8"/>
      <c r="W28" s="8"/>
      <c r="X28" s="8"/>
      <c r="Y28" s="8"/>
      <c r="Z28" s="8"/>
      <c r="AA28" s="8"/>
    </row>
    <row r="29" spans="1:27" s="18" customFormat="1" ht="17.25" x14ac:dyDescent="0.2">
      <c r="A29" s="66" t="s">
        <v>35</v>
      </c>
      <c r="B29" s="66"/>
      <c r="C29" s="66"/>
      <c r="D29" s="67"/>
      <c r="E29" s="67"/>
      <c r="F29" s="67"/>
      <c r="G29" s="67"/>
      <c r="H29" s="67"/>
      <c r="I29" s="67"/>
      <c r="J29" s="67"/>
      <c r="K29" s="67"/>
      <c r="L29" s="67"/>
      <c r="M29" s="67"/>
      <c r="N29" s="67"/>
      <c r="O29" s="67"/>
      <c r="P29" s="67"/>
      <c r="Q29" s="162"/>
      <c r="R29" s="162"/>
      <c r="S29" s="162"/>
    </row>
    <row r="30" spans="1:27" x14ac:dyDescent="0.25">
      <c r="A30" s="163" t="s">
        <v>36</v>
      </c>
      <c r="B30" s="163"/>
      <c r="C30" s="163"/>
      <c r="D30" s="163"/>
      <c r="E30" s="164"/>
      <c r="F30" s="161"/>
      <c r="G30" s="165"/>
      <c r="H30" s="165"/>
      <c r="I30" s="165"/>
      <c r="J30" s="165"/>
      <c r="K30" s="165"/>
      <c r="L30" s="165"/>
      <c r="M30" s="165"/>
      <c r="N30" s="165"/>
      <c r="O30" s="165"/>
      <c r="P30" s="165" t="s">
        <v>37</v>
      </c>
    </row>
  </sheetData>
  <sheetProtection formatCells="0"/>
  <mergeCells count="1">
    <mergeCell ref="A3:D3"/>
  </mergeCells>
  <conditionalFormatting sqref="A11:Q20 A24:Q26">
    <cfRule type="expression" dxfId="2" priority="3">
      <formula>LEFT($A11,4)="GDTA"</formula>
    </cfRule>
  </conditionalFormatting>
  <conditionalFormatting sqref="D5:D8">
    <cfRule type="containsText" dxfId="1" priority="4" operator="containsText" text="Choose">
      <formula>NOT(ISERROR(SEARCH("Choose",D5)))</formula>
    </cfRule>
  </conditionalFormatting>
  <conditionalFormatting sqref="H11:O20">
    <cfRule type="expression" dxfId="0" priority="2">
      <formula>$E11=LEFT(H$10,4)</formula>
    </cfRule>
  </conditionalFormatting>
  <dataValidations count="2">
    <dataValidation type="list" allowBlank="1" showInputMessage="1" showErrorMessage="1" sqref="D7" xr:uid="{00000000-0002-0000-0800-000000000000}">
      <formula1>INDIRECT($P$8)</formula1>
    </dataValidation>
    <dataValidation type="list" allowBlank="1" showInputMessage="1" showErrorMessage="1" sqref="P14 P18" xr:uid="{00000000-0002-0000-0800-000001000000}"/>
  </dataValidations>
  <hyperlinks>
    <hyperlink ref="A29:P29" r:id="rId1" display="If you have any queries about your course, please contact Curtin Connect." xr:uid="{00000000-0004-0000-0800-000000000000}"/>
  </hyperlinks>
  <printOptions horizontalCentered="1"/>
  <pageMargins left="0.31496062992125984" right="0.31496062992125984" top="0.39370078740157483" bottom="0.39370078740157483" header="0.19685039370078741" footer="0.19685039370078741"/>
  <pageSetup paperSize="9" scale="88" orientation="landscape" r:id="rId2"/>
  <rowBreaks count="1" manualBreakCount="1">
    <brk id="20"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AA36"/>
  <sheetViews>
    <sheetView showGridLines="0" topLeftCell="A3" workbookViewId="0">
      <selection activeCell="D7" sqref="D7"/>
    </sheetView>
  </sheetViews>
  <sheetFormatPr defaultColWidth="9" defaultRowHeight="15" x14ac:dyDescent="0.25"/>
  <cols>
    <col min="1" max="1" width="8.5" style="9" customWidth="1"/>
    <col min="2" max="2" width="3.125" style="9" bestFit="1" customWidth="1"/>
    <col min="3" max="3" width="3.2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9" style="8" customWidth="1"/>
    <col min="19"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86" t="s">
        <v>8</v>
      </c>
      <c r="B3" s="286"/>
      <c r="C3" s="286"/>
      <c r="D3" s="286"/>
      <c r="E3" s="118"/>
      <c r="F3" s="118"/>
      <c r="G3" s="118"/>
      <c r="H3" s="118"/>
      <c r="I3" s="118"/>
      <c r="J3" s="118"/>
      <c r="K3" s="118"/>
      <c r="L3" s="118"/>
      <c r="M3" s="118"/>
      <c r="N3" s="118"/>
      <c r="O3" s="118"/>
      <c r="P3" s="118"/>
    </row>
    <row r="4" spans="1:27" ht="26.25" x14ac:dyDescent="0.25">
      <c r="A4" s="234"/>
      <c r="B4" s="235"/>
      <c r="C4" s="235"/>
      <c r="D4" s="236"/>
      <c r="E4" s="237" t="s">
        <v>9</v>
      </c>
      <c r="F4" s="235"/>
      <c r="G4" s="238"/>
      <c r="H4" s="238"/>
      <c r="I4" s="238"/>
      <c r="J4" s="238"/>
      <c r="K4" s="238"/>
      <c r="L4" s="238"/>
      <c r="M4" s="238"/>
      <c r="N4" s="238"/>
      <c r="O4" s="238"/>
      <c r="P4" s="238"/>
    </row>
    <row r="5" spans="1:27" ht="20.100000000000001" customHeight="1" x14ac:dyDescent="0.25">
      <c r="B5" s="119"/>
      <c r="C5" s="120" t="s">
        <v>10</v>
      </c>
      <c r="D5" s="121" t="s">
        <v>11</v>
      </c>
      <c r="E5" s="122"/>
      <c r="F5" s="120" t="s">
        <v>12</v>
      </c>
      <c r="G5" s="122" t="str">
        <f>IFERROR(CONCATENATE(VLOOKUP(D5,TableCourses[],2,FALSE)," ",VLOOKUP(D5,TableCourses[],3,FALSE)),"")</f>
        <v>MC-TEACH v.2</v>
      </c>
      <c r="H5" s="122"/>
      <c r="I5" s="122"/>
      <c r="J5" s="122"/>
      <c r="K5" s="123"/>
      <c r="L5" s="123"/>
      <c r="M5" s="123"/>
      <c r="N5" s="123"/>
      <c r="O5" s="123"/>
      <c r="P5" s="124"/>
    </row>
    <row r="6" spans="1:27" ht="20.100000000000001" customHeight="1" x14ac:dyDescent="0.25">
      <c r="B6" s="119"/>
      <c r="C6" s="120" t="s">
        <v>13</v>
      </c>
      <c r="D6" s="125" t="s">
        <v>38</v>
      </c>
      <c r="E6" s="122"/>
      <c r="F6" s="120" t="s">
        <v>15</v>
      </c>
      <c r="G6" s="122" t="str">
        <f>IFERROR(CONCATENATE(VLOOKUP(D6,TableMajors[],2,FALSE)," ",VLOOKUP(D6,TableMajors[],3,FALSE)),"")</f>
        <v>MJRP-TCHPR v.2</v>
      </c>
      <c r="H6" s="122"/>
      <c r="I6" s="122"/>
      <c r="J6" s="122"/>
      <c r="K6" s="123"/>
      <c r="L6" s="123"/>
      <c r="M6" s="123"/>
      <c r="N6" s="123"/>
      <c r="O6" s="123"/>
      <c r="P6" s="126" t="e">
        <f>CONCATENATE(VLOOKUP(D6,TableMajors[],2,FALSE),VLOOKUP(D7,TableStudyPeriods[],2,FALSE))</f>
        <v>#N/A</v>
      </c>
    </row>
    <row r="7" spans="1:27" ht="20.100000000000001" customHeight="1" x14ac:dyDescent="0.25">
      <c r="A7" s="127"/>
      <c r="B7" s="128"/>
      <c r="C7" s="120" t="s">
        <v>16</v>
      </c>
      <c r="D7" s="166" t="s">
        <v>41</v>
      </c>
      <c r="E7" s="130"/>
      <c r="F7" s="120" t="s">
        <v>18</v>
      </c>
      <c r="G7" s="122" t="str">
        <f>IFERROR(VLOOKUP($D$5,TableCourses[],7,FALSE),"")</f>
        <v>400 credit points required</v>
      </c>
      <c r="H7" s="131"/>
      <c r="I7" s="131"/>
      <c r="J7" s="131"/>
      <c r="K7" s="132"/>
      <c r="L7" s="132"/>
      <c r="M7" s="132"/>
      <c r="N7" s="132"/>
      <c r="O7" s="132"/>
      <c r="P7" s="132"/>
      <c r="AA7" s="10"/>
    </row>
    <row r="8" spans="1:27" s="12" customFormat="1" ht="14.1" customHeight="1" x14ac:dyDescent="0.25">
      <c r="A8" s="133"/>
      <c r="B8" s="133"/>
      <c r="C8" s="133"/>
      <c r="D8" s="134"/>
      <c r="E8" s="135"/>
      <c r="F8" s="133"/>
      <c r="G8" s="133"/>
      <c r="H8" s="136" t="s">
        <v>19</v>
      </c>
      <c r="I8" s="137"/>
      <c r="J8" s="137"/>
      <c r="K8" s="137"/>
      <c r="L8" s="137"/>
      <c r="M8" s="137"/>
      <c r="N8" s="137"/>
      <c r="O8" s="138"/>
      <c r="P8" s="135"/>
      <c r="Q8" s="139"/>
      <c r="R8" s="139"/>
      <c r="S8" s="139"/>
      <c r="AA8" s="11"/>
    </row>
    <row r="9" spans="1:27" s="12" customFormat="1" ht="31.5" x14ac:dyDescent="0.25">
      <c r="A9" s="133" t="s">
        <v>20</v>
      </c>
      <c r="B9" s="133"/>
      <c r="C9" s="133"/>
      <c r="D9" s="134" t="s">
        <v>3</v>
      </c>
      <c r="E9" s="140" t="s">
        <v>21</v>
      </c>
      <c r="F9" s="133" t="s">
        <v>22</v>
      </c>
      <c r="G9" s="133" t="s">
        <v>23</v>
      </c>
      <c r="H9" s="141" t="s">
        <v>24</v>
      </c>
      <c r="I9" s="142" t="s">
        <v>25</v>
      </c>
      <c r="J9" s="141" t="s">
        <v>26</v>
      </c>
      <c r="K9" s="142" t="s">
        <v>27</v>
      </c>
      <c r="L9" s="141" t="s">
        <v>28</v>
      </c>
      <c r="M9" s="142" t="s">
        <v>29</v>
      </c>
      <c r="N9" s="141" t="s">
        <v>30</v>
      </c>
      <c r="O9" s="142" t="s">
        <v>31</v>
      </c>
      <c r="P9" s="133" t="s">
        <v>32</v>
      </c>
      <c r="Q9" s="139"/>
      <c r="R9" s="139"/>
      <c r="S9" s="139"/>
      <c r="AA9" s="11"/>
    </row>
    <row r="10" spans="1:27" s="14" customFormat="1" ht="21" customHeight="1" x14ac:dyDescent="0.15">
      <c r="A10" s="143" t="str">
        <f>IFERROR(IF(HLOOKUP($P$6,RangeUnitsetsECEPR,Q10,FALSE)=0,"",HLOOKUP($P$6,RangeUnitsetsECEPR,Q10,FALSE)),"")</f>
        <v/>
      </c>
      <c r="B10" s="144" t="str">
        <f>IFERROR(IF(VLOOKUP($A10,TableHandbook[],2,FALSE)=0,"",VLOOKUP($A10,TableHandbook[],2,FALSE)),"")</f>
        <v/>
      </c>
      <c r="C10" s="144" t="str">
        <f>IFERROR(IF(VLOOKUP($A10,TableHandbook[],3,FALSE)=0,"",VLOOKUP($A10,TableHandbook[],3,FALSE)),"")</f>
        <v/>
      </c>
      <c r="D10" s="145" t="str">
        <f>IFERROR(IF(VLOOKUP($A10,TableHandbook[],4,FALSE)=0,"",VLOOKUP($A10,TableHandbook[],4,FALSE)),"")</f>
        <v/>
      </c>
      <c r="E10" s="144" t="str">
        <f>IF(A10="","",VLOOKUP($D$7,TableStudyPeriods[],2,FALSE))</f>
        <v/>
      </c>
      <c r="F10" s="146" t="str">
        <f>IFERROR(IF(VLOOKUP($A10,TableHandbook[],6,FALSE)=0,"",VLOOKUP($A10,TableHandbook[],6,FALSE)),"")</f>
        <v/>
      </c>
      <c r="G10" s="144" t="str">
        <f>IFERROR(IF(VLOOKUP($A10,TableHandbook[],5,FALSE)=0,"",VLOOKUP($A10,TableHandbook[],5,FALSE)),"")</f>
        <v/>
      </c>
      <c r="H10" s="147" t="str">
        <f>IFERROR(VLOOKUP($A10,TableHandbook[],H$2,FALSE),"")</f>
        <v/>
      </c>
      <c r="I10" s="148" t="str">
        <f>IFERROR(VLOOKUP($A10,TableHandbook[],I$2,FALSE),"")</f>
        <v/>
      </c>
      <c r="J10" s="147" t="str">
        <f>IFERROR(VLOOKUP($A10,TableHandbook[],J$2,FALSE),"")</f>
        <v/>
      </c>
      <c r="K10" s="148" t="str">
        <f>IFERROR(VLOOKUP($A10,TableHandbook[],K$2,FALSE),"")</f>
        <v/>
      </c>
      <c r="L10" s="147" t="str">
        <f>IFERROR(VLOOKUP($A10,TableHandbook[],L$2,FALSE),"")</f>
        <v/>
      </c>
      <c r="M10" s="148" t="str">
        <f>IFERROR(VLOOKUP($A10,TableHandbook[],M$2,FALSE),"")</f>
        <v/>
      </c>
      <c r="N10" s="147" t="str">
        <f>IFERROR(VLOOKUP($A10,TableHandbook[],N$2,FALSE),"")</f>
        <v/>
      </c>
      <c r="O10" s="148" t="str">
        <f>IFERROR(VLOOKUP($A10,TableHandbook[],O$2,FALSE),"")</f>
        <v/>
      </c>
      <c r="P10" s="23"/>
      <c r="Q10" s="149">
        <v>2</v>
      </c>
      <c r="R10" s="150"/>
      <c r="S10" s="150"/>
      <c r="AA10" s="13"/>
    </row>
    <row r="11" spans="1:27" s="14" customFormat="1" ht="21" customHeight="1" x14ac:dyDescent="0.15">
      <c r="A11" s="143" t="str">
        <f>IFERROR(IF(HLOOKUP($P$6,RangeUnitsetsECEPR,Q11,FALSE)=0,"",HLOOKUP($P$6,RangeUnitsetsECEPR,Q11,FALSE)),"")</f>
        <v/>
      </c>
      <c r="B11" s="144" t="str">
        <f>IFERROR(IF(VLOOKUP($A11,TableHandbook[],2,FALSE)=0,"",VLOOKUP($A11,TableHandbook[],2,FALSE)),"")</f>
        <v/>
      </c>
      <c r="C11" s="144" t="str">
        <f>IFERROR(IF(VLOOKUP($A11,TableHandbook[],3,FALSE)=0,"",VLOOKUP($A11,TableHandbook[],3,FALSE)),"")</f>
        <v/>
      </c>
      <c r="D11" s="145" t="str">
        <f>IFERROR(IF(VLOOKUP($A11,TableHandbook[],4,FALSE)=0,"",VLOOKUP($A11,TableHandbook[],4,FALSE)),"")</f>
        <v/>
      </c>
      <c r="E11" s="144" t="str">
        <f>IF(A11="","",E10)</f>
        <v/>
      </c>
      <c r="F11" s="146" t="str">
        <f>IFERROR(IF(VLOOKUP($A11,TableHandbook[],6,FALSE)=0,"",VLOOKUP($A11,TableHandbook[],6,FALSE)),"")</f>
        <v/>
      </c>
      <c r="G11" s="144" t="str">
        <f>IFERROR(IF(VLOOKUP($A11,TableHandbook[],5,FALSE)=0,"",VLOOKUP($A11,TableHandbook[],5,FALSE)),"")</f>
        <v/>
      </c>
      <c r="H11" s="147" t="str">
        <f>IFERROR(VLOOKUP($A11,TableHandbook[],H$2,FALSE),"")</f>
        <v/>
      </c>
      <c r="I11" s="148" t="str">
        <f>IFERROR(VLOOKUP($A11,TableHandbook[],I$2,FALSE),"")</f>
        <v/>
      </c>
      <c r="J11" s="147" t="str">
        <f>IFERROR(VLOOKUP($A11,TableHandbook[],J$2,FALSE),"")</f>
        <v/>
      </c>
      <c r="K11" s="148" t="str">
        <f>IFERROR(VLOOKUP($A11,TableHandbook[],K$2,FALSE),"")</f>
        <v/>
      </c>
      <c r="L11" s="147" t="str">
        <f>IFERROR(VLOOKUP($A11,TableHandbook[],L$2,FALSE),"")</f>
        <v/>
      </c>
      <c r="M11" s="148" t="str">
        <f>IFERROR(VLOOKUP($A11,TableHandbook[],M$2,FALSE),"")</f>
        <v/>
      </c>
      <c r="N11" s="147" t="str">
        <f>IFERROR(VLOOKUP($A11,TableHandbook[],N$2,FALSE),"")</f>
        <v/>
      </c>
      <c r="O11" s="148" t="str">
        <f>IFERROR(VLOOKUP($A11,TableHandbook[],O$2,FALSE),"")</f>
        <v/>
      </c>
      <c r="P11" s="23"/>
      <c r="Q11" s="149">
        <v>3</v>
      </c>
      <c r="R11" s="150"/>
      <c r="S11" s="150"/>
      <c r="AA11" s="13"/>
    </row>
    <row r="12" spans="1:27" s="14" customFormat="1" ht="6" customHeight="1" x14ac:dyDescent="0.15">
      <c r="A12" s="171"/>
      <c r="B12" s="172"/>
      <c r="C12" s="172"/>
      <c r="D12" s="173"/>
      <c r="E12" s="172"/>
      <c r="F12" s="174"/>
      <c r="G12" s="172"/>
      <c r="H12" s="175"/>
      <c r="I12" s="176"/>
      <c r="J12" s="175"/>
      <c r="K12" s="176"/>
      <c r="L12" s="175"/>
      <c r="M12" s="176"/>
      <c r="N12" s="175"/>
      <c r="O12" s="176"/>
      <c r="P12" s="106"/>
      <c r="Q12" s="149"/>
      <c r="R12" s="150"/>
      <c r="S12" s="150"/>
      <c r="T12" s="150"/>
      <c r="AA12" s="13"/>
    </row>
    <row r="13" spans="1:27" s="14" customFormat="1" ht="21" customHeight="1" x14ac:dyDescent="0.15">
      <c r="A13" s="143" t="str">
        <f>IFERROR(IF(HLOOKUP($P$6,RangeUnitsetsECEPR,Q13,FALSE)=0,"",HLOOKUP($P$6,RangeUnitsetsECEPR,Q13,FALSE)),"")</f>
        <v/>
      </c>
      <c r="B13" s="144" t="str">
        <f>IFERROR(IF(VLOOKUP($A13,TableHandbook[],2,FALSE)=0,"",VLOOKUP($A13,TableHandbook[],2,FALSE)),"")</f>
        <v/>
      </c>
      <c r="C13" s="144" t="str">
        <f>IFERROR(IF(VLOOKUP($A13,TableHandbook[],3,FALSE)=0,"",VLOOKUP($A13,TableHandbook[],3,FALSE)),"")</f>
        <v/>
      </c>
      <c r="D13" s="145" t="str">
        <f>IFERROR(IF(VLOOKUP($A13,TableHandbook[],4,FALSE)=0,"",VLOOKUP($A13,TableHandbook[],4,FALSE)),"")</f>
        <v/>
      </c>
      <c r="E13" s="144" t="str">
        <f>IF(A13="","",VLOOKUP($D$7,TableStudyPeriods[],3,FALSE))</f>
        <v/>
      </c>
      <c r="F13" s="146" t="str">
        <f>IFERROR(IF(VLOOKUP($A13,TableHandbook[],6,FALSE)=0,"",VLOOKUP($A13,TableHandbook[],6,FALSE)),"")</f>
        <v/>
      </c>
      <c r="G13" s="144" t="str">
        <f>IFERROR(IF(VLOOKUP($A13,TableHandbook[],5,FALSE)=0,"",VLOOKUP($A13,TableHandbook[],5,FALSE)),"")</f>
        <v/>
      </c>
      <c r="H13" s="147" t="str">
        <f>IFERROR(VLOOKUP($A13,TableHandbook[],H$2,FALSE),"")</f>
        <v/>
      </c>
      <c r="I13" s="148" t="str">
        <f>IFERROR(VLOOKUP($A13,TableHandbook[],I$2,FALSE),"")</f>
        <v/>
      </c>
      <c r="J13" s="147" t="str">
        <f>IFERROR(VLOOKUP($A13,TableHandbook[],J$2,FALSE),"")</f>
        <v/>
      </c>
      <c r="K13" s="148" t="str">
        <f>IFERROR(VLOOKUP($A13,TableHandbook[],K$2,FALSE),"")</f>
        <v/>
      </c>
      <c r="L13" s="147" t="str">
        <f>IFERROR(VLOOKUP($A13,TableHandbook[],L$2,FALSE),"")</f>
        <v/>
      </c>
      <c r="M13" s="148" t="str">
        <f>IFERROR(VLOOKUP($A13,TableHandbook[],M$2,FALSE),"")</f>
        <v/>
      </c>
      <c r="N13" s="147" t="str">
        <f>IFERROR(VLOOKUP($A13,TableHandbook[],N$2,FALSE),"")</f>
        <v/>
      </c>
      <c r="O13" s="148" t="str">
        <f>IFERROR(VLOOKUP($A13,TableHandbook[],O$2,FALSE),"")</f>
        <v/>
      </c>
      <c r="P13" s="24"/>
      <c r="Q13" s="149">
        <v>4</v>
      </c>
      <c r="R13" s="150"/>
      <c r="S13" s="150"/>
      <c r="AA13" s="13"/>
    </row>
    <row r="14" spans="1:27" s="14" customFormat="1" ht="21" customHeight="1" x14ac:dyDescent="0.15">
      <c r="A14" s="143" t="str">
        <f>IFERROR(IF(HLOOKUP($P$6,RangeUnitsetsECEPR,Q14,FALSE)=0,"",HLOOKUP($P$6,RangeUnitsetsECEPR,Q14,FALSE)),"")</f>
        <v/>
      </c>
      <c r="B14" s="144" t="str">
        <f>IFERROR(IF(VLOOKUP($A14,TableHandbook[],2,FALSE)=0,"",VLOOKUP($A14,TableHandbook[],2,FALSE)),"")</f>
        <v/>
      </c>
      <c r="C14" s="144" t="str">
        <f>IFERROR(IF(VLOOKUP($A14,TableHandbook[],3,FALSE)=0,"",VLOOKUP($A14,TableHandbook[],3,FALSE)),"")</f>
        <v/>
      </c>
      <c r="D14" s="145" t="str">
        <f>IFERROR(IF(VLOOKUP($A14,TableHandbook[],4,FALSE)=0,"",VLOOKUP($A14,TableHandbook[],4,FALSE)),"")</f>
        <v/>
      </c>
      <c r="E14" s="144" t="str">
        <f>IF(A14="","",E13)</f>
        <v/>
      </c>
      <c r="F14" s="146" t="str">
        <f>IFERROR(IF(VLOOKUP($A14,TableHandbook[],6,FALSE)=0,"",VLOOKUP($A14,TableHandbook[],6,FALSE)),"")</f>
        <v/>
      </c>
      <c r="G14" s="144" t="str">
        <f>IFERROR(IF(VLOOKUP($A14,TableHandbook[],5,FALSE)=0,"",VLOOKUP($A14,TableHandbook[],5,FALSE)),"")</f>
        <v/>
      </c>
      <c r="H14" s="147" t="str">
        <f>IFERROR(VLOOKUP($A14,TableHandbook[],H$2,FALSE),"")</f>
        <v/>
      </c>
      <c r="I14" s="148" t="str">
        <f>IFERROR(VLOOKUP($A14,TableHandbook[],I$2,FALSE),"")</f>
        <v/>
      </c>
      <c r="J14" s="147" t="str">
        <f>IFERROR(VLOOKUP($A14,TableHandbook[],J$2,FALSE),"")</f>
        <v/>
      </c>
      <c r="K14" s="148" t="str">
        <f>IFERROR(VLOOKUP($A14,TableHandbook[],K$2,FALSE),"")</f>
        <v/>
      </c>
      <c r="L14" s="147" t="str">
        <f>IFERROR(VLOOKUP($A14,TableHandbook[],L$2,FALSE),"")</f>
        <v/>
      </c>
      <c r="M14" s="148" t="str">
        <f>IFERROR(VLOOKUP($A14,TableHandbook[],M$2,FALSE),"")</f>
        <v/>
      </c>
      <c r="N14" s="147" t="str">
        <f>IFERROR(VLOOKUP($A14,TableHandbook[],N$2,FALSE),"")</f>
        <v/>
      </c>
      <c r="O14" s="148" t="str">
        <f>IFERROR(VLOOKUP($A14,TableHandbook[],O$2,FALSE),"")</f>
        <v/>
      </c>
      <c r="P14" s="23"/>
      <c r="Q14" s="149">
        <v>5</v>
      </c>
      <c r="R14" s="150"/>
      <c r="S14" s="150"/>
      <c r="AA14" s="13"/>
    </row>
    <row r="15" spans="1:27" s="14" customFormat="1" ht="6" customHeight="1" x14ac:dyDescent="0.15">
      <c r="A15" s="171"/>
      <c r="B15" s="172"/>
      <c r="C15" s="172"/>
      <c r="D15" s="173"/>
      <c r="E15" s="172"/>
      <c r="F15" s="174"/>
      <c r="G15" s="172"/>
      <c r="H15" s="175"/>
      <c r="I15" s="176"/>
      <c r="J15" s="175"/>
      <c r="K15" s="176"/>
      <c r="L15" s="175"/>
      <c r="M15" s="176"/>
      <c r="N15" s="175"/>
      <c r="O15" s="176"/>
      <c r="P15" s="106"/>
      <c r="Q15" s="149"/>
      <c r="R15" s="150"/>
      <c r="S15" s="150"/>
      <c r="T15" s="150"/>
      <c r="AA15" s="13"/>
    </row>
    <row r="16" spans="1:27" s="14" customFormat="1" ht="21" customHeight="1" x14ac:dyDescent="0.15">
      <c r="A16" s="143" t="str">
        <f>IFERROR(IF(HLOOKUP($P$6,RangeUnitsetsECEPR,Q16,FALSE)=0,"",HLOOKUP($P$6,RangeUnitsetsECEPR,Q16,FALSE)),"")</f>
        <v/>
      </c>
      <c r="B16" s="151" t="str">
        <f>IFERROR(IF(VLOOKUP($A16,TableHandbook[],2,FALSE)=0,"",VLOOKUP($A16,TableHandbook[],2,FALSE)),"")</f>
        <v/>
      </c>
      <c r="C16" s="151" t="str">
        <f>IFERROR(IF(VLOOKUP($A16,TableHandbook[],3,FALSE)=0,"",VLOOKUP($A16,TableHandbook[],3,FALSE)),"")</f>
        <v/>
      </c>
      <c r="D16" s="145" t="str">
        <f>IFERROR(IF(VLOOKUP($A16,TableHandbook[],4,FALSE)=0,"",VLOOKUP($A16,TableHandbook[],4,FALSE)),"")</f>
        <v/>
      </c>
      <c r="E16" s="144" t="str">
        <f>IF(A16="","",VLOOKUP($D$7,TableStudyPeriods[],4,FALSE))</f>
        <v/>
      </c>
      <c r="F16" s="146" t="str">
        <f>IFERROR(IF(VLOOKUP($A16,TableHandbook[],6,FALSE)=0,"",VLOOKUP($A16,TableHandbook[],6,FALSE)),"")</f>
        <v/>
      </c>
      <c r="G16" s="151" t="str">
        <f>IFERROR(IF(VLOOKUP($A16,TableHandbook[],5,FALSE)=0,"",VLOOKUP($A16,TableHandbook[],5,FALSE)),"")</f>
        <v/>
      </c>
      <c r="H16" s="152" t="str">
        <f>IFERROR(VLOOKUP($A16,TableHandbook[],H$2,FALSE),"")</f>
        <v/>
      </c>
      <c r="I16" s="153" t="str">
        <f>IFERROR(VLOOKUP($A16,TableHandbook[],I$2,FALSE),"")</f>
        <v/>
      </c>
      <c r="J16" s="152" t="str">
        <f>IFERROR(VLOOKUP($A16,TableHandbook[],J$2,FALSE),"")</f>
        <v/>
      </c>
      <c r="K16" s="153" t="str">
        <f>IFERROR(VLOOKUP($A16,TableHandbook[],K$2,FALSE),"")</f>
        <v/>
      </c>
      <c r="L16" s="152" t="str">
        <f>IFERROR(VLOOKUP($A16,TableHandbook[],L$2,FALSE),"")</f>
        <v/>
      </c>
      <c r="M16" s="153" t="str">
        <f>IFERROR(VLOOKUP($A16,TableHandbook[],M$2,FALSE),"")</f>
        <v/>
      </c>
      <c r="N16" s="152" t="str">
        <f>IFERROR(VLOOKUP($A16,TableHandbook[],N$2,FALSE),"")</f>
        <v/>
      </c>
      <c r="O16" s="153" t="str">
        <f>IFERROR(VLOOKUP($A16,TableHandbook[],O$2,FALSE),"")</f>
        <v/>
      </c>
      <c r="P16" s="24"/>
      <c r="Q16" s="149">
        <v>6</v>
      </c>
      <c r="R16" s="150"/>
      <c r="S16" s="150"/>
      <c r="AA16" s="13"/>
    </row>
    <row r="17" spans="1:27" s="16" customFormat="1" ht="21" customHeight="1" x14ac:dyDescent="0.15">
      <c r="A17" s="143" t="str">
        <f>IFERROR(IF(HLOOKUP($P$6,RangeUnitsetsECEPR,Q17,FALSE)=0,"",HLOOKUP($P$6,RangeUnitsetsECEPR,Q17,FALSE)),"")</f>
        <v/>
      </c>
      <c r="B17" s="151" t="str">
        <f>IFERROR(IF(VLOOKUP($A17,TableHandbook[],2,FALSE)=0,"",VLOOKUP($A17,TableHandbook[],2,FALSE)),"")</f>
        <v/>
      </c>
      <c r="C17" s="151" t="str">
        <f>IFERROR(IF(VLOOKUP($A17,TableHandbook[],3,FALSE)=0,"",VLOOKUP($A17,TableHandbook[],3,FALSE)),"")</f>
        <v/>
      </c>
      <c r="D17" s="145" t="str">
        <f>IFERROR(IF(VLOOKUP($A17,TableHandbook[],4,FALSE)=0,"",VLOOKUP($A17,TableHandbook[],4,FALSE)),"")</f>
        <v/>
      </c>
      <c r="E17" s="144" t="str">
        <f>IF(A17="","",E16)</f>
        <v/>
      </c>
      <c r="F17" s="146" t="str">
        <f>IFERROR(IF(VLOOKUP($A17,TableHandbook[],6,FALSE)=0,"",VLOOKUP($A17,TableHandbook[],6,FALSE)),"")</f>
        <v/>
      </c>
      <c r="G17" s="151" t="str">
        <f>IFERROR(IF(VLOOKUP($A17,TableHandbook[],5,FALSE)=0,"",VLOOKUP($A17,TableHandbook[],5,FALSE)),"")</f>
        <v/>
      </c>
      <c r="H17" s="152" t="str">
        <f>IFERROR(VLOOKUP($A17,TableHandbook[],H$2,FALSE),"")</f>
        <v/>
      </c>
      <c r="I17" s="153" t="str">
        <f>IFERROR(VLOOKUP($A17,TableHandbook[],I$2,FALSE),"")</f>
        <v/>
      </c>
      <c r="J17" s="152" t="str">
        <f>IFERROR(VLOOKUP($A17,TableHandbook[],J$2,FALSE),"")</f>
        <v/>
      </c>
      <c r="K17" s="153" t="str">
        <f>IFERROR(VLOOKUP($A17,TableHandbook[],K$2,FALSE),"")</f>
        <v/>
      </c>
      <c r="L17" s="152" t="str">
        <f>IFERROR(VLOOKUP($A17,TableHandbook[],L$2,FALSE),"")</f>
        <v/>
      </c>
      <c r="M17" s="153" t="str">
        <f>IFERROR(VLOOKUP($A17,TableHandbook[],M$2,FALSE),"")</f>
        <v/>
      </c>
      <c r="N17" s="152" t="str">
        <f>IFERROR(VLOOKUP($A17,TableHandbook[],N$2,FALSE),"")</f>
        <v/>
      </c>
      <c r="O17" s="153" t="str">
        <f>IFERROR(VLOOKUP($A17,TableHandbook[],O$2,FALSE),"")</f>
        <v/>
      </c>
      <c r="P17" s="24"/>
      <c r="Q17" s="149">
        <v>7</v>
      </c>
      <c r="R17" s="154"/>
      <c r="S17" s="154"/>
      <c r="AA17" s="15"/>
    </row>
    <row r="18" spans="1:27" s="14" customFormat="1" ht="6" customHeight="1" x14ac:dyDescent="0.15">
      <c r="A18" s="171"/>
      <c r="B18" s="172"/>
      <c r="C18" s="172"/>
      <c r="D18" s="173"/>
      <c r="E18" s="172"/>
      <c r="F18" s="174"/>
      <c r="G18" s="172"/>
      <c r="H18" s="175"/>
      <c r="I18" s="176"/>
      <c r="J18" s="175"/>
      <c r="K18" s="176"/>
      <c r="L18" s="175"/>
      <c r="M18" s="176"/>
      <c r="N18" s="175"/>
      <c r="O18" s="176"/>
      <c r="P18" s="106"/>
      <c r="Q18" s="149"/>
      <c r="R18" s="150"/>
      <c r="S18" s="150"/>
      <c r="T18" s="150"/>
      <c r="AA18" s="13"/>
    </row>
    <row r="19" spans="1:27" s="16" customFormat="1" ht="21" customHeight="1" x14ac:dyDescent="0.15">
      <c r="A19" s="143" t="str">
        <f>IFERROR(IF(HLOOKUP($P$6,RangeUnitsetsECEPR,Q19,FALSE)=0,"",HLOOKUP($P$6,RangeUnitsetsECEPR,Q19,FALSE)),"")</f>
        <v/>
      </c>
      <c r="B19" s="151" t="str">
        <f>IFERROR(IF(VLOOKUP($A19,TableHandbook[],2,FALSE)=0,"",VLOOKUP($A19,TableHandbook[],2,FALSE)),"")</f>
        <v/>
      </c>
      <c r="C19" s="151" t="str">
        <f>IFERROR(IF(VLOOKUP($A19,TableHandbook[],3,FALSE)=0,"",VLOOKUP($A19,TableHandbook[],3,FALSE)),"")</f>
        <v/>
      </c>
      <c r="D19" s="145" t="str">
        <f>IFERROR(IF(VLOOKUP($A19,TableHandbook[],4,FALSE)=0,"",VLOOKUP($A19,TableHandbook[],4,FALSE)),"")</f>
        <v/>
      </c>
      <c r="E19" s="144" t="str">
        <f>IF(A19="","",VLOOKUP($D$7,TableStudyPeriods[],5,FALSE))</f>
        <v/>
      </c>
      <c r="F19" s="146" t="str">
        <f>IFERROR(IF(VLOOKUP($A19,TableHandbook[],6,FALSE)=0,"",VLOOKUP($A19,TableHandbook[],6,FALSE)),"")</f>
        <v/>
      </c>
      <c r="G19" s="151" t="str">
        <f>IFERROR(IF(VLOOKUP($A19,TableHandbook[],5,FALSE)=0,"",VLOOKUP($A19,TableHandbook[],5,FALSE)),"")</f>
        <v/>
      </c>
      <c r="H19" s="152" t="str">
        <f>IFERROR(VLOOKUP($A19,TableHandbook[],H$2,FALSE),"")</f>
        <v/>
      </c>
      <c r="I19" s="153" t="str">
        <f>IFERROR(VLOOKUP($A19,TableHandbook[],I$2,FALSE),"")</f>
        <v/>
      </c>
      <c r="J19" s="152" t="str">
        <f>IFERROR(VLOOKUP($A19,TableHandbook[],J$2,FALSE),"")</f>
        <v/>
      </c>
      <c r="K19" s="153" t="str">
        <f>IFERROR(VLOOKUP($A19,TableHandbook[],K$2,FALSE),"")</f>
        <v/>
      </c>
      <c r="L19" s="152" t="str">
        <f>IFERROR(VLOOKUP($A19,TableHandbook[],L$2,FALSE),"")</f>
        <v/>
      </c>
      <c r="M19" s="153" t="str">
        <f>IFERROR(VLOOKUP($A19,TableHandbook[],M$2,FALSE),"")</f>
        <v/>
      </c>
      <c r="N19" s="152" t="str">
        <f>IFERROR(VLOOKUP($A19,TableHandbook[],N$2,FALSE),"")</f>
        <v/>
      </c>
      <c r="O19" s="153" t="str">
        <f>IFERROR(VLOOKUP($A19,TableHandbook[],O$2,FALSE),"")</f>
        <v/>
      </c>
      <c r="P19" s="24"/>
      <c r="Q19" s="149">
        <v>8</v>
      </c>
      <c r="R19" s="154"/>
      <c r="S19" s="154"/>
      <c r="AA19" s="15"/>
    </row>
    <row r="20" spans="1:27" s="16" customFormat="1" ht="21" customHeight="1" x14ac:dyDescent="0.15">
      <c r="A20" s="143" t="str">
        <f>IFERROR(IF(HLOOKUP($P$6,RangeUnitsetsECEPR,Q20,FALSE)=0,"",HLOOKUP($P$6,RangeUnitsetsECEPR,Q20,FALSE)),"")</f>
        <v/>
      </c>
      <c r="B20" s="151" t="str">
        <f>IFERROR(IF(VLOOKUP($A20,TableHandbook[],2,FALSE)=0,"",VLOOKUP($A20,TableHandbook[],2,FALSE)),"")</f>
        <v/>
      </c>
      <c r="C20" s="151" t="str">
        <f>IFERROR(IF(VLOOKUP($A20,TableHandbook[],3,FALSE)=0,"",VLOOKUP($A20,TableHandbook[],3,FALSE)),"")</f>
        <v/>
      </c>
      <c r="D20" s="155" t="str">
        <f>IFERROR(IF(VLOOKUP($A20,TableHandbook[],4,FALSE)=0,"",VLOOKUP($A20,TableHandbook[],4,FALSE)),"")</f>
        <v/>
      </c>
      <c r="E20" s="151" t="str">
        <f>IF(A20="","",E19)</f>
        <v/>
      </c>
      <c r="F20" s="146" t="str">
        <f>IFERROR(IF(VLOOKUP($A20,TableHandbook[],6,FALSE)=0,"",VLOOKUP($A20,TableHandbook[],6,FALSE)),"")</f>
        <v/>
      </c>
      <c r="G20" s="151" t="str">
        <f>IFERROR(IF(VLOOKUP($A20,TableHandbook[],5,FALSE)=0,"",VLOOKUP($A20,TableHandbook[],5,FALSE)),"")</f>
        <v/>
      </c>
      <c r="H20" s="152" t="str">
        <f>IFERROR(VLOOKUP($A20,TableHandbook[],H$2,FALSE),"")</f>
        <v/>
      </c>
      <c r="I20" s="153" t="str">
        <f>IFERROR(VLOOKUP($A20,TableHandbook[],I$2,FALSE),"")</f>
        <v/>
      </c>
      <c r="J20" s="152" t="str">
        <f>IFERROR(VLOOKUP($A20,TableHandbook[],J$2,FALSE),"")</f>
        <v/>
      </c>
      <c r="K20" s="153" t="str">
        <f>IFERROR(VLOOKUP($A20,TableHandbook[],K$2,FALSE),"")</f>
        <v/>
      </c>
      <c r="L20" s="152" t="str">
        <f>IFERROR(VLOOKUP($A20,TableHandbook[],L$2,FALSE),"")</f>
        <v/>
      </c>
      <c r="M20" s="153" t="str">
        <f>IFERROR(VLOOKUP($A20,TableHandbook[],M$2,FALSE),"")</f>
        <v/>
      </c>
      <c r="N20" s="152" t="str">
        <f>IFERROR(VLOOKUP($A20,TableHandbook[],N$2,FALSE),"")</f>
        <v/>
      </c>
      <c r="O20" s="153" t="str">
        <f>IFERROR(VLOOKUP($A20,TableHandbook[],O$2,FALSE),"")</f>
        <v/>
      </c>
      <c r="P20" s="24"/>
      <c r="Q20" s="149">
        <v>9</v>
      </c>
      <c r="R20" s="154"/>
      <c r="S20" s="154"/>
      <c r="AA20" s="15"/>
    </row>
    <row r="21" spans="1:27" s="12" customFormat="1" ht="31.5" x14ac:dyDescent="0.25">
      <c r="A21" s="133" t="s">
        <v>33</v>
      </c>
      <c r="B21" s="133"/>
      <c r="C21" s="133"/>
      <c r="D21" s="156" t="s">
        <v>3</v>
      </c>
      <c r="E21" s="140" t="s">
        <v>21</v>
      </c>
      <c r="F21" s="133" t="s">
        <v>22</v>
      </c>
      <c r="G21" s="133" t="s">
        <v>23</v>
      </c>
      <c r="H21" s="141" t="str">
        <f>H9</f>
        <v>SSP1 BEN</v>
      </c>
      <c r="I21" s="142" t="str">
        <f t="shared" ref="I21:P21" si="0">I9</f>
        <v>SSP1 FO</v>
      </c>
      <c r="J21" s="141" t="str">
        <f t="shared" si="0"/>
        <v>SSP2 BEN</v>
      </c>
      <c r="K21" s="142" t="str">
        <f t="shared" si="0"/>
        <v>SSP2 FO</v>
      </c>
      <c r="L21" s="141" t="str">
        <f t="shared" si="0"/>
        <v>SSP3 BEN</v>
      </c>
      <c r="M21" s="142" t="str">
        <f t="shared" si="0"/>
        <v>SSP3 FO</v>
      </c>
      <c r="N21" s="141" t="str">
        <f t="shared" si="0"/>
        <v>SSP4 BEN</v>
      </c>
      <c r="O21" s="142" t="str">
        <f t="shared" si="0"/>
        <v>SSP4 FO</v>
      </c>
      <c r="P21" s="133" t="str">
        <f t="shared" si="0"/>
        <v>Notes / Progress</v>
      </c>
      <c r="Q21" s="157"/>
      <c r="R21" s="139"/>
      <c r="S21" s="139"/>
      <c r="AA21" s="11"/>
    </row>
    <row r="22" spans="1:27" s="14" customFormat="1" ht="21" customHeight="1" x14ac:dyDescent="0.15">
      <c r="A22" s="143" t="str">
        <f>IFERROR(IF(HLOOKUP($P$6,RangeUnitsetsECEPR,Q22,FALSE)=0,"",HLOOKUP($P$6,RangeUnitsetsECEPR,Q22,FALSE)),"")</f>
        <v/>
      </c>
      <c r="B22" s="151" t="str">
        <f>IFERROR(IF(VLOOKUP($A22,TableHandbook[],2,FALSE)=0,"",VLOOKUP($A22,TableHandbook[],2,FALSE)),"")</f>
        <v/>
      </c>
      <c r="C22" s="151" t="str">
        <f>IFERROR(IF(VLOOKUP($A22,TableHandbook[],3,FALSE)=0,"",VLOOKUP($A22,TableHandbook[],3,FALSE)),"")</f>
        <v/>
      </c>
      <c r="D22" s="158" t="str">
        <f>IFERROR(IF(VLOOKUP($A22,TableHandbook[],4,FALSE)=0,"",VLOOKUP($A22,TableHandbook[],4,FALSE)),"")</f>
        <v/>
      </c>
      <c r="E22" s="151" t="str">
        <f>IF(A22="","",VLOOKUP($D$7,TableStudyPeriods[],2,FALSE))</f>
        <v/>
      </c>
      <c r="F22" s="146" t="str">
        <f>IFERROR(IF(VLOOKUP($A22,TableHandbook[],6,FALSE)=0,"",VLOOKUP($A22,TableHandbook[],6,FALSE)),"")</f>
        <v/>
      </c>
      <c r="G22" s="144" t="str">
        <f>IFERROR(IF(VLOOKUP($A22,TableHandbook[],5,FALSE)=0,"",VLOOKUP($A22,TableHandbook[],5,FALSE)),"")</f>
        <v/>
      </c>
      <c r="H22" s="147" t="str">
        <f>IFERROR(VLOOKUP($A22,TableHandbook[],H$2,FALSE),"")</f>
        <v/>
      </c>
      <c r="I22" s="148" t="str">
        <f>IFERROR(VLOOKUP($A22,TableHandbook[],I$2,FALSE),"")</f>
        <v/>
      </c>
      <c r="J22" s="147" t="str">
        <f>IFERROR(VLOOKUP($A22,TableHandbook[],J$2,FALSE),"")</f>
        <v/>
      </c>
      <c r="K22" s="148" t="str">
        <f>IFERROR(VLOOKUP($A22,TableHandbook[],K$2,FALSE),"")</f>
        <v/>
      </c>
      <c r="L22" s="147" t="str">
        <f>IFERROR(VLOOKUP($A22,TableHandbook[],L$2,FALSE),"")</f>
        <v/>
      </c>
      <c r="M22" s="148" t="str">
        <f>IFERROR(VLOOKUP($A22,TableHandbook[],M$2,FALSE),"")</f>
        <v/>
      </c>
      <c r="N22" s="147" t="str">
        <f>IFERROR(VLOOKUP($A22,TableHandbook[],N$2,FALSE),"")</f>
        <v/>
      </c>
      <c r="O22" s="148" t="str">
        <f>IFERROR(VLOOKUP($A22,TableHandbook[],O$2,FALSE),"")</f>
        <v/>
      </c>
      <c r="P22" s="22"/>
      <c r="Q22" s="149">
        <v>10</v>
      </c>
      <c r="R22" s="150"/>
      <c r="S22" s="150"/>
      <c r="AA22" s="13"/>
    </row>
    <row r="23" spans="1:27" s="14" customFormat="1" ht="21" customHeight="1" x14ac:dyDescent="0.15">
      <c r="A23" s="143" t="str">
        <f>IFERROR(IF(HLOOKUP($P$6,RangeUnitsetsECEPR,Q23,FALSE)=0,"",HLOOKUP($P$6,RangeUnitsetsECEPR,Q23,FALSE)),"")</f>
        <v/>
      </c>
      <c r="B23" s="151" t="str">
        <f>IFERROR(IF(VLOOKUP($A23,TableHandbook[],2,FALSE)=0,"",VLOOKUP($A23,TableHandbook[],2,FALSE)),"")</f>
        <v/>
      </c>
      <c r="C23" s="151" t="str">
        <f>IFERROR(IF(VLOOKUP($A23,TableHandbook[],3,FALSE)=0,"",VLOOKUP($A23,TableHandbook[],3,FALSE)),"")</f>
        <v/>
      </c>
      <c r="D23" s="155" t="str">
        <f>IFERROR(IF(VLOOKUP($A23,TableHandbook[],4,FALSE)=0,"",VLOOKUP($A23,TableHandbook[],4,FALSE)),"")</f>
        <v/>
      </c>
      <c r="E23" s="151" t="str">
        <f>IF(A23="","",E22)</f>
        <v/>
      </c>
      <c r="F23" s="146" t="str">
        <f>IFERROR(IF(VLOOKUP($A23,TableHandbook[],6,FALSE)=0,"",VLOOKUP($A23,TableHandbook[],6,FALSE)),"")</f>
        <v/>
      </c>
      <c r="G23" s="144" t="str">
        <f>IFERROR(IF(VLOOKUP($A23,TableHandbook[],5,FALSE)=0,"",VLOOKUP($A23,TableHandbook[],5,FALSE)),"")</f>
        <v/>
      </c>
      <c r="H23" s="147" t="str">
        <f>IFERROR(VLOOKUP($A23,TableHandbook[],H$2,FALSE),"")</f>
        <v/>
      </c>
      <c r="I23" s="148" t="str">
        <f>IFERROR(VLOOKUP($A23,TableHandbook[],I$2,FALSE),"")</f>
        <v/>
      </c>
      <c r="J23" s="147" t="str">
        <f>IFERROR(VLOOKUP($A23,TableHandbook[],J$2,FALSE),"")</f>
        <v/>
      </c>
      <c r="K23" s="148" t="str">
        <f>IFERROR(VLOOKUP($A23,TableHandbook[],K$2,FALSE),"")</f>
        <v/>
      </c>
      <c r="L23" s="147" t="str">
        <f>IFERROR(VLOOKUP($A23,TableHandbook[],L$2,FALSE),"")</f>
        <v/>
      </c>
      <c r="M23" s="148" t="str">
        <f>IFERROR(VLOOKUP($A23,TableHandbook[],M$2,FALSE),"")</f>
        <v/>
      </c>
      <c r="N23" s="147" t="str">
        <f>IFERROR(VLOOKUP($A23,TableHandbook[],N$2,FALSE),"")</f>
        <v/>
      </c>
      <c r="O23" s="148" t="str">
        <f>IFERROR(VLOOKUP($A23,TableHandbook[],O$2,FALSE),"")</f>
        <v/>
      </c>
      <c r="P23" s="22"/>
      <c r="Q23" s="149">
        <v>11</v>
      </c>
      <c r="R23" s="150"/>
      <c r="S23" s="150"/>
      <c r="AA23" s="13"/>
    </row>
    <row r="24" spans="1:27" s="14" customFormat="1" ht="6" customHeight="1" x14ac:dyDescent="0.15">
      <c r="A24" s="171"/>
      <c r="B24" s="172"/>
      <c r="C24" s="172"/>
      <c r="D24" s="173"/>
      <c r="E24" s="172"/>
      <c r="F24" s="174"/>
      <c r="G24" s="172"/>
      <c r="H24" s="175"/>
      <c r="I24" s="176"/>
      <c r="J24" s="175"/>
      <c r="K24" s="176"/>
      <c r="L24" s="175"/>
      <c r="M24" s="176"/>
      <c r="N24" s="175"/>
      <c r="O24" s="176"/>
      <c r="P24" s="106"/>
      <c r="Q24" s="149"/>
      <c r="R24" s="150"/>
      <c r="S24" s="150"/>
      <c r="T24" s="150"/>
      <c r="AA24" s="13"/>
    </row>
    <row r="25" spans="1:27" s="14" customFormat="1" ht="21" customHeight="1" x14ac:dyDescent="0.15">
      <c r="A25" s="143" t="str">
        <f>IFERROR(IF(HLOOKUP($P$6,RangeUnitsetsECEPR,Q25,FALSE)=0,"",HLOOKUP($P$6,RangeUnitsetsECEPR,Q25,FALSE)),"")</f>
        <v/>
      </c>
      <c r="B25" s="151" t="str">
        <f>IFERROR(IF(VLOOKUP($A25,TableHandbook[],2,FALSE)=0,"",VLOOKUP($A25,TableHandbook[],2,FALSE)),"")</f>
        <v/>
      </c>
      <c r="C25" s="151" t="str">
        <f>IFERROR(IF(VLOOKUP($A25,TableHandbook[],3,FALSE)=0,"",VLOOKUP($A25,TableHandbook[],3,FALSE)),"")</f>
        <v/>
      </c>
      <c r="D25" s="155" t="str">
        <f>IFERROR(IF(VLOOKUP($A25,TableHandbook[],4,FALSE)=0,"",VLOOKUP($A25,TableHandbook[],4,FALSE)),"")</f>
        <v/>
      </c>
      <c r="E25" s="151" t="str">
        <f>IF(A25="","",VLOOKUP($D$7,TableStudyPeriods[],3,FALSE))</f>
        <v/>
      </c>
      <c r="F25" s="146" t="str">
        <f>IFERROR(IF(VLOOKUP($A25,TableHandbook[],6,FALSE)=0,"",VLOOKUP($A25,TableHandbook[],6,FALSE)),"")</f>
        <v/>
      </c>
      <c r="G25" s="144" t="str">
        <f>IFERROR(IF(VLOOKUP($A25,TableHandbook[],5,FALSE)=0,"",VLOOKUP($A25,TableHandbook[],5,FALSE)),"")</f>
        <v/>
      </c>
      <c r="H25" s="147" t="str">
        <f>IFERROR(VLOOKUP($A25,TableHandbook[],H$2,FALSE),"")</f>
        <v/>
      </c>
      <c r="I25" s="148" t="str">
        <f>IFERROR(VLOOKUP($A25,TableHandbook[],I$2,FALSE),"")</f>
        <v/>
      </c>
      <c r="J25" s="147" t="str">
        <f>IFERROR(VLOOKUP($A25,TableHandbook[],J$2,FALSE),"")</f>
        <v/>
      </c>
      <c r="K25" s="148" t="str">
        <f>IFERROR(VLOOKUP($A25,TableHandbook[],K$2,FALSE),"")</f>
        <v/>
      </c>
      <c r="L25" s="147" t="str">
        <f>IFERROR(VLOOKUP($A25,TableHandbook[],L$2,FALSE),"")</f>
        <v/>
      </c>
      <c r="M25" s="148" t="str">
        <f>IFERROR(VLOOKUP($A25,TableHandbook[],M$2,FALSE),"")</f>
        <v/>
      </c>
      <c r="N25" s="147" t="str">
        <f>IFERROR(VLOOKUP($A25,TableHandbook[],N$2,FALSE),"")</f>
        <v/>
      </c>
      <c r="O25" s="148" t="str">
        <f>IFERROR(VLOOKUP($A25,TableHandbook[],O$2,FALSE),"")</f>
        <v/>
      </c>
      <c r="P25" s="22"/>
      <c r="Q25" s="149">
        <v>12</v>
      </c>
      <c r="R25" s="150"/>
      <c r="S25" s="150"/>
      <c r="AA25" s="13"/>
    </row>
    <row r="26" spans="1:27" s="14" customFormat="1" ht="21" customHeight="1" x14ac:dyDescent="0.15">
      <c r="A26" s="143" t="str">
        <f>IFERROR(IF(HLOOKUP($P$6,RangeUnitsetsECEPR,Q26,FALSE)=0,"",HLOOKUP($P$6,RangeUnitsetsECEPR,Q26,FALSE)),"")</f>
        <v/>
      </c>
      <c r="B26" s="151" t="str">
        <f>IFERROR(IF(VLOOKUP($A26,TableHandbook[],2,FALSE)=0,"",VLOOKUP($A26,TableHandbook[],2,FALSE)),"")</f>
        <v/>
      </c>
      <c r="C26" s="151" t="str">
        <f>IFERROR(IF(VLOOKUP($A26,TableHandbook[],3,FALSE)=0,"",VLOOKUP($A26,TableHandbook[],3,FALSE)),"")</f>
        <v/>
      </c>
      <c r="D26" s="155" t="str">
        <f>IFERROR(IF(VLOOKUP($A26,TableHandbook[],4,FALSE)=0,"",VLOOKUP($A26,TableHandbook[],4,FALSE)),"")</f>
        <v/>
      </c>
      <c r="E26" s="151" t="str">
        <f>IF(A26="","",E25)</f>
        <v/>
      </c>
      <c r="F26" s="146" t="str">
        <f>IFERROR(IF(VLOOKUP($A26,TableHandbook[],6,FALSE)=0,"",VLOOKUP($A26,TableHandbook[],6,FALSE)),"")</f>
        <v/>
      </c>
      <c r="G26" s="144" t="str">
        <f>IFERROR(IF(VLOOKUP($A26,TableHandbook[],5,FALSE)=0,"",VLOOKUP($A26,TableHandbook[],5,FALSE)),"")</f>
        <v/>
      </c>
      <c r="H26" s="147" t="str">
        <f>IFERROR(VLOOKUP($A26,TableHandbook[],H$2,FALSE),"")</f>
        <v/>
      </c>
      <c r="I26" s="148" t="str">
        <f>IFERROR(VLOOKUP($A26,TableHandbook[],I$2,FALSE),"")</f>
        <v/>
      </c>
      <c r="J26" s="147" t="str">
        <f>IFERROR(VLOOKUP($A26,TableHandbook[],J$2,FALSE),"")</f>
        <v/>
      </c>
      <c r="K26" s="148" t="str">
        <f>IFERROR(VLOOKUP($A26,TableHandbook[],K$2,FALSE),"")</f>
        <v/>
      </c>
      <c r="L26" s="147" t="str">
        <f>IFERROR(VLOOKUP($A26,TableHandbook[],L$2,FALSE),"")</f>
        <v/>
      </c>
      <c r="M26" s="148" t="str">
        <f>IFERROR(VLOOKUP($A26,TableHandbook[],M$2,FALSE),"")</f>
        <v/>
      </c>
      <c r="N26" s="147" t="str">
        <f>IFERROR(VLOOKUP($A26,TableHandbook[],N$2,FALSE),"")</f>
        <v/>
      </c>
      <c r="O26" s="148" t="str">
        <f>IFERROR(VLOOKUP($A26,TableHandbook[],O$2,FALSE),"")</f>
        <v/>
      </c>
      <c r="P26" s="22"/>
      <c r="Q26" s="149">
        <v>13</v>
      </c>
      <c r="R26" s="150"/>
      <c r="S26" s="150"/>
      <c r="AA26" s="13"/>
    </row>
    <row r="27" spans="1:27" s="14" customFormat="1" ht="6" customHeight="1" x14ac:dyDescent="0.15">
      <c r="A27" s="171"/>
      <c r="B27" s="172"/>
      <c r="C27" s="172"/>
      <c r="D27" s="173"/>
      <c r="E27" s="172"/>
      <c r="F27" s="174"/>
      <c r="G27" s="172"/>
      <c r="H27" s="175"/>
      <c r="I27" s="176"/>
      <c r="J27" s="175"/>
      <c r="K27" s="176"/>
      <c r="L27" s="175"/>
      <c r="M27" s="176"/>
      <c r="N27" s="175"/>
      <c r="O27" s="176"/>
      <c r="P27" s="106"/>
      <c r="Q27" s="149"/>
      <c r="R27" s="150"/>
      <c r="S27" s="150"/>
      <c r="T27" s="150"/>
      <c r="AA27" s="13"/>
    </row>
    <row r="28" spans="1:27" s="14" customFormat="1" ht="21" customHeight="1" x14ac:dyDescent="0.15">
      <c r="A28" s="143" t="str">
        <f>IFERROR(IF(HLOOKUP($P$6,RangeUnitsetsECEPR,Q28,FALSE)=0,"",HLOOKUP($P$6,RangeUnitsetsECEPR,Q28,FALSE)),"")</f>
        <v/>
      </c>
      <c r="B28" s="151" t="str">
        <f>IFERROR(IF(VLOOKUP($A28,TableHandbook[],2,FALSE)=0,"",VLOOKUP($A28,TableHandbook[],2,FALSE)),"")</f>
        <v/>
      </c>
      <c r="C28" s="151" t="str">
        <f>IFERROR(IF(VLOOKUP($A28,TableHandbook[],3,FALSE)=0,"",VLOOKUP($A28,TableHandbook[],3,FALSE)),"")</f>
        <v/>
      </c>
      <c r="D28" s="155" t="str">
        <f>IFERROR(IF(VLOOKUP($A28,TableHandbook[],4,FALSE)=0,"",VLOOKUP($A28,TableHandbook[],4,FALSE)),"")</f>
        <v/>
      </c>
      <c r="E28" s="151" t="str">
        <f>IF(A28="","",VLOOKUP($D$7,TableStudyPeriods[],4,FALSE))</f>
        <v/>
      </c>
      <c r="F28" s="146" t="str">
        <f>IFERROR(IF(VLOOKUP($A28,TableHandbook[],6,FALSE)=0,"",VLOOKUP($A28,TableHandbook[],6,FALSE)),"")</f>
        <v/>
      </c>
      <c r="G28" s="144" t="str">
        <f>IFERROR(IF(VLOOKUP($A28,TableHandbook[],5,FALSE)=0,"",VLOOKUP($A28,TableHandbook[],5,FALSE)),"")</f>
        <v/>
      </c>
      <c r="H28" s="152" t="str">
        <f>IFERROR(VLOOKUP($A28,TableHandbook[],H$2,FALSE),"")</f>
        <v/>
      </c>
      <c r="I28" s="153" t="str">
        <f>IFERROR(VLOOKUP($A28,TableHandbook[],I$2,FALSE),"")</f>
        <v/>
      </c>
      <c r="J28" s="152" t="str">
        <f>IFERROR(VLOOKUP($A28,TableHandbook[],J$2,FALSE),"")</f>
        <v/>
      </c>
      <c r="K28" s="153" t="str">
        <f>IFERROR(VLOOKUP($A28,TableHandbook[],K$2,FALSE),"")</f>
        <v/>
      </c>
      <c r="L28" s="152" t="str">
        <f>IFERROR(VLOOKUP($A28,TableHandbook[],L$2,FALSE),"")</f>
        <v/>
      </c>
      <c r="M28" s="153" t="str">
        <f>IFERROR(VLOOKUP($A28,TableHandbook[],M$2,FALSE),"")</f>
        <v/>
      </c>
      <c r="N28" s="152" t="str">
        <f>IFERROR(VLOOKUP($A28,TableHandbook[],N$2,FALSE),"")</f>
        <v/>
      </c>
      <c r="O28" s="153" t="str">
        <f>IFERROR(VLOOKUP($A28,TableHandbook[],O$2,FALSE),"")</f>
        <v/>
      </c>
      <c r="P28" s="22"/>
      <c r="Q28" s="149">
        <v>14</v>
      </c>
      <c r="R28" s="150"/>
      <c r="S28" s="150"/>
      <c r="AA28" s="13"/>
    </row>
    <row r="29" spans="1:27" s="14" customFormat="1" ht="21" customHeight="1" x14ac:dyDescent="0.15">
      <c r="A29" s="143" t="str">
        <f>IFERROR(IF(HLOOKUP($P$6,RangeUnitsetsECEPR,Q29,FALSE)=0,"",HLOOKUP($P$6,RangeUnitsetsECEPR,Q29,FALSE)),"")</f>
        <v/>
      </c>
      <c r="B29" s="151" t="str">
        <f>IFERROR(IF(VLOOKUP($A29,TableHandbook[],2,FALSE)=0,"",VLOOKUP($A29,TableHandbook[],2,FALSE)),"")</f>
        <v/>
      </c>
      <c r="C29" s="151" t="str">
        <f>IFERROR(IF(VLOOKUP($A29,TableHandbook[],3,FALSE)=0,"",VLOOKUP($A29,TableHandbook[],3,FALSE)),"")</f>
        <v/>
      </c>
      <c r="D29" s="155" t="str">
        <f>IFERROR(IF(VLOOKUP($A29,TableHandbook[],4,FALSE)=0,"",VLOOKUP($A29,TableHandbook[],4,FALSE)),"")</f>
        <v/>
      </c>
      <c r="E29" s="151" t="str">
        <f>IF(A29="","",E28)</f>
        <v/>
      </c>
      <c r="F29" s="146" t="str">
        <f>IFERROR(IF(VLOOKUP($A29,TableHandbook[],6,FALSE)=0,"",VLOOKUP($A29,TableHandbook[],6,FALSE)),"")</f>
        <v/>
      </c>
      <c r="G29" s="144" t="str">
        <f>IFERROR(IF(VLOOKUP($A29,TableHandbook[],5,FALSE)=0,"",VLOOKUP($A29,TableHandbook[],5,FALSE)),"")</f>
        <v/>
      </c>
      <c r="H29" s="152" t="str">
        <f>IFERROR(VLOOKUP($A29,TableHandbook[],H$2,FALSE),"")</f>
        <v/>
      </c>
      <c r="I29" s="153" t="str">
        <f>IFERROR(VLOOKUP($A29,TableHandbook[],I$2,FALSE),"")</f>
        <v/>
      </c>
      <c r="J29" s="152" t="str">
        <f>IFERROR(VLOOKUP($A29,TableHandbook[],J$2,FALSE),"")</f>
        <v/>
      </c>
      <c r="K29" s="153" t="str">
        <f>IFERROR(VLOOKUP($A29,TableHandbook[],K$2,FALSE),"")</f>
        <v/>
      </c>
      <c r="L29" s="152" t="str">
        <f>IFERROR(VLOOKUP($A29,TableHandbook[],L$2,FALSE),"")</f>
        <v/>
      </c>
      <c r="M29" s="153" t="str">
        <f>IFERROR(VLOOKUP($A29,TableHandbook[],M$2,FALSE),"")</f>
        <v/>
      </c>
      <c r="N29" s="152" t="str">
        <f>IFERROR(VLOOKUP($A29,TableHandbook[],N$2,FALSE),"")</f>
        <v/>
      </c>
      <c r="O29" s="153" t="str">
        <f>IFERROR(VLOOKUP($A29,TableHandbook[],O$2,FALSE),"")</f>
        <v/>
      </c>
      <c r="P29" s="22"/>
      <c r="Q29" s="149">
        <v>15</v>
      </c>
      <c r="R29" s="150"/>
      <c r="S29" s="150"/>
      <c r="AA29" s="13"/>
    </row>
    <row r="30" spans="1:27" s="16" customFormat="1" ht="6" customHeight="1" x14ac:dyDescent="0.15">
      <c r="A30" s="171"/>
      <c r="B30" s="172"/>
      <c r="C30" s="172"/>
      <c r="D30" s="173"/>
      <c r="E30" s="172"/>
      <c r="F30" s="174"/>
      <c r="G30" s="172"/>
      <c r="H30" s="175"/>
      <c r="I30" s="176"/>
      <c r="J30" s="175"/>
      <c r="K30" s="176"/>
      <c r="L30" s="175"/>
      <c r="M30" s="176"/>
      <c r="N30" s="175"/>
      <c r="O30" s="176"/>
      <c r="P30" s="106"/>
      <c r="Q30" s="149"/>
      <c r="R30" s="154"/>
      <c r="S30" s="154"/>
      <c r="AA30" s="15"/>
    </row>
    <row r="31" spans="1:27" s="16" customFormat="1" ht="21" customHeight="1" x14ac:dyDescent="0.15">
      <c r="A31" s="143" t="str">
        <f>IFERROR(IF(HLOOKUP($P$6,RangeUnitsetsECEPR,Q31,FALSE)=0,"",HLOOKUP($P$6,RangeUnitsetsECEPR,Q31,FALSE)),"")</f>
        <v/>
      </c>
      <c r="B31" s="151" t="str">
        <f>IFERROR(IF(VLOOKUP($A31,TableHandbook[],2,FALSE)=0,"",VLOOKUP($A31,TableHandbook[],2,FALSE)),"")</f>
        <v/>
      </c>
      <c r="C31" s="151" t="str">
        <f>IFERROR(IF(VLOOKUP($A31,TableHandbook[],3,FALSE)=0,"",VLOOKUP($A31,TableHandbook[],3,FALSE)),"")</f>
        <v/>
      </c>
      <c r="D31" s="155" t="str">
        <f>IFERROR(IF(VLOOKUP($A31,TableHandbook[],4,FALSE)=0,"",VLOOKUP($A31,TableHandbook[],4,FALSE)),"")</f>
        <v/>
      </c>
      <c r="E31" s="151" t="str">
        <f>IF(A31="","",VLOOKUP($D$7,TableStudyPeriods[],5,FALSE))</f>
        <v/>
      </c>
      <c r="F31" s="146" t="str">
        <f>IFERROR(IF(VLOOKUP($A31,TableHandbook[],6,FALSE)=0,"",VLOOKUP($A31,TableHandbook[],6,FALSE)),"")</f>
        <v/>
      </c>
      <c r="G31" s="144" t="str">
        <f>IFERROR(IF(VLOOKUP($A31,TableHandbook[],5,FALSE)=0,"",VLOOKUP($A31,TableHandbook[],5,FALSE)),"")</f>
        <v/>
      </c>
      <c r="H31" s="152" t="str">
        <f>IFERROR(VLOOKUP($A31,TableHandbook[],H$2,FALSE),"")</f>
        <v/>
      </c>
      <c r="I31" s="153" t="str">
        <f>IFERROR(VLOOKUP($A31,TableHandbook[],I$2,FALSE),"")</f>
        <v/>
      </c>
      <c r="J31" s="152" t="str">
        <f>IFERROR(VLOOKUP($A31,TableHandbook[],J$2,FALSE),"")</f>
        <v/>
      </c>
      <c r="K31" s="153" t="str">
        <f>IFERROR(VLOOKUP($A31,TableHandbook[],K$2,FALSE),"")</f>
        <v/>
      </c>
      <c r="L31" s="152" t="str">
        <f>IFERROR(VLOOKUP($A31,TableHandbook[],L$2,FALSE),"")</f>
        <v/>
      </c>
      <c r="M31" s="153" t="str">
        <f>IFERROR(VLOOKUP($A31,TableHandbook[],M$2,FALSE),"")</f>
        <v/>
      </c>
      <c r="N31" s="152" t="str">
        <f>IFERROR(VLOOKUP($A31,TableHandbook[],N$2,FALSE),"")</f>
        <v/>
      </c>
      <c r="O31" s="153" t="str">
        <f>IFERROR(VLOOKUP($A31,TableHandbook[],O$2,FALSE),"")</f>
        <v/>
      </c>
      <c r="P31" s="22"/>
      <c r="Q31" s="149">
        <v>16</v>
      </c>
      <c r="R31" s="154"/>
      <c r="S31" s="154"/>
      <c r="AA31" s="15"/>
    </row>
    <row r="32" spans="1:27" s="16" customFormat="1" ht="21" customHeight="1" x14ac:dyDescent="0.15">
      <c r="A32" s="143" t="str">
        <f>IFERROR(IF(HLOOKUP($P$6,RangeUnitsetsECEPR,Q32,FALSE)=0,"",HLOOKUP($P$6,RangeUnitsetsECEPR,Q32,FALSE)),"")</f>
        <v/>
      </c>
      <c r="B32" s="151" t="str">
        <f>IFERROR(IF(VLOOKUP($A32,TableHandbook[],2,FALSE)=0,"",VLOOKUP($A32,TableHandbook[],2,FALSE)),"")</f>
        <v/>
      </c>
      <c r="C32" s="151" t="str">
        <f>IFERROR(IF(VLOOKUP($A32,TableHandbook[],3,FALSE)=0,"",VLOOKUP($A32,TableHandbook[],3,FALSE)),"")</f>
        <v/>
      </c>
      <c r="D32" s="155" t="str">
        <f>IFERROR(IF(VLOOKUP($A32,TableHandbook[],4,FALSE)=0,"",VLOOKUP($A32,TableHandbook[],4,FALSE)),"")</f>
        <v/>
      </c>
      <c r="E32" s="144" t="str">
        <f>IF(A32="","",E31)</f>
        <v/>
      </c>
      <c r="F32" s="146" t="str">
        <f>IFERROR(IF(VLOOKUP($A32,TableHandbook[],6,FALSE)=0,"",VLOOKUP($A32,TableHandbook[],6,FALSE)),"")</f>
        <v/>
      </c>
      <c r="G32" s="144" t="str">
        <f>IFERROR(IF(VLOOKUP($A32,TableHandbook[],5,FALSE)=0,"",VLOOKUP($A32,TableHandbook[],5,FALSE)),"")</f>
        <v/>
      </c>
      <c r="H32" s="152" t="str">
        <f>IFERROR(VLOOKUP($A32,TableHandbook[],H$2,FALSE),"")</f>
        <v/>
      </c>
      <c r="I32" s="153" t="str">
        <f>IFERROR(VLOOKUP($A32,TableHandbook[],I$2,FALSE),"")</f>
        <v/>
      </c>
      <c r="J32" s="152" t="str">
        <f>IFERROR(VLOOKUP($A32,TableHandbook[],J$2,FALSE),"")</f>
        <v/>
      </c>
      <c r="K32" s="153" t="str">
        <f>IFERROR(VLOOKUP($A32,TableHandbook[],K$2,FALSE),"")</f>
        <v/>
      </c>
      <c r="L32" s="152" t="str">
        <f>IFERROR(VLOOKUP($A32,TableHandbook[],L$2,FALSE),"")</f>
        <v/>
      </c>
      <c r="M32" s="153" t="str">
        <f>IFERROR(VLOOKUP($A32,TableHandbook[],M$2,FALSE),"")</f>
        <v/>
      </c>
      <c r="N32" s="152" t="str">
        <f>IFERROR(VLOOKUP($A32,TableHandbook[],N$2,FALSE),"")</f>
        <v/>
      </c>
      <c r="O32" s="153" t="str">
        <f>IFERROR(VLOOKUP($A32,TableHandbook[],O$2,FALSE),"")</f>
        <v/>
      </c>
      <c r="P32" s="22"/>
      <c r="Q32" s="149">
        <v>17</v>
      </c>
      <c r="R32" s="154"/>
      <c r="S32" s="154"/>
      <c r="AA32" s="15"/>
    </row>
    <row r="33" spans="1:27" ht="15" customHeight="1" x14ac:dyDescent="0.25">
      <c r="A33" s="159"/>
      <c r="B33" s="159"/>
      <c r="C33" s="159"/>
      <c r="D33" s="160"/>
      <c r="E33" s="160"/>
      <c r="F33" s="161"/>
      <c r="G33" s="161"/>
      <c r="H33" s="161"/>
      <c r="I33" s="161"/>
      <c r="J33" s="161"/>
      <c r="K33" s="161"/>
      <c r="L33" s="161"/>
      <c r="M33" s="161"/>
      <c r="N33" s="161"/>
      <c r="O33" s="161"/>
      <c r="P33" s="161"/>
      <c r="AA33" s="10"/>
    </row>
    <row r="34" spans="1:27" s="10" customFormat="1" ht="35.25" customHeight="1" x14ac:dyDescent="0.25">
      <c r="A34" s="287" t="s">
        <v>34</v>
      </c>
      <c r="B34" s="287"/>
      <c r="C34" s="287"/>
      <c r="D34" s="287"/>
      <c r="E34" s="287"/>
      <c r="F34" s="287"/>
      <c r="G34" s="287"/>
      <c r="H34" s="287"/>
      <c r="I34" s="287"/>
      <c r="J34" s="287"/>
      <c r="K34" s="287"/>
      <c r="L34" s="287"/>
      <c r="M34" s="287"/>
      <c r="N34" s="287"/>
      <c r="O34" s="287"/>
      <c r="P34" s="287"/>
      <c r="Q34" s="8"/>
      <c r="R34" s="8"/>
      <c r="S34" s="8"/>
      <c r="T34" s="8"/>
      <c r="U34" s="8"/>
      <c r="V34" s="8"/>
      <c r="W34" s="8"/>
      <c r="X34" s="8"/>
      <c r="Y34" s="8"/>
      <c r="Z34" s="8"/>
    </row>
    <row r="35" spans="1:27" s="18" customFormat="1" ht="17.25" x14ac:dyDescent="0.2">
      <c r="A35" s="66" t="s">
        <v>35</v>
      </c>
      <c r="B35" s="66"/>
      <c r="C35" s="66"/>
      <c r="D35" s="67"/>
      <c r="E35" s="67"/>
      <c r="F35" s="67"/>
      <c r="G35" s="67"/>
      <c r="H35" s="67"/>
      <c r="I35" s="67"/>
      <c r="J35" s="67"/>
      <c r="K35" s="67"/>
      <c r="L35" s="67"/>
      <c r="M35" s="67"/>
      <c r="N35" s="67"/>
      <c r="O35" s="67"/>
      <c r="P35" s="67"/>
      <c r="Q35" s="162"/>
      <c r="R35" s="162"/>
      <c r="S35" s="162"/>
      <c r="AA35" s="17"/>
    </row>
    <row r="36" spans="1:27" x14ac:dyDescent="0.25">
      <c r="A36" s="163" t="s">
        <v>36</v>
      </c>
      <c r="B36" s="163"/>
      <c r="C36" s="163"/>
      <c r="D36" s="163"/>
      <c r="E36" s="164"/>
      <c r="F36" s="161"/>
      <c r="G36" s="165"/>
      <c r="H36" s="165"/>
      <c r="I36" s="165"/>
      <c r="J36" s="165"/>
      <c r="K36" s="165"/>
      <c r="L36" s="165"/>
      <c r="M36" s="165"/>
      <c r="N36" s="165"/>
      <c r="O36" s="165"/>
      <c r="P36" s="165" t="s">
        <v>37</v>
      </c>
    </row>
  </sheetData>
  <sheetProtection formatCells="0"/>
  <mergeCells count="2">
    <mergeCell ref="A3:D3"/>
    <mergeCell ref="A34:P34"/>
  </mergeCells>
  <conditionalFormatting sqref="A10:P32">
    <cfRule type="expression" dxfId="118" priority="1">
      <formula>$A10=""</formula>
    </cfRule>
  </conditionalFormatting>
  <conditionalFormatting sqref="D5:D7">
    <cfRule type="containsText" dxfId="117" priority="3" operator="containsText" text="Choose">
      <formula>NOT(ISERROR(SEARCH("Choose",D5)))</formula>
    </cfRule>
  </conditionalFormatting>
  <conditionalFormatting sqref="H10:O32">
    <cfRule type="expression" dxfId="116" priority="2">
      <formula>$E10=LEFT(H$9,4)</formula>
    </cfRule>
  </conditionalFormatting>
  <dataValidations count="1">
    <dataValidation type="list" allowBlank="1" showInputMessage="1" showErrorMessage="1" sqref="P27 P15 P12 P18 P24 P30" xr:uid="{00000000-0002-0000-0100-000000000000}"/>
  </dataValidations>
  <hyperlinks>
    <hyperlink ref="A35:P3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ignoredErrors>
    <ignoredError sqref="H21:P21"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Unitsets!$A$35:$A$37</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AA35"/>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2" style="9" customWidth="1"/>
    <col min="4" max="4" width="56.25" style="8" customWidth="1"/>
    <col min="5" max="5" width="7.25" style="8" customWidth="1"/>
    <col min="6" max="6" width="16.125" style="8" bestFit="1"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86" t="s">
        <v>8</v>
      </c>
      <c r="B3" s="286"/>
      <c r="C3" s="286"/>
      <c r="D3" s="286"/>
      <c r="E3" s="118"/>
      <c r="F3" s="118"/>
      <c r="G3" s="118"/>
      <c r="H3" s="118"/>
      <c r="I3" s="118"/>
      <c r="J3" s="118"/>
      <c r="K3" s="118"/>
      <c r="L3" s="118"/>
      <c r="M3" s="118"/>
      <c r="N3" s="118"/>
      <c r="O3" s="118"/>
      <c r="P3" s="118"/>
    </row>
    <row r="4" spans="1:27" ht="26.25" x14ac:dyDescent="0.25">
      <c r="A4" s="234"/>
      <c r="B4" s="235"/>
      <c r="C4" s="235"/>
      <c r="D4" s="236"/>
      <c r="E4" s="237" t="s">
        <v>9</v>
      </c>
      <c r="F4" s="235"/>
      <c r="G4" s="238"/>
      <c r="H4" s="238"/>
      <c r="I4" s="238"/>
      <c r="J4" s="238"/>
      <c r="K4" s="238"/>
      <c r="L4" s="238"/>
      <c r="M4" s="238"/>
      <c r="N4" s="238"/>
      <c r="O4" s="238"/>
      <c r="P4" s="238"/>
    </row>
    <row r="5" spans="1:27" ht="20.100000000000001" customHeight="1" x14ac:dyDescent="0.25">
      <c r="B5" s="119"/>
      <c r="C5" s="120" t="s">
        <v>10</v>
      </c>
      <c r="D5" s="267" t="s">
        <v>40</v>
      </c>
      <c r="E5" s="122"/>
      <c r="F5" s="120" t="s">
        <v>12</v>
      </c>
      <c r="G5" s="122" t="str">
        <f>IFERROR(CONCATENATE(VLOOKUP(D5,TableCourses[],2,FALSE)," ",VLOOKUP(D5,TableCourses[],3,FALSE)),"")</f>
        <v/>
      </c>
      <c r="H5" s="122"/>
      <c r="I5" s="122"/>
      <c r="J5" s="122"/>
      <c r="K5" s="123"/>
      <c r="L5" s="123"/>
      <c r="M5" s="123"/>
      <c r="N5" s="123"/>
      <c r="O5" s="123"/>
      <c r="P5" s="126" t="e">
        <f>CONCATENATE(VLOOKUP(D5,TableCourses[],2,FALSE),VLOOKUP(D6,TableStudyPeriods[],2,FALSE))</f>
        <v>#N/A</v>
      </c>
    </row>
    <row r="6" spans="1:27" ht="20.100000000000001" customHeight="1" x14ac:dyDescent="0.25">
      <c r="A6" s="127"/>
      <c r="B6" s="128"/>
      <c r="C6" s="120" t="s">
        <v>16</v>
      </c>
      <c r="D6" s="166" t="s">
        <v>41</v>
      </c>
      <c r="E6" s="130"/>
      <c r="F6" s="120" t="s">
        <v>18</v>
      </c>
      <c r="G6" s="122" t="str">
        <f>IFERROR(VLOOKUP($D$5,TableCourses[],7,FALSE),"")</f>
        <v/>
      </c>
      <c r="H6" s="131"/>
      <c r="I6" s="131"/>
      <c r="J6" s="131"/>
      <c r="K6" s="132"/>
      <c r="L6" s="132"/>
      <c r="M6" s="132"/>
      <c r="N6" s="132"/>
      <c r="O6" s="132"/>
      <c r="P6" s="132"/>
      <c r="AA6" s="10"/>
    </row>
    <row r="7" spans="1:27" s="12" customFormat="1" ht="14.1" customHeight="1" x14ac:dyDescent="0.25">
      <c r="A7" s="133"/>
      <c r="B7" s="133"/>
      <c r="C7" s="133"/>
      <c r="D7" s="134"/>
      <c r="E7" s="135"/>
      <c r="F7" s="133"/>
      <c r="G7" s="133"/>
      <c r="H7" s="136" t="s">
        <v>19</v>
      </c>
      <c r="I7" s="137"/>
      <c r="J7" s="137"/>
      <c r="K7" s="137"/>
      <c r="L7" s="137"/>
      <c r="M7" s="137"/>
      <c r="N7" s="137"/>
      <c r="O7" s="138"/>
      <c r="P7" s="135"/>
      <c r="Q7" s="139"/>
      <c r="R7" s="139"/>
      <c r="S7" s="139"/>
      <c r="AA7" s="11"/>
    </row>
    <row r="8" spans="1:27" s="12" customFormat="1" ht="31.5" x14ac:dyDescent="0.25">
      <c r="A8" s="133" t="s">
        <v>20</v>
      </c>
      <c r="B8" s="133"/>
      <c r="C8" s="133"/>
      <c r="D8" s="134" t="s">
        <v>3</v>
      </c>
      <c r="E8" s="140" t="s">
        <v>21</v>
      </c>
      <c r="F8" s="133" t="s">
        <v>22</v>
      </c>
      <c r="G8" s="133" t="s">
        <v>23</v>
      </c>
      <c r="H8" s="141" t="s">
        <v>24</v>
      </c>
      <c r="I8" s="142" t="s">
        <v>25</v>
      </c>
      <c r="J8" s="141" t="s">
        <v>26</v>
      </c>
      <c r="K8" s="142" t="s">
        <v>27</v>
      </c>
      <c r="L8" s="141" t="s">
        <v>28</v>
      </c>
      <c r="M8" s="142" t="s">
        <v>29</v>
      </c>
      <c r="N8" s="141" t="s">
        <v>30</v>
      </c>
      <c r="O8" s="142" t="s">
        <v>31</v>
      </c>
      <c r="P8" s="133" t="s">
        <v>32</v>
      </c>
      <c r="Q8" s="139"/>
      <c r="R8" s="139"/>
      <c r="S8" s="139"/>
      <c r="AA8" s="11"/>
    </row>
    <row r="9" spans="1:27" s="14" customFormat="1" ht="21" customHeight="1" x14ac:dyDescent="0.15">
      <c r="A9" s="143" t="str">
        <f>IFERROR(IF(HLOOKUP($P$5,RangeUnitsetsTESOL,Q9,FALSE)=0,"",HLOOKUP($P$5,RangeUnitsetsTESOL,Q9,FALSE)),"")</f>
        <v/>
      </c>
      <c r="B9" s="144" t="str">
        <f>IFERROR(IF(VLOOKUP($A9,TableHandbook[],2,FALSE)=0,"",VLOOKUP($A9,TableHandbook[],2,FALSE)),"")</f>
        <v/>
      </c>
      <c r="C9" s="144" t="str">
        <f>IFERROR(IF(VLOOKUP($A9,TableHandbook[],3,FALSE)=0,"",VLOOKUP($A9,TableHandbook[],3,FALSE)),"")</f>
        <v/>
      </c>
      <c r="D9" s="145" t="str">
        <f>IFERROR(IF(VLOOKUP($A9,TableHandbook[],4,FALSE)=0,"",VLOOKUP($A9,TableHandbook[],4,FALSE)),"")</f>
        <v/>
      </c>
      <c r="E9" s="144" t="str">
        <f>IF(A9="","",VLOOKUP($D$6,TableStudyPeriods[],2,FALSE))</f>
        <v/>
      </c>
      <c r="F9" s="146" t="str">
        <f>IFERROR(IF(VLOOKUP($A9,TableHandbook[],6,FALSE)=0,"",VLOOKUP($A9,TableHandbook[],6,FALSE)),"")</f>
        <v/>
      </c>
      <c r="G9" s="144" t="str">
        <f>IFERROR(IF(VLOOKUP($A9,TableHandbook[],5,FALSE)=0,"",VLOOKUP($A9,TableHandbook[],5,FALSE)),"")</f>
        <v/>
      </c>
      <c r="H9" s="147" t="str">
        <f>IFERROR(VLOOKUP($A9,TableHandbook[],H$2,FALSE),"")</f>
        <v/>
      </c>
      <c r="I9" s="148" t="str">
        <f>IFERROR(VLOOKUP($A9,TableHandbook[],I$2,FALSE),"")</f>
        <v/>
      </c>
      <c r="J9" s="147" t="str">
        <f>IFERROR(VLOOKUP($A9,TableHandbook[],J$2,FALSE),"")</f>
        <v/>
      </c>
      <c r="K9" s="148" t="str">
        <f>IFERROR(VLOOKUP($A9,TableHandbook[],K$2,FALSE),"")</f>
        <v/>
      </c>
      <c r="L9" s="147" t="str">
        <f>IFERROR(VLOOKUP($A9,TableHandbook[],L$2,FALSE),"")</f>
        <v/>
      </c>
      <c r="M9" s="148" t="str">
        <f>IFERROR(VLOOKUP($A9,TableHandbook[],M$2,FALSE),"")</f>
        <v/>
      </c>
      <c r="N9" s="147" t="str">
        <f>IFERROR(VLOOKUP($A9,TableHandbook[],N$2,FALSE),"")</f>
        <v/>
      </c>
      <c r="O9" s="148" t="str">
        <f>IFERROR(VLOOKUP($A9,TableHandbook[],O$2,FALSE),"")</f>
        <v/>
      </c>
      <c r="P9" s="23"/>
      <c r="Q9" s="149">
        <v>2</v>
      </c>
      <c r="R9" s="150"/>
      <c r="S9" s="150"/>
      <c r="AA9" s="13"/>
    </row>
    <row r="10" spans="1:27" s="14" customFormat="1" ht="21" customHeight="1" x14ac:dyDescent="0.15">
      <c r="A10" s="143" t="str">
        <f>IFERROR(IF(HLOOKUP($P$5,RangeUnitsetsTESOL,Q10,FALSE)=0,"",HLOOKUP($P$5,RangeUnitsetsTESOL,Q10,FALSE)),"")</f>
        <v/>
      </c>
      <c r="B10" s="144" t="str">
        <f>IFERROR(IF(VLOOKUP($A10,TableHandbook[],2,FALSE)=0,"",VLOOKUP($A10,TableHandbook[],2,FALSE)),"")</f>
        <v/>
      </c>
      <c r="C10" s="144" t="str">
        <f>IFERROR(IF(VLOOKUP($A10,TableHandbook[],3,FALSE)=0,"",VLOOKUP($A10,TableHandbook[],3,FALSE)),"")</f>
        <v/>
      </c>
      <c r="D10" s="145" t="str">
        <f>IFERROR(IF(VLOOKUP($A10,TableHandbook[],4,FALSE)=0,"",VLOOKUP($A10,TableHandbook[],4,FALSE)),"")</f>
        <v/>
      </c>
      <c r="E10" s="144" t="str">
        <f>IF(OR(A10="",A10="-"),"",E9)</f>
        <v/>
      </c>
      <c r="F10" s="146" t="str">
        <f>IFERROR(IF(VLOOKUP($A10,TableHandbook[],6,FALSE)=0,"",VLOOKUP($A10,TableHandbook[],6,FALSE)),"")</f>
        <v/>
      </c>
      <c r="G10" s="144" t="str">
        <f>IFERROR(IF(VLOOKUP($A10,TableHandbook[],5,FALSE)=0,"",VLOOKUP($A10,TableHandbook[],5,FALSE)),"")</f>
        <v/>
      </c>
      <c r="H10" s="147" t="str">
        <f>IFERROR(VLOOKUP($A10,TableHandbook[],H$2,FALSE),"")</f>
        <v/>
      </c>
      <c r="I10" s="148" t="str">
        <f>IFERROR(VLOOKUP($A10,TableHandbook[],I$2,FALSE),"")</f>
        <v/>
      </c>
      <c r="J10" s="147" t="str">
        <f>IFERROR(VLOOKUP($A10,TableHandbook[],J$2,FALSE),"")</f>
        <v/>
      </c>
      <c r="K10" s="148" t="str">
        <f>IFERROR(VLOOKUP($A10,TableHandbook[],K$2,FALSE),"")</f>
        <v/>
      </c>
      <c r="L10" s="147" t="str">
        <f>IFERROR(VLOOKUP($A10,TableHandbook[],L$2,FALSE),"")</f>
        <v/>
      </c>
      <c r="M10" s="148" t="str">
        <f>IFERROR(VLOOKUP($A10,TableHandbook[],M$2,FALSE),"")</f>
        <v/>
      </c>
      <c r="N10" s="147" t="str">
        <f>IFERROR(VLOOKUP($A10,TableHandbook[],N$2,FALSE),"")</f>
        <v/>
      </c>
      <c r="O10" s="148" t="str">
        <f>IFERROR(VLOOKUP($A10,TableHandbook[],O$2,FALSE),"")</f>
        <v/>
      </c>
      <c r="P10" s="23"/>
      <c r="Q10" s="149">
        <v>3</v>
      </c>
      <c r="R10" s="150"/>
      <c r="S10" s="150"/>
      <c r="AA10" s="13"/>
    </row>
    <row r="11" spans="1:27" s="14" customFormat="1" ht="6" customHeight="1" x14ac:dyDescent="0.15">
      <c r="A11" s="171"/>
      <c r="B11" s="172"/>
      <c r="C11" s="172"/>
      <c r="D11" s="173"/>
      <c r="E11" s="172"/>
      <c r="F11" s="174"/>
      <c r="G11" s="172"/>
      <c r="H11" s="175"/>
      <c r="I11" s="176"/>
      <c r="J11" s="175"/>
      <c r="K11" s="176"/>
      <c r="L11" s="175"/>
      <c r="M11" s="176"/>
      <c r="N11" s="175"/>
      <c r="O11" s="176"/>
      <c r="P11" s="106"/>
      <c r="Q11" s="149"/>
      <c r="R11" s="150"/>
      <c r="S11" s="150"/>
      <c r="T11" s="150"/>
      <c r="AA11" s="13"/>
    </row>
    <row r="12" spans="1:27" s="14" customFormat="1" ht="21" customHeight="1" x14ac:dyDescent="0.15">
      <c r="A12" s="143" t="str">
        <f>IFERROR(IF(HLOOKUP($P$5,RangeUnitsetsTESOL,Q12,FALSE)=0,"",HLOOKUP($P$5,RangeUnitsetsTESOL,Q12,FALSE)),"")</f>
        <v/>
      </c>
      <c r="B12" s="144" t="str">
        <f>IFERROR(IF(VLOOKUP($A12,TableHandbook[],2,FALSE)=0,"",VLOOKUP($A12,TableHandbook[],2,FALSE)),"")</f>
        <v/>
      </c>
      <c r="C12" s="144" t="str">
        <f>IFERROR(IF(VLOOKUP($A12,TableHandbook[],3,FALSE)=0,"",VLOOKUP($A12,TableHandbook[],3,FALSE)),"")</f>
        <v/>
      </c>
      <c r="D12" s="145" t="str">
        <f>IFERROR(IF(VLOOKUP($A12,TableHandbook[],4,FALSE)=0,"",VLOOKUP($A12,TableHandbook[],4,FALSE)),"")</f>
        <v/>
      </c>
      <c r="E12" s="144" t="str">
        <f>IF(A12="","",VLOOKUP($D$6,TableStudyPeriods[],3,FALSE))</f>
        <v/>
      </c>
      <c r="F12" s="146" t="str">
        <f>IFERROR(IF(VLOOKUP($A12,TableHandbook[],6,FALSE)=0,"",VLOOKUP($A12,TableHandbook[],6,FALSE)),"")</f>
        <v/>
      </c>
      <c r="G12" s="144" t="str">
        <f>IFERROR(IF(VLOOKUP($A12,TableHandbook[],5,FALSE)=0,"",VLOOKUP($A12,TableHandbook[],5,FALSE)),"")</f>
        <v/>
      </c>
      <c r="H12" s="147" t="str">
        <f>IFERROR(VLOOKUP($A12,TableHandbook[],H$2,FALSE),"")</f>
        <v/>
      </c>
      <c r="I12" s="148" t="str">
        <f>IFERROR(VLOOKUP($A12,TableHandbook[],I$2,FALSE),"")</f>
        <v/>
      </c>
      <c r="J12" s="147" t="str">
        <f>IFERROR(VLOOKUP($A12,TableHandbook[],J$2,FALSE),"")</f>
        <v/>
      </c>
      <c r="K12" s="148" t="str">
        <f>IFERROR(VLOOKUP($A12,TableHandbook[],K$2,FALSE),"")</f>
        <v/>
      </c>
      <c r="L12" s="147" t="str">
        <f>IFERROR(VLOOKUP($A12,TableHandbook[],L$2,FALSE),"")</f>
        <v/>
      </c>
      <c r="M12" s="148" t="str">
        <f>IFERROR(VLOOKUP($A12,TableHandbook[],M$2,FALSE),"")</f>
        <v/>
      </c>
      <c r="N12" s="147" t="str">
        <f>IFERROR(VLOOKUP($A12,TableHandbook[],N$2,FALSE),"")</f>
        <v/>
      </c>
      <c r="O12" s="148" t="str">
        <f>IFERROR(VLOOKUP($A12,TableHandbook[],O$2,FALSE),"")</f>
        <v/>
      </c>
      <c r="P12" s="24"/>
      <c r="Q12" s="149">
        <v>4</v>
      </c>
      <c r="R12" s="150"/>
      <c r="S12" s="150"/>
      <c r="AA12" s="13"/>
    </row>
    <row r="13" spans="1:27" s="14" customFormat="1" ht="21" customHeight="1" x14ac:dyDescent="0.15">
      <c r="A13" s="143" t="str">
        <f>IFERROR(IF(HLOOKUP($P$5,RangeUnitsetsTESOL,Q13,FALSE)=0,"",HLOOKUP($P$5,RangeUnitsetsTESOL,Q13,FALSE)),"")</f>
        <v/>
      </c>
      <c r="B13" s="144" t="str">
        <f>IFERROR(IF(VLOOKUP($A13,TableHandbook[],2,FALSE)=0,"",VLOOKUP($A13,TableHandbook[],2,FALSE)),"")</f>
        <v/>
      </c>
      <c r="C13" s="144" t="str">
        <f>IFERROR(IF(VLOOKUP($A13,TableHandbook[],3,FALSE)=0,"",VLOOKUP($A13,TableHandbook[],3,FALSE)),"")</f>
        <v/>
      </c>
      <c r="D13" s="145" t="str">
        <f>IFERROR(IF(VLOOKUP($A13,TableHandbook[],4,FALSE)=0,"",VLOOKUP($A13,TableHandbook[],4,FALSE)),"")</f>
        <v/>
      </c>
      <c r="E13" s="144" t="str">
        <f>IF(OR(A13="",A13="-"),"",E12)</f>
        <v/>
      </c>
      <c r="F13" s="146" t="str">
        <f>IFERROR(IF(VLOOKUP($A13,TableHandbook[],6,FALSE)=0,"",VLOOKUP($A13,TableHandbook[],6,FALSE)),"")</f>
        <v/>
      </c>
      <c r="G13" s="144" t="str">
        <f>IFERROR(IF(VLOOKUP($A13,TableHandbook[],5,FALSE)=0,"",VLOOKUP($A13,TableHandbook[],5,FALSE)),"")</f>
        <v/>
      </c>
      <c r="H13" s="147" t="str">
        <f>IFERROR(VLOOKUP($A13,TableHandbook[],H$2,FALSE),"")</f>
        <v/>
      </c>
      <c r="I13" s="148" t="str">
        <f>IFERROR(VLOOKUP($A13,TableHandbook[],I$2,FALSE),"")</f>
        <v/>
      </c>
      <c r="J13" s="147" t="str">
        <f>IFERROR(VLOOKUP($A13,TableHandbook[],J$2,FALSE),"")</f>
        <v/>
      </c>
      <c r="K13" s="148" t="str">
        <f>IFERROR(VLOOKUP($A13,TableHandbook[],K$2,FALSE),"")</f>
        <v/>
      </c>
      <c r="L13" s="147" t="str">
        <f>IFERROR(VLOOKUP($A13,TableHandbook[],L$2,FALSE),"")</f>
        <v/>
      </c>
      <c r="M13" s="148" t="str">
        <f>IFERROR(VLOOKUP($A13,TableHandbook[],M$2,FALSE),"")</f>
        <v/>
      </c>
      <c r="N13" s="147" t="str">
        <f>IFERROR(VLOOKUP($A13,TableHandbook[],N$2,FALSE),"")</f>
        <v/>
      </c>
      <c r="O13" s="148" t="str">
        <f>IFERROR(VLOOKUP($A13,TableHandbook[],O$2,FALSE),"")</f>
        <v/>
      </c>
      <c r="P13" s="23"/>
      <c r="Q13" s="149">
        <v>5</v>
      </c>
      <c r="R13" s="150"/>
      <c r="S13" s="150"/>
      <c r="AA13" s="13"/>
    </row>
    <row r="14" spans="1:27" s="14" customFormat="1" ht="6" customHeight="1" x14ac:dyDescent="0.15">
      <c r="A14" s="171"/>
      <c r="B14" s="172"/>
      <c r="C14" s="172"/>
      <c r="D14" s="173"/>
      <c r="E14" s="172"/>
      <c r="F14" s="174"/>
      <c r="G14" s="172"/>
      <c r="H14" s="175"/>
      <c r="I14" s="176"/>
      <c r="J14" s="175"/>
      <c r="K14" s="176"/>
      <c r="L14" s="175"/>
      <c r="M14" s="176"/>
      <c r="N14" s="175"/>
      <c r="O14" s="176"/>
      <c r="P14" s="106"/>
      <c r="Q14" s="149"/>
      <c r="R14" s="150"/>
      <c r="S14" s="150"/>
      <c r="T14" s="150"/>
      <c r="AA14" s="13"/>
    </row>
    <row r="15" spans="1:27" s="14" customFormat="1" ht="21" customHeight="1" x14ac:dyDescent="0.15">
      <c r="A15" s="143" t="str">
        <f>IFERROR(IF(HLOOKUP($P$5,RangeUnitsetsTESOL,Q15,FALSE)=0,"",HLOOKUP($P$5,RangeUnitsetsTESOL,Q15,FALSE)),"")</f>
        <v/>
      </c>
      <c r="B15" s="151" t="str">
        <f>IFERROR(IF(VLOOKUP($A15,TableHandbook[],2,FALSE)=0,"",VLOOKUP($A15,TableHandbook[],2,FALSE)),"")</f>
        <v/>
      </c>
      <c r="C15" s="151" t="str">
        <f>IFERROR(IF(VLOOKUP($A15,TableHandbook[],3,FALSE)=0,"",VLOOKUP($A15,TableHandbook[],3,FALSE)),"")</f>
        <v/>
      </c>
      <c r="D15" s="145" t="str">
        <f>IFERROR(IF(VLOOKUP($A15,TableHandbook[],4,FALSE)=0,"",VLOOKUP($A15,TableHandbook[],4,FALSE)),"")</f>
        <v/>
      </c>
      <c r="E15" s="144" t="str">
        <f>IF(A15="","",VLOOKUP($D$6,TableStudyPeriods[],4,FALSE))</f>
        <v/>
      </c>
      <c r="F15" s="146" t="str">
        <f>IFERROR(IF(VLOOKUP($A15,TableHandbook[],6,FALSE)=0,"",VLOOKUP($A15,TableHandbook[],6,FALSE)),"")</f>
        <v/>
      </c>
      <c r="G15" s="151" t="str">
        <f>IFERROR(IF(VLOOKUP($A15,TableHandbook[],5,FALSE)=0,"",VLOOKUP($A15,TableHandbook[],5,FALSE)),"")</f>
        <v/>
      </c>
      <c r="H15" s="152" t="str">
        <f>IFERROR(VLOOKUP($A15,TableHandbook[],H$2,FALSE),"")</f>
        <v/>
      </c>
      <c r="I15" s="153" t="str">
        <f>IFERROR(VLOOKUP($A15,TableHandbook[],I$2,FALSE),"")</f>
        <v/>
      </c>
      <c r="J15" s="152" t="str">
        <f>IFERROR(VLOOKUP($A15,TableHandbook[],J$2,FALSE),"")</f>
        <v/>
      </c>
      <c r="K15" s="153" t="str">
        <f>IFERROR(VLOOKUP($A15,TableHandbook[],K$2,FALSE),"")</f>
        <v/>
      </c>
      <c r="L15" s="152" t="str">
        <f>IFERROR(VLOOKUP($A15,TableHandbook[],L$2,FALSE),"")</f>
        <v/>
      </c>
      <c r="M15" s="153" t="str">
        <f>IFERROR(VLOOKUP($A15,TableHandbook[],M$2,FALSE),"")</f>
        <v/>
      </c>
      <c r="N15" s="152" t="str">
        <f>IFERROR(VLOOKUP($A15,TableHandbook[],N$2,FALSE),"")</f>
        <v/>
      </c>
      <c r="O15" s="153" t="str">
        <f>IFERROR(VLOOKUP($A15,TableHandbook[],O$2,FALSE),"")</f>
        <v/>
      </c>
      <c r="P15" s="24"/>
      <c r="Q15" s="149">
        <v>6</v>
      </c>
      <c r="R15" s="150"/>
      <c r="S15" s="150"/>
      <c r="AA15" s="13"/>
    </row>
    <row r="16" spans="1:27" s="16" customFormat="1" ht="21" customHeight="1" x14ac:dyDescent="0.15">
      <c r="A16" s="143" t="str">
        <f>IFERROR(IF(HLOOKUP($P$5,RangeUnitsetsTESOL,Q16,FALSE)=0,"",HLOOKUP($P$5,RangeUnitsetsTESOL,Q16,FALSE)),"")</f>
        <v/>
      </c>
      <c r="B16" s="151" t="str">
        <f>IFERROR(IF(VLOOKUP($A16,TableHandbook[],2,FALSE)=0,"",VLOOKUP($A16,TableHandbook[],2,FALSE)),"")</f>
        <v/>
      </c>
      <c r="C16" s="151" t="str">
        <f>IFERROR(IF(VLOOKUP($A16,TableHandbook[],3,FALSE)=0,"",VLOOKUP($A16,TableHandbook[],3,FALSE)),"")</f>
        <v/>
      </c>
      <c r="D16" s="145" t="str">
        <f>IFERROR(IF(VLOOKUP($A16,TableHandbook[],4,FALSE)=0,"",VLOOKUP($A16,TableHandbook[],4,FALSE)),"")</f>
        <v/>
      </c>
      <c r="E16" s="144" t="str">
        <f>IF(OR(A16="",A16="-"),"",E15)</f>
        <v/>
      </c>
      <c r="F16" s="146" t="str">
        <f>IFERROR(IF(VLOOKUP($A16,TableHandbook[],6,FALSE)=0,"",VLOOKUP($A16,TableHandbook[],6,FALSE)),"")</f>
        <v/>
      </c>
      <c r="G16" s="151" t="str">
        <f>IFERROR(IF(VLOOKUP($A16,TableHandbook[],5,FALSE)=0,"",VLOOKUP($A16,TableHandbook[],5,FALSE)),"")</f>
        <v/>
      </c>
      <c r="H16" s="152" t="str">
        <f>IFERROR(VLOOKUP($A16,TableHandbook[],H$2,FALSE),"")</f>
        <v/>
      </c>
      <c r="I16" s="153" t="str">
        <f>IFERROR(VLOOKUP($A16,TableHandbook[],I$2,FALSE),"")</f>
        <v/>
      </c>
      <c r="J16" s="152" t="str">
        <f>IFERROR(VLOOKUP($A16,TableHandbook[],J$2,FALSE),"")</f>
        <v/>
      </c>
      <c r="K16" s="153" t="str">
        <f>IFERROR(VLOOKUP($A16,TableHandbook[],K$2,FALSE),"")</f>
        <v/>
      </c>
      <c r="L16" s="152" t="str">
        <f>IFERROR(VLOOKUP($A16,TableHandbook[],L$2,FALSE),"")</f>
        <v/>
      </c>
      <c r="M16" s="153" t="str">
        <f>IFERROR(VLOOKUP($A16,TableHandbook[],M$2,FALSE),"")</f>
        <v/>
      </c>
      <c r="N16" s="152" t="str">
        <f>IFERROR(VLOOKUP($A16,TableHandbook[],N$2,FALSE),"")</f>
        <v/>
      </c>
      <c r="O16" s="153" t="str">
        <f>IFERROR(VLOOKUP($A16,TableHandbook[],O$2,FALSE),"")</f>
        <v/>
      </c>
      <c r="P16" s="24"/>
      <c r="Q16" s="149">
        <v>7</v>
      </c>
      <c r="R16" s="154"/>
      <c r="S16" s="154"/>
      <c r="AA16" s="15"/>
    </row>
    <row r="17" spans="1:27" s="14" customFormat="1" ht="6" customHeight="1" x14ac:dyDescent="0.15">
      <c r="A17" s="171"/>
      <c r="B17" s="172"/>
      <c r="C17" s="172"/>
      <c r="D17" s="173"/>
      <c r="E17" s="172"/>
      <c r="F17" s="174"/>
      <c r="G17" s="172"/>
      <c r="H17" s="175"/>
      <c r="I17" s="176"/>
      <c r="J17" s="175"/>
      <c r="K17" s="176"/>
      <c r="L17" s="175"/>
      <c r="M17" s="176"/>
      <c r="N17" s="175"/>
      <c r="O17" s="176"/>
      <c r="P17" s="106"/>
      <c r="Q17" s="149"/>
      <c r="R17" s="150"/>
      <c r="S17" s="150"/>
      <c r="T17" s="150"/>
      <c r="AA17" s="13"/>
    </row>
    <row r="18" spans="1:27" s="16" customFormat="1" ht="21" customHeight="1" x14ac:dyDescent="0.15">
      <c r="A18" s="143" t="str">
        <f>IFERROR(IF(HLOOKUP($P$5,RangeUnitsetsTESOL,Q18,FALSE)=0,"",HLOOKUP($P$5,RangeUnitsetsTESOL,Q18,FALSE)),"")</f>
        <v/>
      </c>
      <c r="B18" s="151" t="str">
        <f>IFERROR(IF(VLOOKUP($A18,TableHandbook[],2,FALSE)=0,"",VLOOKUP($A18,TableHandbook[],2,FALSE)),"")</f>
        <v/>
      </c>
      <c r="C18" s="151" t="str">
        <f>IFERROR(IF(VLOOKUP($A18,TableHandbook[],3,FALSE)=0,"",VLOOKUP($A18,TableHandbook[],3,FALSE)),"")</f>
        <v/>
      </c>
      <c r="D18" s="145" t="str">
        <f>IFERROR(IF(VLOOKUP($A18,TableHandbook[],4,FALSE)=0,"",VLOOKUP($A18,TableHandbook[],4,FALSE)),"")</f>
        <v/>
      </c>
      <c r="E18" s="144" t="str">
        <f>IF(A18="","",VLOOKUP($D$6,TableStudyPeriods[],5,FALSE))</f>
        <v/>
      </c>
      <c r="F18" s="146" t="str">
        <f>IFERROR(IF(VLOOKUP($A18,TableHandbook[],6,FALSE)=0,"",VLOOKUP($A18,TableHandbook[],6,FALSE)),"")</f>
        <v/>
      </c>
      <c r="G18" s="151" t="str">
        <f>IFERROR(IF(VLOOKUP($A18,TableHandbook[],5,FALSE)=0,"",VLOOKUP($A18,TableHandbook[],5,FALSE)),"")</f>
        <v/>
      </c>
      <c r="H18" s="152" t="str">
        <f>IFERROR(VLOOKUP($A18,TableHandbook[],H$2,FALSE),"")</f>
        <v/>
      </c>
      <c r="I18" s="153" t="str">
        <f>IFERROR(VLOOKUP($A18,TableHandbook[],I$2,FALSE),"")</f>
        <v/>
      </c>
      <c r="J18" s="152" t="str">
        <f>IFERROR(VLOOKUP($A18,TableHandbook[],J$2,FALSE),"")</f>
        <v/>
      </c>
      <c r="K18" s="153" t="str">
        <f>IFERROR(VLOOKUP($A18,TableHandbook[],K$2,FALSE),"")</f>
        <v/>
      </c>
      <c r="L18" s="152" t="str">
        <f>IFERROR(VLOOKUP($A18,TableHandbook[],L$2,FALSE),"")</f>
        <v/>
      </c>
      <c r="M18" s="153" t="str">
        <f>IFERROR(VLOOKUP($A18,TableHandbook[],M$2,FALSE),"")</f>
        <v/>
      </c>
      <c r="N18" s="152" t="str">
        <f>IFERROR(VLOOKUP($A18,TableHandbook[],N$2,FALSE),"")</f>
        <v/>
      </c>
      <c r="O18" s="153" t="str">
        <f>IFERROR(VLOOKUP($A18,TableHandbook[],O$2,FALSE),"")</f>
        <v/>
      </c>
      <c r="P18" s="24"/>
      <c r="Q18" s="149">
        <v>8</v>
      </c>
      <c r="R18" s="154"/>
      <c r="S18" s="154"/>
      <c r="AA18" s="15"/>
    </row>
    <row r="19" spans="1:27" s="16" customFormat="1" ht="21" customHeight="1" x14ac:dyDescent="0.15">
      <c r="A19" s="143" t="str">
        <f>IFERROR(IF(HLOOKUP($P$5,RangeUnitsetsTESOL,Q19,FALSE)=0,"",HLOOKUP($P$5,RangeUnitsetsTESOL,Q19,FALSE)),"")</f>
        <v/>
      </c>
      <c r="B19" s="151" t="str">
        <f>IFERROR(IF(VLOOKUP($A19,TableHandbook[],2,FALSE)=0,"",VLOOKUP($A19,TableHandbook[],2,FALSE)),"")</f>
        <v/>
      </c>
      <c r="C19" s="151" t="str">
        <f>IFERROR(IF(VLOOKUP($A19,TableHandbook[],3,FALSE)=0,"",VLOOKUP($A19,TableHandbook[],3,FALSE)),"")</f>
        <v/>
      </c>
      <c r="D19" s="155" t="str">
        <f>IFERROR(IF(VLOOKUP($A19,TableHandbook[],4,FALSE)=0,"",VLOOKUP($A19,TableHandbook[],4,FALSE)),"")</f>
        <v/>
      </c>
      <c r="E19" s="151" t="str">
        <f>IF(OR(A19="",A19="-"),"",E18)</f>
        <v/>
      </c>
      <c r="F19" s="146" t="str">
        <f>IFERROR(IF(VLOOKUP($A19,TableHandbook[],6,FALSE)=0,"",VLOOKUP($A19,TableHandbook[],6,FALSE)),"")</f>
        <v/>
      </c>
      <c r="G19" s="151" t="str">
        <f>IFERROR(IF(VLOOKUP($A19,TableHandbook[],5,FALSE)=0,"",VLOOKUP($A19,TableHandbook[],5,FALSE)),"")</f>
        <v/>
      </c>
      <c r="H19" s="152" t="str">
        <f>IFERROR(VLOOKUP($A19,TableHandbook[],H$2,FALSE),"")</f>
        <v/>
      </c>
      <c r="I19" s="153" t="str">
        <f>IFERROR(VLOOKUP($A19,TableHandbook[],I$2,FALSE),"")</f>
        <v/>
      </c>
      <c r="J19" s="152" t="str">
        <f>IFERROR(VLOOKUP($A19,TableHandbook[],J$2,FALSE),"")</f>
        <v/>
      </c>
      <c r="K19" s="153" t="str">
        <f>IFERROR(VLOOKUP($A19,TableHandbook[],K$2,FALSE),"")</f>
        <v/>
      </c>
      <c r="L19" s="152" t="str">
        <f>IFERROR(VLOOKUP($A19,TableHandbook[],L$2,FALSE),"")</f>
        <v/>
      </c>
      <c r="M19" s="153" t="str">
        <f>IFERROR(VLOOKUP($A19,TableHandbook[],M$2,FALSE),"")</f>
        <v/>
      </c>
      <c r="N19" s="152" t="str">
        <f>IFERROR(VLOOKUP($A19,TableHandbook[],N$2,FALSE),"")</f>
        <v/>
      </c>
      <c r="O19" s="153" t="str">
        <f>IFERROR(VLOOKUP($A19,TableHandbook[],O$2,FALSE),"")</f>
        <v/>
      </c>
      <c r="P19" s="24"/>
      <c r="Q19" s="149">
        <v>9</v>
      </c>
      <c r="R19" s="154"/>
      <c r="S19" s="154"/>
      <c r="AA19" s="15"/>
    </row>
    <row r="20" spans="1:27" s="12" customFormat="1" ht="31.5" x14ac:dyDescent="0.25">
      <c r="A20" s="133" t="s">
        <v>33</v>
      </c>
      <c r="B20" s="133"/>
      <c r="C20" s="133"/>
      <c r="D20" s="156" t="s">
        <v>3</v>
      </c>
      <c r="E20" s="140" t="s">
        <v>21</v>
      </c>
      <c r="F20" s="133" t="s">
        <v>22</v>
      </c>
      <c r="G20" s="133" t="s">
        <v>23</v>
      </c>
      <c r="H20" s="141" t="str">
        <f>H8</f>
        <v>SSP1 BEN</v>
      </c>
      <c r="I20" s="142" t="str">
        <f t="shared" ref="I20:P20" si="0">I8</f>
        <v>SSP1 FO</v>
      </c>
      <c r="J20" s="141" t="str">
        <f t="shared" si="0"/>
        <v>SSP2 BEN</v>
      </c>
      <c r="K20" s="142" t="str">
        <f t="shared" si="0"/>
        <v>SSP2 FO</v>
      </c>
      <c r="L20" s="141" t="str">
        <f t="shared" si="0"/>
        <v>SSP3 BEN</v>
      </c>
      <c r="M20" s="142" t="str">
        <f t="shared" si="0"/>
        <v>SSP3 FO</v>
      </c>
      <c r="N20" s="141" t="str">
        <f t="shared" si="0"/>
        <v>SSP4 BEN</v>
      </c>
      <c r="O20" s="142" t="str">
        <f t="shared" si="0"/>
        <v>SSP4 FO</v>
      </c>
      <c r="P20" s="133" t="str">
        <f t="shared" si="0"/>
        <v>Notes / Progress</v>
      </c>
      <c r="Q20" s="157"/>
      <c r="R20" s="139"/>
      <c r="S20" s="139"/>
      <c r="AA20" s="11"/>
    </row>
    <row r="21" spans="1:27" s="14" customFormat="1" ht="21" customHeight="1" x14ac:dyDescent="0.15">
      <c r="A21" s="143" t="str">
        <f>IFERROR(IF(HLOOKUP($P$5,RangeUnitsetsTESOL,Q21,FALSE)=0,"",HLOOKUP($P$5,RangeUnitsetsTESOL,Q21,FALSE)),"")</f>
        <v/>
      </c>
      <c r="B21" s="151" t="str">
        <f>IFERROR(IF(VLOOKUP($A21,TableHandbook[],2,FALSE)=0,"",VLOOKUP($A21,TableHandbook[],2,FALSE)),"")</f>
        <v/>
      </c>
      <c r="C21" s="151" t="str">
        <f>IFERROR(IF(VLOOKUP($A21,TableHandbook[],3,FALSE)=0,"",VLOOKUP($A21,TableHandbook[],3,FALSE)),"")</f>
        <v/>
      </c>
      <c r="D21" s="158" t="str">
        <f>IFERROR(IF(VLOOKUP($A21,TableHandbook[],4,FALSE)=0,"",VLOOKUP($A21,TableHandbook[],4,FALSE)),"")</f>
        <v/>
      </c>
      <c r="E21" s="151" t="str">
        <f>IF(A21="","",VLOOKUP($D$6,TableStudyPeriods[],2,FALSE))</f>
        <v/>
      </c>
      <c r="F21" s="146" t="str">
        <f>IFERROR(IF(VLOOKUP($A21,TableHandbook[],6,FALSE)=0,"",VLOOKUP($A21,TableHandbook[],6,FALSE)),"")</f>
        <v/>
      </c>
      <c r="G21" s="144" t="str">
        <f>IFERROR(IF(VLOOKUP($A21,TableHandbook[],5,FALSE)=0,"",VLOOKUP($A21,TableHandbook[],5,FALSE)),"")</f>
        <v/>
      </c>
      <c r="H21" s="147" t="str">
        <f>IFERROR(VLOOKUP($A21,TableHandbook[],H$2,FALSE),"")</f>
        <v/>
      </c>
      <c r="I21" s="148" t="str">
        <f>IFERROR(VLOOKUP($A21,TableHandbook[],I$2,FALSE),"")</f>
        <v/>
      </c>
      <c r="J21" s="147" t="str">
        <f>IFERROR(VLOOKUP($A21,TableHandbook[],J$2,FALSE),"")</f>
        <v/>
      </c>
      <c r="K21" s="148" t="str">
        <f>IFERROR(VLOOKUP($A21,TableHandbook[],K$2,FALSE),"")</f>
        <v/>
      </c>
      <c r="L21" s="147" t="str">
        <f>IFERROR(VLOOKUP($A21,TableHandbook[],L$2,FALSE),"")</f>
        <v/>
      </c>
      <c r="M21" s="148" t="str">
        <f>IFERROR(VLOOKUP($A21,TableHandbook[],M$2,FALSE),"")</f>
        <v/>
      </c>
      <c r="N21" s="147" t="str">
        <f>IFERROR(VLOOKUP($A21,TableHandbook[],N$2,FALSE),"")</f>
        <v/>
      </c>
      <c r="O21" s="148" t="str">
        <f>IFERROR(VLOOKUP($A21,TableHandbook[],O$2,FALSE),"")</f>
        <v/>
      </c>
      <c r="P21" s="22"/>
      <c r="Q21" s="149">
        <v>10</v>
      </c>
      <c r="R21" s="150"/>
      <c r="S21" s="150"/>
      <c r="AA21" s="13"/>
    </row>
    <row r="22" spans="1:27" s="14" customFormat="1" ht="21" customHeight="1" x14ac:dyDescent="0.15">
      <c r="A22" s="143" t="str">
        <f>IFERROR(IF(HLOOKUP($P$5,RangeUnitsetsTESOL,Q22,FALSE)=0,"",HLOOKUP($P$5,RangeUnitsetsTESOL,Q22,FALSE)),"")</f>
        <v/>
      </c>
      <c r="B22" s="151" t="str">
        <f>IFERROR(IF(VLOOKUP($A22,TableHandbook[],2,FALSE)=0,"",VLOOKUP($A22,TableHandbook[],2,FALSE)),"")</f>
        <v/>
      </c>
      <c r="C22" s="151" t="str">
        <f>IFERROR(IF(VLOOKUP($A22,TableHandbook[],3,FALSE)=0,"",VLOOKUP($A22,TableHandbook[],3,FALSE)),"")</f>
        <v/>
      </c>
      <c r="D22" s="155" t="str">
        <f>IFERROR(IF(VLOOKUP($A22,TableHandbook[],4,FALSE)=0,"",VLOOKUP($A22,TableHandbook[],4,FALSE)),"")</f>
        <v/>
      </c>
      <c r="E22" s="151" t="str">
        <f>IF(OR(A22="",A22="-"),"",E21)</f>
        <v/>
      </c>
      <c r="F22" s="146" t="str">
        <f>IFERROR(IF(VLOOKUP($A22,TableHandbook[],6,FALSE)=0,"",VLOOKUP($A22,TableHandbook[],6,FALSE)),"")</f>
        <v/>
      </c>
      <c r="G22" s="144" t="str">
        <f>IFERROR(IF(VLOOKUP($A22,TableHandbook[],5,FALSE)=0,"",VLOOKUP($A22,TableHandbook[],5,FALSE)),"")</f>
        <v/>
      </c>
      <c r="H22" s="147" t="str">
        <f>IFERROR(VLOOKUP($A22,TableHandbook[],H$2,FALSE),"")</f>
        <v/>
      </c>
      <c r="I22" s="148" t="str">
        <f>IFERROR(VLOOKUP($A22,TableHandbook[],I$2,FALSE),"")</f>
        <v/>
      </c>
      <c r="J22" s="147" t="str">
        <f>IFERROR(VLOOKUP($A22,TableHandbook[],J$2,FALSE),"")</f>
        <v/>
      </c>
      <c r="K22" s="148" t="str">
        <f>IFERROR(VLOOKUP($A22,TableHandbook[],K$2,FALSE),"")</f>
        <v/>
      </c>
      <c r="L22" s="147" t="str">
        <f>IFERROR(VLOOKUP($A22,TableHandbook[],L$2,FALSE),"")</f>
        <v/>
      </c>
      <c r="M22" s="148" t="str">
        <f>IFERROR(VLOOKUP($A22,TableHandbook[],M$2,FALSE),"")</f>
        <v/>
      </c>
      <c r="N22" s="147" t="str">
        <f>IFERROR(VLOOKUP($A22,TableHandbook[],N$2,FALSE),"")</f>
        <v/>
      </c>
      <c r="O22" s="148" t="str">
        <f>IFERROR(VLOOKUP($A22,TableHandbook[],O$2,FALSE),"")</f>
        <v/>
      </c>
      <c r="P22" s="22"/>
      <c r="Q22" s="149">
        <v>11</v>
      </c>
      <c r="R22" s="150"/>
      <c r="S22" s="150"/>
      <c r="AA22" s="13"/>
    </row>
    <row r="23" spans="1:27" s="14" customFormat="1" ht="6" customHeight="1" x14ac:dyDescent="0.15">
      <c r="A23" s="171"/>
      <c r="B23" s="172"/>
      <c r="C23" s="172"/>
      <c r="D23" s="173"/>
      <c r="E23" s="172"/>
      <c r="F23" s="174"/>
      <c r="G23" s="172"/>
      <c r="H23" s="175"/>
      <c r="I23" s="176"/>
      <c r="J23" s="175"/>
      <c r="K23" s="176"/>
      <c r="L23" s="175"/>
      <c r="M23" s="176"/>
      <c r="N23" s="175"/>
      <c r="O23" s="176"/>
      <c r="P23" s="106"/>
      <c r="Q23" s="149"/>
      <c r="R23" s="150"/>
      <c r="S23" s="150"/>
      <c r="T23" s="150"/>
      <c r="AA23" s="13"/>
    </row>
    <row r="24" spans="1:27" s="14" customFormat="1" ht="21" customHeight="1" x14ac:dyDescent="0.15">
      <c r="A24" s="143" t="str">
        <f>IFERROR(IF(HLOOKUP($P$5,RangeUnitsetsTESOL,Q24,FALSE)=0,"",HLOOKUP($P$5,RangeUnitsetsTESOL,Q24,FALSE)),"")</f>
        <v/>
      </c>
      <c r="B24" s="151" t="str">
        <f>IFERROR(IF(VLOOKUP($A24,TableHandbook[],2,FALSE)=0,"",VLOOKUP($A24,TableHandbook[],2,FALSE)),"")</f>
        <v/>
      </c>
      <c r="C24" s="151" t="str">
        <f>IFERROR(IF(VLOOKUP($A24,TableHandbook[],3,FALSE)=0,"",VLOOKUP($A24,TableHandbook[],3,FALSE)),"")</f>
        <v/>
      </c>
      <c r="D24" s="155" t="str">
        <f>IFERROR(IF(VLOOKUP($A24,TableHandbook[],4,FALSE)=0,"",VLOOKUP($A24,TableHandbook[],4,FALSE)),"")</f>
        <v/>
      </c>
      <c r="E24" s="151" t="str">
        <f>IF(A24="","",VLOOKUP($D$6,TableStudyPeriods[],3,FALSE))</f>
        <v/>
      </c>
      <c r="F24" s="146" t="str">
        <f>IFERROR(IF(VLOOKUP($A24,TableHandbook[],6,FALSE)=0,"",VLOOKUP($A24,TableHandbook[],6,FALSE)),"")</f>
        <v/>
      </c>
      <c r="G24" s="144" t="str">
        <f>IFERROR(IF(VLOOKUP($A24,TableHandbook[],5,FALSE)=0,"",VLOOKUP($A24,TableHandbook[],5,FALSE)),"")</f>
        <v/>
      </c>
      <c r="H24" s="147" t="str">
        <f>IFERROR(VLOOKUP($A24,TableHandbook[],H$2,FALSE),"")</f>
        <v/>
      </c>
      <c r="I24" s="148" t="str">
        <f>IFERROR(VLOOKUP($A24,TableHandbook[],I$2,FALSE),"")</f>
        <v/>
      </c>
      <c r="J24" s="147" t="str">
        <f>IFERROR(VLOOKUP($A24,TableHandbook[],J$2,FALSE),"")</f>
        <v/>
      </c>
      <c r="K24" s="148" t="str">
        <f>IFERROR(VLOOKUP($A24,TableHandbook[],K$2,FALSE),"")</f>
        <v/>
      </c>
      <c r="L24" s="147" t="str">
        <f>IFERROR(VLOOKUP($A24,TableHandbook[],L$2,FALSE),"")</f>
        <v/>
      </c>
      <c r="M24" s="148" t="str">
        <f>IFERROR(VLOOKUP($A24,TableHandbook[],M$2,FALSE),"")</f>
        <v/>
      </c>
      <c r="N24" s="147" t="str">
        <f>IFERROR(VLOOKUP($A24,TableHandbook[],N$2,FALSE),"")</f>
        <v/>
      </c>
      <c r="O24" s="148" t="str">
        <f>IFERROR(VLOOKUP($A24,TableHandbook[],O$2,FALSE),"")</f>
        <v/>
      </c>
      <c r="P24" s="22"/>
      <c r="Q24" s="149">
        <v>12</v>
      </c>
      <c r="R24" s="150"/>
      <c r="S24" s="150"/>
      <c r="AA24" s="13"/>
    </row>
    <row r="25" spans="1:27" s="14" customFormat="1" ht="21" customHeight="1" x14ac:dyDescent="0.15">
      <c r="A25" s="143" t="str">
        <f>IFERROR(IF(HLOOKUP($P$5,RangeUnitsetsTESOL,Q25,FALSE)=0,"",HLOOKUP($P$5,RangeUnitsetsTESOL,Q25,FALSE)),"")</f>
        <v/>
      </c>
      <c r="B25" s="151" t="str">
        <f>IFERROR(IF(VLOOKUP($A25,TableHandbook[],2,FALSE)=0,"",VLOOKUP($A25,TableHandbook[],2,FALSE)),"")</f>
        <v/>
      </c>
      <c r="C25" s="151" t="str">
        <f>IFERROR(IF(VLOOKUP($A25,TableHandbook[],3,FALSE)=0,"",VLOOKUP($A25,TableHandbook[],3,FALSE)),"")</f>
        <v/>
      </c>
      <c r="D25" s="155" t="str">
        <f>IFERROR(IF(VLOOKUP($A25,TableHandbook[],4,FALSE)=0,"",VLOOKUP($A25,TableHandbook[],4,FALSE)),"")</f>
        <v/>
      </c>
      <c r="E25" s="151" t="str">
        <f>IF(OR(A25="",A25="-"),"",E24)</f>
        <v/>
      </c>
      <c r="F25" s="146" t="str">
        <f>IFERROR(IF(VLOOKUP($A25,TableHandbook[],6,FALSE)=0,"",VLOOKUP($A25,TableHandbook[],6,FALSE)),"")</f>
        <v/>
      </c>
      <c r="G25" s="144" t="str">
        <f>IFERROR(IF(VLOOKUP($A25,TableHandbook[],5,FALSE)=0,"",VLOOKUP($A25,TableHandbook[],5,FALSE)),"")</f>
        <v/>
      </c>
      <c r="H25" s="147" t="str">
        <f>IFERROR(VLOOKUP($A25,TableHandbook[],H$2,FALSE),"")</f>
        <v/>
      </c>
      <c r="I25" s="148" t="str">
        <f>IFERROR(VLOOKUP($A25,TableHandbook[],I$2,FALSE),"")</f>
        <v/>
      </c>
      <c r="J25" s="147" t="str">
        <f>IFERROR(VLOOKUP($A25,TableHandbook[],J$2,FALSE),"")</f>
        <v/>
      </c>
      <c r="K25" s="148" t="str">
        <f>IFERROR(VLOOKUP($A25,TableHandbook[],K$2,FALSE),"")</f>
        <v/>
      </c>
      <c r="L25" s="147" t="str">
        <f>IFERROR(VLOOKUP($A25,TableHandbook[],L$2,FALSE),"")</f>
        <v/>
      </c>
      <c r="M25" s="148" t="str">
        <f>IFERROR(VLOOKUP($A25,TableHandbook[],M$2,FALSE),"")</f>
        <v/>
      </c>
      <c r="N25" s="147" t="str">
        <f>IFERROR(VLOOKUP($A25,TableHandbook[],N$2,FALSE),"")</f>
        <v/>
      </c>
      <c r="O25" s="148" t="str">
        <f>IFERROR(VLOOKUP($A25,TableHandbook[],O$2,FALSE),"")</f>
        <v/>
      </c>
      <c r="P25" s="22"/>
      <c r="Q25" s="149">
        <v>13</v>
      </c>
      <c r="R25" s="150"/>
      <c r="S25" s="150"/>
      <c r="AA25" s="13"/>
    </row>
    <row r="26" spans="1:27" s="14" customFormat="1" ht="6" customHeight="1" x14ac:dyDescent="0.15">
      <c r="A26" s="171"/>
      <c r="B26" s="172"/>
      <c r="C26" s="172"/>
      <c r="D26" s="173"/>
      <c r="E26" s="172"/>
      <c r="F26" s="174"/>
      <c r="G26" s="172"/>
      <c r="H26" s="175"/>
      <c r="I26" s="176"/>
      <c r="J26" s="175"/>
      <c r="K26" s="176"/>
      <c r="L26" s="175"/>
      <c r="M26" s="176"/>
      <c r="N26" s="175"/>
      <c r="O26" s="176"/>
      <c r="P26" s="106"/>
      <c r="Q26" s="149"/>
      <c r="R26" s="150"/>
      <c r="S26" s="150"/>
      <c r="T26" s="150"/>
      <c r="AA26" s="13"/>
    </row>
    <row r="27" spans="1:27" s="14" customFormat="1" ht="21" customHeight="1" x14ac:dyDescent="0.15">
      <c r="A27" s="143" t="str">
        <f>IFERROR(IF(HLOOKUP($P$5,RangeUnitsetsTESOL,Q27,FALSE)=0,"",HLOOKUP($P$5,RangeUnitsetsTESOL,Q27,FALSE)),"")</f>
        <v/>
      </c>
      <c r="B27" s="151" t="str">
        <f>IFERROR(IF(VLOOKUP($A27,TableHandbook[],2,FALSE)=0,"",VLOOKUP($A27,TableHandbook[],2,FALSE)),"")</f>
        <v/>
      </c>
      <c r="C27" s="151" t="str">
        <f>IFERROR(IF(VLOOKUP($A27,TableHandbook[],3,FALSE)=0,"",VLOOKUP($A27,TableHandbook[],3,FALSE)),"")</f>
        <v/>
      </c>
      <c r="D27" s="155" t="str">
        <f>IFERROR(IF(VLOOKUP($A27,TableHandbook[],4,FALSE)=0,"",VLOOKUP($A27,TableHandbook[],4,FALSE)),"")</f>
        <v/>
      </c>
      <c r="E27" s="151" t="str">
        <f>IF(A27="","",VLOOKUP($D$6,TableStudyPeriods[],4,FALSE))</f>
        <v/>
      </c>
      <c r="F27" s="146" t="str">
        <f>IFERROR(IF(VLOOKUP($A27,TableHandbook[],6,FALSE)=0,"",VLOOKUP($A27,TableHandbook[],6,FALSE)),"")</f>
        <v/>
      </c>
      <c r="G27" s="144" t="str">
        <f>IFERROR(IF(VLOOKUP($A27,TableHandbook[],5,FALSE)=0,"",VLOOKUP($A27,TableHandbook[],5,FALSE)),"")</f>
        <v/>
      </c>
      <c r="H27" s="152" t="str">
        <f>IFERROR(VLOOKUP($A27,TableHandbook[],H$2,FALSE),"")</f>
        <v/>
      </c>
      <c r="I27" s="153" t="str">
        <f>IFERROR(VLOOKUP($A27,TableHandbook[],I$2,FALSE),"")</f>
        <v/>
      </c>
      <c r="J27" s="152" t="str">
        <f>IFERROR(VLOOKUP($A27,TableHandbook[],J$2,FALSE),"")</f>
        <v/>
      </c>
      <c r="K27" s="153" t="str">
        <f>IFERROR(VLOOKUP($A27,TableHandbook[],K$2,FALSE),"")</f>
        <v/>
      </c>
      <c r="L27" s="152" t="str">
        <f>IFERROR(VLOOKUP($A27,TableHandbook[],L$2,FALSE),"")</f>
        <v/>
      </c>
      <c r="M27" s="153" t="str">
        <f>IFERROR(VLOOKUP($A27,TableHandbook[],M$2,FALSE),"")</f>
        <v/>
      </c>
      <c r="N27" s="152" t="str">
        <f>IFERROR(VLOOKUP($A27,TableHandbook[],N$2,FALSE),"")</f>
        <v/>
      </c>
      <c r="O27" s="153" t="str">
        <f>IFERROR(VLOOKUP($A27,TableHandbook[],O$2,FALSE),"")</f>
        <v/>
      </c>
      <c r="P27" s="22"/>
      <c r="Q27" s="149">
        <v>14</v>
      </c>
      <c r="R27" s="150"/>
      <c r="S27" s="150"/>
      <c r="AA27" s="13"/>
    </row>
    <row r="28" spans="1:27" s="14" customFormat="1" ht="21" customHeight="1" x14ac:dyDescent="0.15">
      <c r="A28" s="143" t="str">
        <f>IFERROR(IF(HLOOKUP($P$5,RangeUnitsetsTESOL,Q28,FALSE)=0,"",HLOOKUP($P$5,RangeUnitsetsTESOL,Q28,FALSE)),"")</f>
        <v/>
      </c>
      <c r="B28" s="151" t="str">
        <f>IFERROR(IF(VLOOKUP($A28,TableHandbook[],2,FALSE)=0,"",VLOOKUP($A28,TableHandbook[],2,FALSE)),"")</f>
        <v/>
      </c>
      <c r="C28" s="151" t="str">
        <f>IFERROR(IF(VLOOKUP($A28,TableHandbook[],3,FALSE)=0,"",VLOOKUP($A28,TableHandbook[],3,FALSE)),"")</f>
        <v/>
      </c>
      <c r="D28" s="155" t="str">
        <f>IFERROR(IF(VLOOKUP($A28,TableHandbook[],4,FALSE)=0,"",VLOOKUP($A28,TableHandbook[],4,FALSE)),"")</f>
        <v/>
      </c>
      <c r="E28" s="151" t="str">
        <f>IF(OR(A28="",A28="-"),"",E27)</f>
        <v/>
      </c>
      <c r="F28" s="146" t="str">
        <f>IFERROR(IF(VLOOKUP($A28,TableHandbook[],6,FALSE)=0,"",VLOOKUP($A28,TableHandbook[],6,FALSE)),"")</f>
        <v/>
      </c>
      <c r="G28" s="144" t="str">
        <f>IFERROR(IF(VLOOKUP($A28,TableHandbook[],5,FALSE)=0,"",VLOOKUP($A28,TableHandbook[],5,FALSE)),"")</f>
        <v/>
      </c>
      <c r="H28" s="152" t="str">
        <f>IFERROR(VLOOKUP($A28,TableHandbook[],H$2,FALSE),"")</f>
        <v/>
      </c>
      <c r="I28" s="153" t="str">
        <f>IFERROR(VLOOKUP($A28,TableHandbook[],I$2,FALSE),"")</f>
        <v/>
      </c>
      <c r="J28" s="152" t="str">
        <f>IFERROR(VLOOKUP($A28,TableHandbook[],J$2,FALSE),"")</f>
        <v/>
      </c>
      <c r="K28" s="153" t="str">
        <f>IFERROR(VLOOKUP($A28,TableHandbook[],K$2,FALSE),"")</f>
        <v/>
      </c>
      <c r="L28" s="152" t="str">
        <f>IFERROR(VLOOKUP($A28,TableHandbook[],L$2,FALSE),"")</f>
        <v/>
      </c>
      <c r="M28" s="153" t="str">
        <f>IFERROR(VLOOKUP($A28,TableHandbook[],M$2,FALSE),"")</f>
        <v/>
      </c>
      <c r="N28" s="152" t="str">
        <f>IFERROR(VLOOKUP($A28,TableHandbook[],N$2,FALSE),"")</f>
        <v/>
      </c>
      <c r="O28" s="153" t="str">
        <f>IFERROR(VLOOKUP($A28,TableHandbook[],O$2,FALSE),"")</f>
        <v/>
      </c>
      <c r="P28" s="22"/>
      <c r="Q28" s="149">
        <v>15</v>
      </c>
      <c r="R28" s="150"/>
      <c r="S28" s="150"/>
      <c r="AA28" s="13"/>
    </row>
    <row r="29" spans="1:27" s="16" customFormat="1" ht="6" customHeight="1" x14ac:dyDescent="0.15">
      <c r="A29" s="171"/>
      <c r="B29" s="172"/>
      <c r="C29" s="172"/>
      <c r="D29" s="173"/>
      <c r="E29" s="172"/>
      <c r="F29" s="174"/>
      <c r="G29" s="172"/>
      <c r="H29" s="175"/>
      <c r="I29" s="176"/>
      <c r="J29" s="175"/>
      <c r="K29" s="176"/>
      <c r="L29" s="175"/>
      <c r="M29" s="176"/>
      <c r="N29" s="175"/>
      <c r="O29" s="176"/>
      <c r="P29" s="106"/>
      <c r="Q29" s="149"/>
      <c r="R29" s="154"/>
      <c r="S29" s="154"/>
      <c r="AA29" s="15"/>
    </row>
    <row r="30" spans="1:27" s="16" customFormat="1" ht="21" customHeight="1" x14ac:dyDescent="0.15">
      <c r="A30" s="143" t="str">
        <f>IFERROR(IF(HLOOKUP($P$5,RangeUnitsetsTESOL,Q30,FALSE)=0,"",HLOOKUP($P$5,RangeUnitsetsTESOL,Q30,FALSE)),"")</f>
        <v/>
      </c>
      <c r="B30" s="151" t="str">
        <f>IFERROR(IF(VLOOKUP($A30,TableHandbook[],2,FALSE)=0,"",VLOOKUP($A30,TableHandbook[],2,FALSE)),"")</f>
        <v/>
      </c>
      <c r="C30" s="151" t="str">
        <f>IFERROR(IF(VLOOKUP($A30,TableHandbook[],3,FALSE)=0,"",VLOOKUP($A30,TableHandbook[],3,FALSE)),"")</f>
        <v/>
      </c>
      <c r="D30" s="155" t="str">
        <f>IFERROR(IF(VLOOKUP($A30,TableHandbook[],4,FALSE)=0,"",VLOOKUP($A30,TableHandbook[],4,FALSE)),"")</f>
        <v/>
      </c>
      <c r="E30" s="151" t="str">
        <f>IF(A30="","",VLOOKUP($D$6,TableStudyPeriods[],5,FALSE))</f>
        <v/>
      </c>
      <c r="F30" s="146" t="str">
        <f>IFERROR(IF(VLOOKUP($A30,TableHandbook[],6,FALSE)=0,"",VLOOKUP($A30,TableHandbook[],6,FALSE)),"")</f>
        <v/>
      </c>
      <c r="G30" s="144" t="str">
        <f>IFERROR(IF(VLOOKUP($A30,TableHandbook[],5,FALSE)=0,"",VLOOKUP($A30,TableHandbook[],5,FALSE)),"")</f>
        <v/>
      </c>
      <c r="H30" s="152" t="str">
        <f>IFERROR(VLOOKUP($A30,TableHandbook[],H$2,FALSE),"")</f>
        <v/>
      </c>
      <c r="I30" s="153" t="str">
        <f>IFERROR(VLOOKUP($A30,TableHandbook[],I$2,FALSE),"")</f>
        <v/>
      </c>
      <c r="J30" s="152" t="str">
        <f>IFERROR(VLOOKUP($A30,TableHandbook[],J$2,FALSE),"")</f>
        <v/>
      </c>
      <c r="K30" s="153" t="str">
        <f>IFERROR(VLOOKUP($A30,TableHandbook[],K$2,FALSE),"")</f>
        <v/>
      </c>
      <c r="L30" s="152" t="str">
        <f>IFERROR(VLOOKUP($A30,TableHandbook[],L$2,FALSE),"")</f>
        <v/>
      </c>
      <c r="M30" s="153" t="str">
        <f>IFERROR(VLOOKUP($A30,TableHandbook[],M$2,FALSE),"")</f>
        <v/>
      </c>
      <c r="N30" s="152" t="str">
        <f>IFERROR(VLOOKUP($A30,TableHandbook[],N$2,FALSE),"")</f>
        <v/>
      </c>
      <c r="O30" s="153" t="str">
        <f>IFERROR(VLOOKUP($A30,TableHandbook[],O$2,FALSE),"")</f>
        <v/>
      </c>
      <c r="P30" s="22"/>
      <c r="Q30" s="149">
        <v>16</v>
      </c>
      <c r="R30" s="154"/>
      <c r="S30" s="154"/>
      <c r="AA30" s="15"/>
    </row>
    <row r="31" spans="1:27" s="16" customFormat="1" ht="21" customHeight="1" x14ac:dyDescent="0.15">
      <c r="A31" s="143" t="str">
        <f>IFERROR(IF(HLOOKUP($P$5,RangeUnitsetsTESOL,Q31,FALSE)=0,"",HLOOKUP($P$5,RangeUnitsetsTESOL,Q31,FALSE)),"")</f>
        <v/>
      </c>
      <c r="B31" s="151" t="str">
        <f>IFERROR(IF(VLOOKUP($A31,TableHandbook[],2,FALSE)=0,"",VLOOKUP($A31,TableHandbook[],2,FALSE)),"")</f>
        <v/>
      </c>
      <c r="C31" s="151" t="str">
        <f>IFERROR(IF(VLOOKUP($A31,TableHandbook[],3,FALSE)=0,"",VLOOKUP($A31,TableHandbook[],3,FALSE)),"")</f>
        <v/>
      </c>
      <c r="D31" s="155" t="str">
        <f>IFERROR(IF(VLOOKUP($A31,TableHandbook[],4,FALSE)=0,"",VLOOKUP($A31,TableHandbook[],4,FALSE)),"")</f>
        <v/>
      </c>
      <c r="E31" s="144" t="str">
        <f>IF(OR(A31="",A31="-"),"",E30)</f>
        <v/>
      </c>
      <c r="F31" s="146" t="str">
        <f>IFERROR(IF(VLOOKUP($A31,TableHandbook[],6,FALSE)=0,"",VLOOKUP($A31,TableHandbook[],6,FALSE)),"")</f>
        <v/>
      </c>
      <c r="G31" s="144" t="str">
        <f>IFERROR(IF(VLOOKUP($A31,TableHandbook[],5,FALSE)=0,"",VLOOKUP($A31,TableHandbook[],5,FALSE)),"")</f>
        <v/>
      </c>
      <c r="H31" s="152" t="str">
        <f>IFERROR(VLOOKUP($A31,TableHandbook[],H$2,FALSE),"")</f>
        <v/>
      </c>
      <c r="I31" s="153" t="str">
        <f>IFERROR(VLOOKUP($A31,TableHandbook[],I$2,FALSE),"")</f>
        <v/>
      </c>
      <c r="J31" s="152" t="str">
        <f>IFERROR(VLOOKUP($A31,TableHandbook[],J$2,FALSE),"")</f>
        <v/>
      </c>
      <c r="K31" s="153" t="str">
        <f>IFERROR(VLOOKUP($A31,TableHandbook[],K$2,FALSE),"")</f>
        <v/>
      </c>
      <c r="L31" s="152" t="str">
        <f>IFERROR(VLOOKUP($A31,TableHandbook[],L$2,FALSE),"")</f>
        <v/>
      </c>
      <c r="M31" s="153" t="str">
        <f>IFERROR(VLOOKUP($A31,TableHandbook[],M$2,FALSE),"")</f>
        <v/>
      </c>
      <c r="N31" s="152" t="str">
        <f>IFERROR(VLOOKUP($A31,TableHandbook[],N$2,FALSE),"")</f>
        <v/>
      </c>
      <c r="O31" s="153" t="str">
        <f>IFERROR(VLOOKUP($A31,TableHandbook[],O$2,FALSE),"")</f>
        <v/>
      </c>
      <c r="P31" s="22"/>
      <c r="Q31" s="149">
        <v>17</v>
      </c>
      <c r="R31" s="154"/>
      <c r="S31" s="154"/>
      <c r="AA31" s="15"/>
    </row>
    <row r="32" spans="1:27" ht="15" customHeight="1" x14ac:dyDescent="0.25">
      <c r="A32" s="159"/>
      <c r="B32" s="159"/>
      <c r="C32" s="159"/>
      <c r="D32" s="160"/>
      <c r="E32" s="160"/>
      <c r="F32" s="161"/>
      <c r="G32" s="161"/>
      <c r="H32" s="161"/>
      <c r="I32" s="161"/>
      <c r="J32" s="161"/>
      <c r="K32" s="161"/>
      <c r="L32" s="161"/>
      <c r="M32" s="161"/>
      <c r="N32" s="161"/>
      <c r="O32" s="161"/>
      <c r="P32" s="161"/>
      <c r="AA32" s="10"/>
    </row>
    <row r="33" spans="1:27" s="10" customFormat="1" ht="35.25" customHeight="1" x14ac:dyDescent="0.25">
      <c r="A33" s="287" t="s">
        <v>34</v>
      </c>
      <c r="B33" s="287"/>
      <c r="C33" s="287"/>
      <c r="D33" s="287"/>
      <c r="E33" s="287"/>
      <c r="F33" s="287"/>
      <c r="G33" s="287"/>
      <c r="H33" s="287"/>
      <c r="I33" s="287"/>
      <c r="J33" s="287"/>
      <c r="K33" s="287"/>
      <c r="L33" s="287"/>
      <c r="M33" s="287"/>
      <c r="N33" s="287"/>
      <c r="O33" s="287"/>
      <c r="P33" s="287"/>
      <c r="Q33" s="8"/>
      <c r="R33" s="8"/>
      <c r="S33" s="8"/>
      <c r="T33" s="8"/>
      <c r="U33" s="8"/>
      <c r="V33" s="8"/>
      <c r="W33" s="8"/>
      <c r="X33" s="8"/>
      <c r="Y33" s="8"/>
      <c r="Z33" s="8"/>
    </row>
    <row r="34" spans="1:27" s="18" customFormat="1" ht="17.25" x14ac:dyDescent="0.2">
      <c r="A34" s="66" t="s">
        <v>35</v>
      </c>
      <c r="B34" s="66"/>
      <c r="C34" s="66"/>
      <c r="D34" s="67"/>
      <c r="E34" s="67"/>
      <c r="F34" s="67"/>
      <c r="G34" s="67"/>
      <c r="H34" s="67"/>
      <c r="I34" s="67"/>
      <c r="J34" s="67"/>
      <c r="K34" s="67"/>
      <c r="L34" s="67"/>
      <c r="M34" s="67"/>
      <c r="N34" s="67"/>
      <c r="O34" s="67"/>
      <c r="P34" s="67"/>
      <c r="Q34" s="162"/>
      <c r="R34" s="162"/>
      <c r="S34" s="162"/>
      <c r="AA34" s="17"/>
    </row>
    <row r="35" spans="1:27" x14ac:dyDescent="0.25">
      <c r="A35" s="163" t="s">
        <v>36</v>
      </c>
      <c r="B35" s="163"/>
      <c r="C35" s="163"/>
      <c r="D35" s="163"/>
      <c r="E35" s="164"/>
      <c r="F35" s="161"/>
      <c r="G35" s="165"/>
      <c r="H35" s="165"/>
      <c r="I35" s="165"/>
      <c r="J35" s="165"/>
      <c r="K35" s="165"/>
      <c r="L35" s="165"/>
      <c r="M35" s="165"/>
      <c r="N35" s="165"/>
      <c r="O35" s="165"/>
      <c r="P35" s="165" t="s">
        <v>37</v>
      </c>
    </row>
  </sheetData>
  <sheetProtection formatCells="0"/>
  <mergeCells count="2">
    <mergeCell ref="A3:D3"/>
    <mergeCell ref="A33:P33"/>
  </mergeCells>
  <conditionalFormatting sqref="A9:P31">
    <cfRule type="expression" dxfId="115" priority="2">
      <formula>$A9=""</formula>
    </cfRule>
  </conditionalFormatting>
  <conditionalFormatting sqref="D5:D6">
    <cfRule type="containsText" dxfId="114" priority="3" operator="containsText" text="Choose">
      <formula>NOT(ISERROR(SEARCH("Choose",D5)))</formula>
    </cfRule>
  </conditionalFormatting>
  <conditionalFormatting sqref="H9:O31">
    <cfRule type="expression" dxfId="113" priority="1">
      <formula>$E9=LEFT(H$8,4)</formula>
    </cfRule>
  </conditionalFormatting>
  <dataValidations count="1">
    <dataValidation type="list" allowBlank="1" showInputMessage="1" showErrorMessage="1" sqref="P26 P14 P11 P17 P23 P29" xr:uid="{00000000-0002-0000-0200-000000000000}"/>
  </dataValidations>
  <hyperlinks>
    <hyperlink ref="A34:P34"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5" orientation="landscape" r:id="rId2"/>
  <rowBreaks count="1" manualBreakCount="1">
    <brk id="31" max="15" man="1"/>
  </rowBreaks>
  <ignoredErrors>
    <ignoredError sqref="H20:P20" formula="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Unitsets!$A$35:$A$37</xm:f>
          </x14:formula1>
          <xm:sqref>D6</xm:sqref>
        </x14:dataValidation>
        <x14:dataValidation type="list" allowBlank="1" showInputMessage="1" showErrorMessage="1" xr:uid="{00000000-0002-0000-0200-000002000000}">
          <x14:formula1>
            <xm:f>Unitsets!$A$41:$A$44</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A1:AA37"/>
  <sheetViews>
    <sheetView showGridLines="0" topLeftCell="A3" workbookViewId="0">
      <selection activeCell="D7" sqref="D7"/>
    </sheetView>
  </sheetViews>
  <sheetFormatPr defaultColWidth="9" defaultRowHeight="15" x14ac:dyDescent="0.25"/>
  <cols>
    <col min="1" max="1" width="8.5" style="9" customWidth="1"/>
    <col min="2" max="2" width="3.25" style="9" customWidth="1"/>
    <col min="3" max="3" width="5.875" style="9" customWidth="1"/>
    <col min="4" max="4" width="44.37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c r="Q1" s="88"/>
    </row>
    <row r="2" spans="1:27"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7" ht="39.950000000000003" customHeight="1" x14ac:dyDescent="0.25">
      <c r="A3" s="288" t="s">
        <v>8</v>
      </c>
      <c r="B3" s="288"/>
      <c r="C3" s="288"/>
      <c r="D3" s="288"/>
      <c r="E3" s="118"/>
      <c r="F3" s="118"/>
      <c r="G3" s="118"/>
      <c r="H3" s="118"/>
      <c r="I3" s="118"/>
      <c r="J3" s="118"/>
      <c r="K3" s="118"/>
      <c r="L3" s="118"/>
      <c r="M3" s="118"/>
      <c r="N3" s="118"/>
      <c r="O3" s="118"/>
      <c r="P3" s="118"/>
      <c r="Q3" s="88"/>
    </row>
    <row r="4" spans="1:27" ht="26.25" x14ac:dyDescent="0.25">
      <c r="A4" s="244"/>
      <c r="B4" s="244"/>
      <c r="C4" s="244"/>
      <c r="D4" s="245"/>
      <c r="E4" s="246" t="s">
        <v>9</v>
      </c>
      <c r="F4" s="244"/>
      <c r="G4" s="247"/>
      <c r="H4" s="247"/>
      <c r="I4" s="247"/>
      <c r="J4" s="247"/>
      <c r="K4" s="247"/>
      <c r="L4" s="247"/>
      <c r="M4" s="247"/>
      <c r="N4" s="247"/>
      <c r="O4" s="247"/>
      <c r="P4" s="247"/>
      <c r="Q4" s="88"/>
    </row>
    <row r="5" spans="1:27" ht="20.100000000000001" customHeight="1" x14ac:dyDescent="0.25">
      <c r="B5" s="119"/>
      <c r="C5" s="120" t="s">
        <v>10</v>
      </c>
      <c r="D5" s="121" t="s">
        <v>42</v>
      </c>
      <c r="E5" s="122"/>
      <c r="F5" s="120" t="s">
        <v>12</v>
      </c>
      <c r="G5" s="127" t="str">
        <f>IFERROR(CONCATENATE(VLOOKUP(D5,TableCourses[],2,FALSE)," ",VLOOKUP(D5,TableCourses[],3,FALSE)),"")</f>
        <v>MC-EDUC v.3</v>
      </c>
      <c r="H5" s="167"/>
      <c r="I5" s="122"/>
      <c r="J5" s="122"/>
      <c r="K5" s="122"/>
      <c r="L5" s="122"/>
      <c r="M5" s="122"/>
      <c r="N5" s="122"/>
      <c r="O5" s="122"/>
      <c r="P5" s="168"/>
      <c r="Q5" s="88"/>
    </row>
    <row r="6" spans="1:27" ht="20.100000000000001" customHeight="1" x14ac:dyDescent="0.25">
      <c r="B6" s="119"/>
      <c r="C6" s="120" t="s">
        <v>43</v>
      </c>
      <c r="D6" s="199" t="s">
        <v>134</v>
      </c>
      <c r="E6" s="122"/>
      <c r="F6" s="120" t="s">
        <v>15</v>
      </c>
      <c r="G6" s="127" t="str">
        <f>IFERROR(CONCATENATE(VLOOKUP(D6,TableSpecialisationsMCEDUC[],2,FALSE)," ",VLOOKUP(D6,TableSpecialisationsMCEDUC[],3,FALSE)),"")</f>
        <v/>
      </c>
      <c r="H6" s="167"/>
      <c r="I6" s="122"/>
      <c r="J6" s="122"/>
      <c r="K6" s="122"/>
      <c r="L6" s="122"/>
      <c r="M6" s="122"/>
      <c r="N6" s="122"/>
      <c r="O6" s="122"/>
      <c r="P6" s="169" t="e">
        <f>CONCATENATE(VLOOKUP(D6,TableSpecialisationsMCEDUC[],2,FALSE),VLOOKUP(D7,TableStudyPeriods[],2,FALSE))</f>
        <v>#N/A</v>
      </c>
      <c r="Q6" s="88"/>
    </row>
    <row r="7" spans="1:27" ht="20.100000000000001" customHeight="1" x14ac:dyDescent="0.25">
      <c r="A7" s="127"/>
      <c r="B7" s="128"/>
      <c r="C7" s="120" t="s">
        <v>16</v>
      </c>
      <c r="D7" s="166" t="s">
        <v>41</v>
      </c>
      <c r="E7" s="130"/>
      <c r="F7" s="120" t="s">
        <v>18</v>
      </c>
      <c r="G7" s="122" t="str">
        <f>IFERROR(VLOOKUP($D$5,TableCourses[],7,FALSE),"")</f>
        <v>200 credit points required</v>
      </c>
      <c r="H7" s="131"/>
      <c r="I7" s="131"/>
      <c r="J7" s="131"/>
      <c r="K7" s="131"/>
      <c r="L7" s="131"/>
      <c r="M7" s="131"/>
      <c r="N7" s="131"/>
      <c r="O7" s="131"/>
      <c r="P7" s="169" t="str">
        <f>IFERROR(CONCATENATE("DD",MID(#REF!,6,5)),"")</f>
        <v/>
      </c>
      <c r="Q7" s="88"/>
      <c r="AA7" s="10"/>
    </row>
    <row r="8" spans="1:27" s="12" customFormat="1" ht="14.1" customHeight="1" x14ac:dyDescent="0.25">
      <c r="A8" s="133"/>
      <c r="B8" s="133"/>
      <c r="C8" s="133"/>
      <c r="D8" s="134"/>
      <c r="E8" s="135"/>
      <c r="F8" s="133"/>
      <c r="G8" s="133"/>
      <c r="H8" s="136" t="s">
        <v>19</v>
      </c>
      <c r="I8" s="137"/>
      <c r="J8" s="137"/>
      <c r="K8" s="137"/>
      <c r="L8" s="137"/>
      <c r="M8" s="137"/>
      <c r="N8" s="137"/>
      <c r="O8" s="138"/>
      <c r="P8" s="135"/>
      <c r="Q8" s="157"/>
      <c r="R8" s="139"/>
      <c r="S8" s="139"/>
      <c r="AA8" s="11"/>
    </row>
    <row r="9" spans="1:27" s="12" customFormat="1" ht="31.5" x14ac:dyDescent="0.25">
      <c r="A9" s="133" t="s">
        <v>20</v>
      </c>
      <c r="B9" s="133"/>
      <c r="C9" s="133"/>
      <c r="D9" s="134" t="s">
        <v>3</v>
      </c>
      <c r="E9" s="140" t="s">
        <v>21</v>
      </c>
      <c r="F9" s="133" t="s">
        <v>45</v>
      </c>
      <c r="G9" s="133" t="s">
        <v>23</v>
      </c>
      <c r="H9" s="141" t="s">
        <v>24</v>
      </c>
      <c r="I9" s="142" t="s">
        <v>25</v>
      </c>
      <c r="J9" s="141" t="s">
        <v>26</v>
      </c>
      <c r="K9" s="142" t="s">
        <v>27</v>
      </c>
      <c r="L9" s="141" t="s">
        <v>28</v>
      </c>
      <c r="M9" s="142" t="s">
        <v>29</v>
      </c>
      <c r="N9" s="141" t="s">
        <v>30</v>
      </c>
      <c r="O9" s="142" t="s">
        <v>31</v>
      </c>
      <c r="P9" s="133" t="s">
        <v>32</v>
      </c>
      <c r="Q9" s="157"/>
      <c r="R9" s="139"/>
      <c r="S9" s="139"/>
      <c r="AA9" s="11"/>
    </row>
    <row r="10" spans="1:27" s="14" customFormat="1" ht="21" customHeight="1" x14ac:dyDescent="0.15">
      <c r="A10" s="143" t="str">
        <f>IFERROR(IF(HLOOKUP($P$6,RangeUnitsetsMCEDUC,Q10,FALSE)=0,"",HLOOKUP($P$6,RangeUnitsetsMCEDUC,Q10,FALSE)),"")</f>
        <v/>
      </c>
      <c r="B10" s="144" t="str">
        <f>IFERROR(IF(VLOOKUP($A10,TableHandbook[],2,FALSE)=0,"",VLOOKUP($A10,TableHandbook[],2,FALSE)),"")</f>
        <v/>
      </c>
      <c r="C10" s="144" t="str">
        <f>IFERROR(IF(VLOOKUP($A10,TableHandbook[],3,FALSE)=0,"",VLOOKUP($A10,TableHandbook[],3,FALSE)),"")</f>
        <v/>
      </c>
      <c r="D10" s="145" t="str">
        <f>IFERROR(IF(VLOOKUP($A10,TableHandbook[],4,FALSE)=0,"",VLOOKUP($A10,TableHandbook[],4,FALSE)),"")</f>
        <v/>
      </c>
      <c r="E10" s="144" t="str">
        <f>IF(OR(A10="",A10="--"),"",VLOOKUP($D$7,TableStudyPeriods[],2,FALSE))</f>
        <v/>
      </c>
      <c r="F10" s="146" t="str">
        <f>IFERROR(IF(VLOOKUP($A10,TableHandbook[],6,FALSE)=0,"",VLOOKUP($A10,TableHandbook[],6,FALSE)),"")</f>
        <v/>
      </c>
      <c r="G10" s="144" t="str">
        <f>IFERROR(IF(VLOOKUP($A10,TableHandbook[],5,FALSE)=0,"",VLOOKUP($A10,TableHandbook[],5,FALSE)),"")</f>
        <v/>
      </c>
      <c r="H10" s="147" t="str">
        <f>IFERROR(VLOOKUP($A10,TableHandbook[],H$2,FALSE),"")</f>
        <v/>
      </c>
      <c r="I10" s="148" t="str">
        <f>IFERROR(VLOOKUP($A10,TableHandbook[],I$2,FALSE),"")</f>
        <v/>
      </c>
      <c r="J10" s="147" t="str">
        <f>IFERROR(VLOOKUP($A10,TableHandbook[],J$2,FALSE),"")</f>
        <v/>
      </c>
      <c r="K10" s="148" t="str">
        <f>IFERROR(VLOOKUP($A10,TableHandbook[],K$2,FALSE),"")</f>
        <v/>
      </c>
      <c r="L10" s="147" t="str">
        <f>IFERROR(VLOOKUP($A10,TableHandbook[],L$2,FALSE),"")</f>
        <v/>
      </c>
      <c r="M10" s="148" t="str">
        <f>IFERROR(VLOOKUP($A10,TableHandbook[],M$2,FALSE),"")</f>
        <v/>
      </c>
      <c r="N10" s="147" t="str">
        <f>IFERROR(VLOOKUP($A10,TableHandbook[],N$2,FALSE),"")</f>
        <v/>
      </c>
      <c r="O10" s="148" t="str">
        <f>IFERROR(VLOOKUP($A10,TableHandbook[],O$2,FALSE),"")</f>
        <v/>
      </c>
      <c r="P10" s="23"/>
      <c r="Q10" s="149">
        <v>2</v>
      </c>
      <c r="R10" s="150"/>
      <c r="S10" s="150"/>
      <c r="AA10" s="13"/>
    </row>
    <row r="11" spans="1:27" s="14" customFormat="1" ht="21" customHeight="1" x14ac:dyDescent="0.15">
      <c r="A11" s="170" t="str">
        <f>IFERROR(IF(HLOOKUP($P$6,RangeUnitsetsMCEDUC,Q11,FALSE)=0,"",HLOOKUP($P$6,RangeUnitsetsMCEDUC,Q11,FALSE)),"")</f>
        <v/>
      </c>
      <c r="B11" s="144" t="str">
        <f>IFERROR(IF(VLOOKUP($A11,TableHandbook[],2,FALSE)=0,"",VLOOKUP($A11,TableHandbook[],2,FALSE)),"")</f>
        <v/>
      </c>
      <c r="C11" s="144" t="str">
        <f>IFERROR(IF(VLOOKUP($A11,TableHandbook[],3,FALSE)=0,"",VLOOKUP($A11,TableHandbook[],3,FALSE)),"")</f>
        <v/>
      </c>
      <c r="D11" s="145" t="str">
        <f>IFERROR(IF(VLOOKUP($A11,TableHandbook[],4,FALSE)=0,"",VLOOKUP($A11,TableHandbook[],4,FALSE)),"")</f>
        <v/>
      </c>
      <c r="E11" s="144" t="str">
        <f>IF(OR(A11="",A11="-"),"",E10)</f>
        <v/>
      </c>
      <c r="F11" s="146" t="str">
        <f>IFERROR(IF(VLOOKUP($A11,TableHandbook[],6,FALSE)=0,"",VLOOKUP($A11,TableHandbook[],6,FALSE)),"")</f>
        <v/>
      </c>
      <c r="G11" s="144" t="str">
        <f>IFERROR(IF(VLOOKUP($A11,TableHandbook[],5,FALSE)=0,"",VLOOKUP($A11,TableHandbook[],5,FALSE)),"")</f>
        <v/>
      </c>
      <c r="H11" s="147" t="str">
        <f>IFERROR(VLOOKUP($A11,TableHandbook[],H$2,FALSE),"")</f>
        <v/>
      </c>
      <c r="I11" s="148" t="str">
        <f>IFERROR(VLOOKUP($A11,TableHandbook[],I$2,FALSE),"")</f>
        <v/>
      </c>
      <c r="J11" s="147" t="str">
        <f>IFERROR(VLOOKUP($A11,TableHandbook[],J$2,FALSE),"")</f>
        <v/>
      </c>
      <c r="K11" s="148" t="str">
        <f>IFERROR(VLOOKUP($A11,TableHandbook[],K$2,FALSE),"")</f>
        <v/>
      </c>
      <c r="L11" s="147" t="str">
        <f>IFERROR(VLOOKUP($A11,TableHandbook[],L$2,FALSE),"")</f>
        <v/>
      </c>
      <c r="M11" s="148" t="str">
        <f>IFERROR(VLOOKUP($A11,TableHandbook[],M$2,FALSE),"")</f>
        <v/>
      </c>
      <c r="N11" s="147" t="str">
        <f>IFERROR(VLOOKUP($A11,TableHandbook[],N$2,FALSE),"")</f>
        <v/>
      </c>
      <c r="O11" s="148" t="str">
        <f>IFERROR(VLOOKUP($A11,TableHandbook[],O$2,FALSE),"")</f>
        <v/>
      </c>
      <c r="P11" s="23"/>
      <c r="Q11" s="149">
        <v>3</v>
      </c>
      <c r="R11" s="150"/>
      <c r="S11" s="150"/>
      <c r="AA11" s="13"/>
    </row>
    <row r="12" spans="1:27" s="14" customFormat="1" ht="6" customHeight="1" x14ac:dyDescent="0.15">
      <c r="A12" s="171"/>
      <c r="B12" s="172"/>
      <c r="C12" s="172"/>
      <c r="D12" s="173"/>
      <c r="E12" s="172"/>
      <c r="F12" s="174"/>
      <c r="G12" s="172"/>
      <c r="H12" s="175"/>
      <c r="I12" s="176"/>
      <c r="J12" s="175"/>
      <c r="K12" s="176"/>
      <c r="L12" s="175"/>
      <c r="M12" s="176"/>
      <c r="N12" s="175"/>
      <c r="O12" s="176"/>
      <c r="P12" s="106"/>
      <c r="Q12" s="149"/>
      <c r="R12" s="150"/>
      <c r="S12" s="150"/>
      <c r="T12" s="150"/>
      <c r="AA12" s="13"/>
    </row>
    <row r="13" spans="1:27" s="14" customFormat="1" ht="21" customHeight="1" x14ac:dyDescent="0.15">
      <c r="A13" s="143" t="str">
        <f>IFERROR(IF(HLOOKUP($P$6,RangeUnitsetsMCEDUC,Q13,FALSE)=0,"",HLOOKUP($P$6,RangeUnitsetsMCEDUC,Q13,FALSE)),"")</f>
        <v/>
      </c>
      <c r="B13" s="144" t="str">
        <f>IFERROR(IF(VLOOKUP($A13,TableHandbook[],2,FALSE)=0,"",VLOOKUP($A13,TableHandbook[],2,FALSE)),"")</f>
        <v/>
      </c>
      <c r="C13" s="144" t="str">
        <f>IFERROR(IF(VLOOKUP($A13,TableHandbook[],3,FALSE)=0,"",VLOOKUP($A13,TableHandbook[],3,FALSE)),"")</f>
        <v/>
      </c>
      <c r="D13" s="145" t="str">
        <f>IFERROR(IF(VLOOKUP($A13,TableHandbook[],4,FALSE)=0,"",VLOOKUP($A13,TableHandbook[],4,FALSE)),"")</f>
        <v/>
      </c>
      <c r="E13" s="144" t="str">
        <f>IF(OR(A13="",A13="--"),"",VLOOKUP($D$7,TableStudyPeriods[],3,FALSE))</f>
        <v/>
      </c>
      <c r="F13" s="146" t="str">
        <f>IFERROR(IF(VLOOKUP($A13,TableHandbook[],6,FALSE)=0,"",VLOOKUP($A13,TableHandbook[],6,FALSE)),"")</f>
        <v/>
      </c>
      <c r="G13" s="144" t="str">
        <f>IFERROR(IF(VLOOKUP($A13,TableHandbook[],5,FALSE)=0,"",VLOOKUP($A13,TableHandbook[],5,FALSE)),"")</f>
        <v/>
      </c>
      <c r="H13" s="147" t="str">
        <f>IFERROR(VLOOKUP($A13,TableHandbook[],H$2,FALSE),"")</f>
        <v/>
      </c>
      <c r="I13" s="148" t="str">
        <f>IFERROR(VLOOKUP($A13,TableHandbook[],I$2,FALSE),"")</f>
        <v/>
      </c>
      <c r="J13" s="147" t="str">
        <f>IFERROR(VLOOKUP($A13,TableHandbook[],J$2,FALSE),"")</f>
        <v/>
      </c>
      <c r="K13" s="148" t="str">
        <f>IFERROR(VLOOKUP($A13,TableHandbook[],K$2,FALSE),"")</f>
        <v/>
      </c>
      <c r="L13" s="147" t="str">
        <f>IFERROR(VLOOKUP($A13,TableHandbook[],L$2,FALSE),"")</f>
        <v/>
      </c>
      <c r="M13" s="148" t="str">
        <f>IFERROR(VLOOKUP($A13,TableHandbook[],M$2,FALSE),"")</f>
        <v/>
      </c>
      <c r="N13" s="147" t="str">
        <f>IFERROR(VLOOKUP($A13,TableHandbook[],N$2,FALSE),"")</f>
        <v/>
      </c>
      <c r="O13" s="148" t="str">
        <f>IFERROR(VLOOKUP($A13,TableHandbook[],O$2,FALSE),"")</f>
        <v/>
      </c>
      <c r="P13" s="24"/>
      <c r="Q13" s="149">
        <v>4</v>
      </c>
      <c r="R13" s="150"/>
      <c r="S13" s="150"/>
      <c r="AA13" s="13"/>
    </row>
    <row r="14" spans="1:27" s="14" customFormat="1" ht="21" customHeight="1" x14ac:dyDescent="0.15">
      <c r="A14" s="143" t="str">
        <f>IFERROR(IF(HLOOKUP($P$6,RangeUnitsetsMCEDUC,Q14,FALSE)=0,"",HLOOKUP($P$6,RangeUnitsetsMCEDUC,Q14,FALSE)),"")</f>
        <v/>
      </c>
      <c r="B14" s="144" t="str">
        <f>IFERROR(IF(VLOOKUP($A14,TableHandbook[],2,FALSE)=0,"",VLOOKUP($A14,TableHandbook[],2,FALSE)),"")</f>
        <v/>
      </c>
      <c r="C14" s="144" t="str">
        <f>IFERROR(IF(VLOOKUP($A14,TableHandbook[],3,FALSE)=0,"",VLOOKUP($A14,TableHandbook[],3,FALSE)),"")</f>
        <v/>
      </c>
      <c r="D14" s="145" t="str">
        <f>IFERROR(IF(VLOOKUP($A14,TableHandbook[],4,FALSE)=0,"",VLOOKUP($A14,TableHandbook[],4,FALSE)),"")</f>
        <v/>
      </c>
      <c r="E14" s="144" t="str">
        <f>IF(OR(A14="",A14="-"),"",E13)</f>
        <v/>
      </c>
      <c r="F14" s="146" t="str">
        <f>IFERROR(IF(VLOOKUP($A14,TableHandbook[],6,FALSE)=0,"",VLOOKUP($A14,TableHandbook[],6,FALSE)),"")</f>
        <v/>
      </c>
      <c r="G14" s="144" t="str">
        <f>IFERROR(IF(VLOOKUP($A14,TableHandbook[],5,FALSE)=0,"",VLOOKUP($A14,TableHandbook[],5,FALSE)),"")</f>
        <v/>
      </c>
      <c r="H14" s="147" t="str">
        <f>IFERROR(VLOOKUP($A14,TableHandbook[],H$2,FALSE),"")</f>
        <v/>
      </c>
      <c r="I14" s="148" t="str">
        <f>IFERROR(VLOOKUP($A14,TableHandbook[],I$2,FALSE),"")</f>
        <v/>
      </c>
      <c r="J14" s="147" t="str">
        <f>IFERROR(VLOOKUP($A14,TableHandbook[],J$2,FALSE),"")</f>
        <v/>
      </c>
      <c r="K14" s="148" t="str">
        <f>IFERROR(VLOOKUP($A14,TableHandbook[],K$2,FALSE),"")</f>
        <v/>
      </c>
      <c r="L14" s="147" t="str">
        <f>IFERROR(VLOOKUP($A14,TableHandbook[],L$2,FALSE),"")</f>
        <v/>
      </c>
      <c r="M14" s="148" t="str">
        <f>IFERROR(VLOOKUP($A14,TableHandbook[],M$2,FALSE),"")</f>
        <v/>
      </c>
      <c r="N14" s="147" t="str">
        <f>IFERROR(VLOOKUP($A14,TableHandbook[],N$2,FALSE),"")</f>
        <v/>
      </c>
      <c r="O14" s="148" t="str">
        <f>IFERROR(VLOOKUP($A14,TableHandbook[],O$2,FALSE),"")</f>
        <v/>
      </c>
      <c r="P14" s="23"/>
      <c r="Q14" s="149">
        <v>5</v>
      </c>
      <c r="R14" s="150"/>
      <c r="S14" s="150"/>
      <c r="AA14" s="13"/>
    </row>
    <row r="15" spans="1:27" s="14" customFormat="1" ht="6" customHeight="1" x14ac:dyDescent="0.15">
      <c r="A15" s="171"/>
      <c r="B15" s="172"/>
      <c r="C15" s="172"/>
      <c r="D15" s="173"/>
      <c r="E15" s="172"/>
      <c r="F15" s="174"/>
      <c r="G15" s="172"/>
      <c r="H15" s="175"/>
      <c r="I15" s="176"/>
      <c r="J15" s="175"/>
      <c r="K15" s="176"/>
      <c r="L15" s="175"/>
      <c r="M15" s="176"/>
      <c r="N15" s="175"/>
      <c r="O15" s="176"/>
      <c r="P15" s="106"/>
      <c r="Q15" s="149"/>
      <c r="R15" s="150"/>
      <c r="S15" s="150"/>
      <c r="T15" s="150"/>
      <c r="AA15" s="13"/>
    </row>
    <row r="16" spans="1:27" s="14" customFormat="1" ht="21" customHeight="1" x14ac:dyDescent="0.15">
      <c r="A16" s="143" t="str">
        <f>IFERROR(IF(HLOOKUP($P$6,RangeUnitsetsMCEDUC,Q16,FALSE)=0,"",HLOOKUP($P$6,RangeUnitsetsMCEDUC,Q16,FALSE)),"")</f>
        <v/>
      </c>
      <c r="B16" s="151" t="str">
        <f>IFERROR(IF(VLOOKUP($A16,TableHandbook[],2,FALSE)=0,"",VLOOKUP($A16,TableHandbook[],2,FALSE)),"")</f>
        <v/>
      </c>
      <c r="C16" s="151" t="str">
        <f>IFERROR(IF(VLOOKUP($A16,TableHandbook[],3,FALSE)=0,"",VLOOKUP($A16,TableHandbook[],3,FALSE)),"")</f>
        <v/>
      </c>
      <c r="D16" s="145" t="str">
        <f>IFERROR(IF(VLOOKUP($A16,TableHandbook[],4,FALSE)=0,"",VLOOKUP($A16,TableHandbook[],4,FALSE)),"")</f>
        <v/>
      </c>
      <c r="E16" s="144" t="str">
        <f>IF(OR(A16="",A16="--"),"",VLOOKUP($D$7,TableStudyPeriods[],4,FALSE))</f>
        <v/>
      </c>
      <c r="F16" s="146" t="str">
        <f>IFERROR(IF(VLOOKUP($A16,TableHandbook[],6,FALSE)=0,"",VLOOKUP($A16,TableHandbook[],6,FALSE)),"")</f>
        <v/>
      </c>
      <c r="G16" s="151" t="str">
        <f>IFERROR(IF(VLOOKUP($A16,TableHandbook[],5,FALSE)=0,"",VLOOKUP($A16,TableHandbook[],5,FALSE)),"")</f>
        <v/>
      </c>
      <c r="H16" s="152" t="str">
        <f>IFERROR(VLOOKUP($A16,TableHandbook[],H$2,FALSE),"")</f>
        <v/>
      </c>
      <c r="I16" s="153" t="str">
        <f>IFERROR(VLOOKUP($A16,TableHandbook[],I$2,FALSE),"")</f>
        <v/>
      </c>
      <c r="J16" s="152" t="str">
        <f>IFERROR(VLOOKUP($A16,TableHandbook[],J$2,FALSE),"")</f>
        <v/>
      </c>
      <c r="K16" s="153" t="str">
        <f>IFERROR(VLOOKUP($A16,TableHandbook[],K$2,FALSE),"")</f>
        <v/>
      </c>
      <c r="L16" s="152" t="str">
        <f>IFERROR(VLOOKUP($A16,TableHandbook[],L$2,FALSE),"")</f>
        <v/>
      </c>
      <c r="M16" s="153" t="str">
        <f>IFERROR(VLOOKUP($A16,TableHandbook[],M$2,FALSE),"")</f>
        <v/>
      </c>
      <c r="N16" s="152" t="str">
        <f>IFERROR(VLOOKUP($A16,TableHandbook[],N$2,FALSE),"")</f>
        <v/>
      </c>
      <c r="O16" s="153" t="str">
        <f>IFERROR(VLOOKUP($A16,TableHandbook[],O$2,FALSE),"")</f>
        <v/>
      </c>
      <c r="P16" s="24"/>
      <c r="Q16" s="149">
        <v>6</v>
      </c>
      <c r="R16" s="150"/>
      <c r="S16" s="150"/>
      <c r="AA16" s="13"/>
    </row>
    <row r="17" spans="1:27" s="16" customFormat="1" ht="21" customHeight="1" x14ac:dyDescent="0.15">
      <c r="A17" s="143" t="str">
        <f>IFERROR(IF(HLOOKUP($P$6,RangeUnitsetsMCEDUC,Q17,FALSE)=0,"",HLOOKUP($P$6,RangeUnitsetsMCEDUC,Q17,FALSE)),"")</f>
        <v/>
      </c>
      <c r="B17" s="151" t="str">
        <f>IFERROR(IF(VLOOKUP($A17,TableHandbook[],2,FALSE)=0,"",VLOOKUP($A17,TableHandbook[],2,FALSE)),"")</f>
        <v/>
      </c>
      <c r="C17" s="151" t="str">
        <f>IFERROR(IF(VLOOKUP($A17,TableHandbook[],3,FALSE)=0,"",VLOOKUP($A17,TableHandbook[],3,FALSE)),"")</f>
        <v/>
      </c>
      <c r="D17" s="145" t="str">
        <f>IFERROR(IF(VLOOKUP($A17,TableHandbook[],4,FALSE)=0,"",VLOOKUP($A17,TableHandbook[],4,FALSE)),"")</f>
        <v/>
      </c>
      <c r="E17" s="144" t="str">
        <f>IF(OR(A17="",A17="-"),"",E16)</f>
        <v/>
      </c>
      <c r="F17" s="146" t="str">
        <f>IFERROR(IF(VLOOKUP($A17,TableHandbook[],6,FALSE)=0,"",VLOOKUP($A17,TableHandbook[],6,FALSE)),"")</f>
        <v/>
      </c>
      <c r="G17" s="151" t="str">
        <f>IFERROR(IF(VLOOKUP($A17,TableHandbook[],5,FALSE)=0,"",VLOOKUP($A17,TableHandbook[],5,FALSE)),"")</f>
        <v/>
      </c>
      <c r="H17" s="152" t="str">
        <f>IFERROR(VLOOKUP($A17,TableHandbook[],H$2,FALSE),"")</f>
        <v/>
      </c>
      <c r="I17" s="153" t="str">
        <f>IFERROR(VLOOKUP($A17,TableHandbook[],I$2,FALSE),"")</f>
        <v/>
      </c>
      <c r="J17" s="152" t="str">
        <f>IFERROR(VLOOKUP($A17,TableHandbook[],J$2,FALSE),"")</f>
        <v/>
      </c>
      <c r="K17" s="153" t="str">
        <f>IFERROR(VLOOKUP($A17,TableHandbook[],K$2,FALSE),"")</f>
        <v/>
      </c>
      <c r="L17" s="152" t="str">
        <f>IFERROR(VLOOKUP($A17,TableHandbook[],L$2,FALSE),"")</f>
        <v/>
      </c>
      <c r="M17" s="153" t="str">
        <f>IFERROR(VLOOKUP($A17,TableHandbook[],M$2,FALSE),"")</f>
        <v/>
      </c>
      <c r="N17" s="152" t="str">
        <f>IFERROR(VLOOKUP($A17,TableHandbook[],N$2,FALSE),"")</f>
        <v/>
      </c>
      <c r="O17" s="153" t="str">
        <f>IFERROR(VLOOKUP($A17,TableHandbook[],O$2,FALSE),"")</f>
        <v/>
      </c>
      <c r="P17" s="24"/>
      <c r="Q17" s="149">
        <v>7</v>
      </c>
      <c r="R17" s="154"/>
      <c r="S17" s="154"/>
      <c r="AA17" s="15"/>
    </row>
    <row r="18" spans="1:27" s="14" customFormat="1" ht="6" customHeight="1" x14ac:dyDescent="0.15">
      <c r="A18" s="171"/>
      <c r="B18" s="172"/>
      <c r="C18" s="172"/>
      <c r="D18" s="173"/>
      <c r="E18" s="172"/>
      <c r="F18" s="174"/>
      <c r="G18" s="172"/>
      <c r="H18" s="175"/>
      <c r="I18" s="176"/>
      <c r="J18" s="175"/>
      <c r="K18" s="176"/>
      <c r="L18" s="175"/>
      <c r="M18" s="176"/>
      <c r="N18" s="175"/>
      <c r="O18" s="176"/>
      <c r="P18" s="106"/>
      <c r="Q18" s="149"/>
      <c r="R18" s="150"/>
      <c r="S18" s="150"/>
      <c r="T18" s="150"/>
      <c r="AA18" s="13"/>
    </row>
    <row r="19" spans="1:27" s="16" customFormat="1" ht="21" customHeight="1" x14ac:dyDescent="0.15">
      <c r="A19" s="143" t="str">
        <f>IFERROR(IF(HLOOKUP($P$6,RangeUnitsetsMCEDUC,Q19,FALSE)=0,"",HLOOKUP($P$6,RangeUnitsetsMCEDUC,Q19,FALSE)),"")</f>
        <v/>
      </c>
      <c r="B19" s="151" t="str">
        <f>IFERROR(IF(VLOOKUP($A19,TableHandbook[],2,FALSE)=0,"",VLOOKUP($A19,TableHandbook[],2,FALSE)),"")</f>
        <v/>
      </c>
      <c r="C19" s="151" t="str">
        <f>IFERROR(IF(VLOOKUP($A19,TableHandbook[],3,FALSE)=0,"",VLOOKUP($A19,TableHandbook[],3,FALSE)),"")</f>
        <v/>
      </c>
      <c r="D19" s="145" t="str">
        <f>IFERROR(IF(VLOOKUP($A19,TableHandbook[],4,FALSE)=0,"",VLOOKUP($A19,TableHandbook[],4,FALSE)),"")</f>
        <v/>
      </c>
      <c r="E19" s="144" t="str">
        <f>IF(OR(A19="",A19="--"),"",VLOOKUP($D$7,TableStudyPeriods[],5,FALSE))</f>
        <v/>
      </c>
      <c r="F19" s="146" t="str">
        <f>IFERROR(IF(VLOOKUP($A19,TableHandbook[],6,FALSE)=0,"",VLOOKUP($A19,TableHandbook[],6,FALSE)),"")</f>
        <v/>
      </c>
      <c r="G19" s="151" t="str">
        <f>IFERROR(IF(VLOOKUP($A19,TableHandbook[],5,FALSE)=0,"",VLOOKUP($A19,TableHandbook[],5,FALSE)),"")</f>
        <v/>
      </c>
      <c r="H19" s="152" t="str">
        <f>IFERROR(VLOOKUP($A19,TableHandbook[],H$2,FALSE),"")</f>
        <v/>
      </c>
      <c r="I19" s="153" t="str">
        <f>IFERROR(VLOOKUP($A19,TableHandbook[],I$2,FALSE),"")</f>
        <v/>
      </c>
      <c r="J19" s="152" t="str">
        <f>IFERROR(VLOOKUP($A19,TableHandbook[],J$2,FALSE),"")</f>
        <v/>
      </c>
      <c r="K19" s="153" t="str">
        <f>IFERROR(VLOOKUP($A19,TableHandbook[],K$2,FALSE),"")</f>
        <v/>
      </c>
      <c r="L19" s="152" t="str">
        <f>IFERROR(VLOOKUP($A19,TableHandbook[],L$2,FALSE),"")</f>
        <v/>
      </c>
      <c r="M19" s="153" t="str">
        <f>IFERROR(VLOOKUP($A19,TableHandbook[],M$2,FALSE),"")</f>
        <v/>
      </c>
      <c r="N19" s="152" t="str">
        <f>IFERROR(VLOOKUP($A19,TableHandbook[],N$2,FALSE),"")</f>
        <v/>
      </c>
      <c r="O19" s="153" t="str">
        <f>IFERROR(VLOOKUP($A19,TableHandbook[],O$2,FALSE),"")</f>
        <v/>
      </c>
      <c r="P19" s="24"/>
      <c r="Q19" s="149">
        <v>8</v>
      </c>
      <c r="R19" s="154"/>
      <c r="S19" s="154"/>
      <c r="AA19" s="15"/>
    </row>
    <row r="20" spans="1:27" s="16" customFormat="1" ht="21" customHeight="1" x14ac:dyDescent="0.15">
      <c r="A20" s="143" t="str">
        <f>IFERROR(IF(HLOOKUP($P$6,RangeUnitsetsMCEDUC,Q20,FALSE)=0,"",HLOOKUP($P$6,RangeUnitsetsMCEDUC,Q20,FALSE)),"")</f>
        <v/>
      </c>
      <c r="B20" s="151" t="str">
        <f>IFERROR(IF(VLOOKUP($A20,TableHandbook[],2,FALSE)=0,"",VLOOKUP($A20,TableHandbook[],2,FALSE)),"")</f>
        <v/>
      </c>
      <c r="C20" s="151" t="str">
        <f>IFERROR(IF(VLOOKUP($A20,TableHandbook[],3,FALSE)=0,"",VLOOKUP($A20,TableHandbook[],3,FALSE)),"")</f>
        <v/>
      </c>
      <c r="D20" s="177" t="str">
        <f>IFERROR(IF(VLOOKUP($A20,TableHandbook[],4,FALSE)=0,"",VLOOKUP($A20,TableHandbook[],4,FALSE)),"")</f>
        <v/>
      </c>
      <c r="E20" s="151" t="str">
        <f>IF(OR(A20="",A20="-"),"",E19)</f>
        <v/>
      </c>
      <c r="F20" s="146" t="str">
        <f>IFERROR(IF(VLOOKUP($A20,TableHandbook[],6,FALSE)=0,"",VLOOKUP($A20,TableHandbook[],6,FALSE)),"")</f>
        <v/>
      </c>
      <c r="G20" s="151" t="str">
        <f>IFERROR(IF(VLOOKUP($A20,TableHandbook[],5,FALSE)=0,"",VLOOKUP($A20,TableHandbook[],5,FALSE)),"")</f>
        <v/>
      </c>
      <c r="H20" s="152" t="str">
        <f>IFERROR(VLOOKUP($A20,TableHandbook[],H$2,FALSE),"")</f>
        <v/>
      </c>
      <c r="I20" s="153" t="str">
        <f>IFERROR(VLOOKUP($A20,TableHandbook[],I$2,FALSE),"")</f>
        <v/>
      </c>
      <c r="J20" s="152" t="str">
        <f>IFERROR(VLOOKUP($A20,TableHandbook[],J$2,FALSE),"")</f>
        <v/>
      </c>
      <c r="K20" s="153" t="str">
        <f>IFERROR(VLOOKUP($A20,TableHandbook[],K$2,FALSE),"")</f>
        <v/>
      </c>
      <c r="L20" s="152" t="str">
        <f>IFERROR(VLOOKUP($A20,TableHandbook[],L$2,FALSE),"")</f>
        <v/>
      </c>
      <c r="M20" s="153" t="str">
        <f>IFERROR(VLOOKUP($A20,TableHandbook[],M$2,FALSE),"")</f>
        <v/>
      </c>
      <c r="N20" s="152" t="str">
        <f>IFERROR(VLOOKUP($A20,TableHandbook[],N$2,FALSE),"")</f>
        <v/>
      </c>
      <c r="O20" s="153" t="str">
        <f>IFERROR(VLOOKUP($A20,TableHandbook[],O$2,FALSE),"")</f>
        <v/>
      </c>
      <c r="P20" s="24"/>
      <c r="Q20" s="149">
        <v>9</v>
      </c>
      <c r="R20" s="154"/>
      <c r="S20" s="154"/>
      <c r="AA20" s="15"/>
    </row>
    <row r="21" spans="1:27" ht="16.5" customHeight="1" x14ac:dyDescent="0.25">
      <c r="A21" s="159"/>
      <c r="B21" s="159"/>
      <c r="C21" s="159"/>
      <c r="D21" s="160"/>
      <c r="E21" s="160"/>
      <c r="F21" s="161"/>
      <c r="G21" s="161"/>
      <c r="H21" s="161"/>
      <c r="I21" s="161"/>
      <c r="J21" s="161"/>
      <c r="K21" s="161"/>
      <c r="L21" s="161"/>
      <c r="M21" s="161"/>
      <c r="N21" s="161"/>
      <c r="O21" s="161"/>
      <c r="P21" s="161"/>
      <c r="Q21" s="88"/>
      <c r="AA21" s="10"/>
    </row>
    <row r="22" spans="1:27" s="20" customFormat="1" ht="20.25" x14ac:dyDescent="0.25">
      <c r="A22" s="248" t="s">
        <v>46</v>
      </c>
      <c r="B22" s="179"/>
      <c r="C22" s="179"/>
      <c r="D22" s="180"/>
      <c r="E22" s="181"/>
      <c r="F22" s="181"/>
      <c r="G22" s="181"/>
      <c r="H22" s="182" t="str">
        <f>H8</f>
        <v>2025 Availabilities</v>
      </c>
      <c r="I22" s="183"/>
      <c r="J22" s="183"/>
      <c r="K22" s="183"/>
      <c r="L22" s="183"/>
      <c r="M22" s="183"/>
      <c r="N22" s="184"/>
      <c r="O22" s="185"/>
      <c r="P22" s="186"/>
      <c r="Q22" s="88"/>
      <c r="AA22" s="19"/>
    </row>
    <row r="23" spans="1:27" ht="21" customHeight="1" x14ac:dyDescent="0.25">
      <c r="A23" s="133"/>
      <c r="B23" s="133"/>
      <c r="C23" s="133"/>
      <c r="D23" s="134" t="s">
        <v>3</v>
      </c>
      <c r="E23" s="140" t="s">
        <v>21</v>
      </c>
      <c r="F23" s="133" t="s">
        <v>45</v>
      </c>
      <c r="G23" s="133" t="s">
        <v>23</v>
      </c>
      <c r="H23" s="141" t="str">
        <f>H9</f>
        <v>SSP1 BEN</v>
      </c>
      <c r="I23" s="142" t="str">
        <f t="shared" ref="I23:P23" si="0">I9</f>
        <v>SSP1 FO</v>
      </c>
      <c r="J23" s="141" t="str">
        <f t="shared" si="0"/>
        <v>SSP2 BEN</v>
      </c>
      <c r="K23" s="142" t="str">
        <f t="shared" si="0"/>
        <v>SSP2 FO</v>
      </c>
      <c r="L23" s="141" t="str">
        <f t="shared" si="0"/>
        <v>SSP3 BEN</v>
      </c>
      <c r="M23" s="142" t="str">
        <f t="shared" si="0"/>
        <v>SSP3 FO</v>
      </c>
      <c r="N23" s="141" t="str">
        <f t="shared" si="0"/>
        <v>SSP4 BEN</v>
      </c>
      <c r="O23" s="142" t="str">
        <f t="shared" si="0"/>
        <v>SSP4 FO</v>
      </c>
      <c r="P23" s="133" t="str">
        <f t="shared" si="0"/>
        <v>Notes / Progress</v>
      </c>
      <c r="Q23" s="149"/>
      <c r="AA23" s="10"/>
    </row>
    <row r="24" spans="1:27" x14ac:dyDescent="0.25">
      <c r="A24" s="187" t="str">
        <f t="shared" ref="A24:A33" si="1">IFERROR(IF(HLOOKUP($P$6,RangeUnitsetsMCEDUC,Q24,FALSE)=0,"",HLOOKUP($P$6,RangeUnitsetsMCEDUC,Q24,FALSE)),"")</f>
        <v/>
      </c>
      <c r="B24" s="188" t="str">
        <f>IFERROR(IF(VLOOKUP($A24,TableHandbook[],2,FALSE)=0,"",VLOOKUP($A24,TableHandbook[],2,FALSE)),"")</f>
        <v/>
      </c>
      <c r="C24" s="189" t="str">
        <f>IFERROR(IF(VLOOKUP($A24,TableHandbook[],3,FALSE)=0,"",VLOOKUP($A24,TableHandbook[],3,FALSE)),"")</f>
        <v/>
      </c>
      <c r="D24" s="189" t="str">
        <f>IFERROR(IF(VLOOKUP($A24,TableHandbook[],4,FALSE)=0,"",VLOOKUP($A24,TableHandbook[],4,FALSE)),"")</f>
        <v/>
      </c>
      <c r="E24" s="190"/>
      <c r="F24" s="191" t="str">
        <f>IFERROR(IF(VLOOKUP($A24,TableHandbook[],6,FALSE)=0,"",VLOOKUP($A24,TableHandbook[],6,FALSE)),"")</f>
        <v/>
      </c>
      <c r="G24" s="191" t="str">
        <f>IFERROR(IF(VLOOKUP($A24,TableHandbook[],5,FALSE)=0,"",VLOOKUP($A24,TableHandbook[],5,FALSE)),"")</f>
        <v/>
      </c>
      <c r="H24" s="261" t="str">
        <f>IFERROR(VLOOKUP($A24,TableHandbook[],H$2,FALSE),"")</f>
        <v/>
      </c>
      <c r="I24" s="262" t="str">
        <f>IFERROR(VLOOKUP($A24,TableHandbook[],I$2,FALSE),"")</f>
        <v/>
      </c>
      <c r="J24" s="263" t="str">
        <f>IFERROR(VLOOKUP($A24,TableHandbook[],J$2,FALSE),"")</f>
        <v/>
      </c>
      <c r="K24" s="262" t="str">
        <f>IFERROR(VLOOKUP($A24,TableHandbook[],K$2,FALSE),"")</f>
        <v/>
      </c>
      <c r="L24" s="263" t="str">
        <f>IFERROR(VLOOKUP($A24,TableHandbook[],L$2,FALSE),"")</f>
        <v/>
      </c>
      <c r="M24" s="262" t="str">
        <f>IFERROR(VLOOKUP($A24,TableHandbook[],M$2,FALSE),"")</f>
        <v/>
      </c>
      <c r="N24" s="263" t="str">
        <f>IFERROR(VLOOKUP($A24,TableHandbook[],N$2,FALSE),"")</f>
        <v/>
      </c>
      <c r="O24" s="262" t="str">
        <f>IFERROR(VLOOKUP($A24,TableHandbook[],O$2,FALSE),"")</f>
        <v/>
      </c>
      <c r="P24" s="24"/>
      <c r="Q24" s="149">
        <v>10</v>
      </c>
      <c r="AA24" s="10"/>
    </row>
    <row r="25" spans="1:27" x14ac:dyDescent="0.25">
      <c r="A25" s="187" t="str">
        <f t="shared" si="1"/>
        <v/>
      </c>
      <c r="B25" s="188" t="str">
        <f>IFERROR(IF(VLOOKUP($A25,TableHandbook[],2,FALSE)=0,"",VLOOKUP($A25,TableHandbook[],2,FALSE)),"")</f>
        <v/>
      </c>
      <c r="C25" s="189" t="str">
        <f>IFERROR(IF(VLOOKUP($A25,TableHandbook[],3,FALSE)=0,"",VLOOKUP($A25,TableHandbook[],3,FALSE)),"")</f>
        <v/>
      </c>
      <c r="D25" s="189" t="str">
        <f>IFERROR(IF(VLOOKUP($A25,TableHandbook[],4,FALSE)=0,"",VLOOKUP($A25,TableHandbook[],4,FALSE)),"")</f>
        <v/>
      </c>
      <c r="E25" s="190"/>
      <c r="F25" s="191" t="str">
        <f>IFERROR(IF(VLOOKUP($A25,TableHandbook[],6,FALSE)=0,"",VLOOKUP($A25,TableHandbook[],6,FALSE)),"")</f>
        <v/>
      </c>
      <c r="G25" s="191" t="str">
        <f>IFERROR(IF(VLOOKUP($A25,TableHandbook[],5,FALSE)=0,"",VLOOKUP($A25,TableHandbook[],5,FALSE)),"")</f>
        <v/>
      </c>
      <c r="H25" s="264" t="str">
        <f>IFERROR(VLOOKUP($A25,TableHandbook[],H$2,FALSE),"")</f>
        <v/>
      </c>
      <c r="I25" s="265" t="str">
        <f>IFERROR(VLOOKUP($A25,TableHandbook[],I$2,FALSE),"")</f>
        <v/>
      </c>
      <c r="J25" s="266" t="str">
        <f>IFERROR(VLOOKUP($A25,TableHandbook[],J$2,FALSE),"")</f>
        <v/>
      </c>
      <c r="K25" s="265" t="str">
        <f>IFERROR(VLOOKUP($A25,TableHandbook[],K$2,FALSE),"")</f>
        <v/>
      </c>
      <c r="L25" s="266" t="str">
        <f>IFERROR(VLOOKUP($A25,TableHandbook[],L$2,FALSE),"")</f>
        <v/>
      </c>
      <c r="M25" s="265" t="str">
        <f>IFERROR(VLOOKUP($A25,TableHandbook[],M$2,FALSE),"")</f>
        <v/>
      </c>
      <c r="N25" s="266" t="str">
        <f>IFERROR(VLOOKUP($A25,TableHandbook[],N$2,FALSE),"")</f>
        <v/>
      </c>
      <c r="O25" s="265" t="str">
        <f>IFERROR(VLOOKUP($A25,TableHandbook[],O$2,FALSE),"")</f>
        <v/>
      </c>
      <c r="P25" s="24"/>
      <c r="Q25" s="149">
        <v>11</v>
      </c>
      <c r="AA25" s="10"/>
    </row>
    <row r="26" spans="1:27" x14ac:dyDescent="0.25">
      <c r="A26" s="187" t="str">
        <f t="shared" si="1"/>
        <v/>
      </c>
      <c r="B26" s="188" t="str">
        <f>IFERROR(IF(VLOOKUP($A26,TableHandbook[],2,FALSE)=0,"",VLOOKUP($A26,TableHandbook[],2,FALSE)),"")</f>
        <v/>
      </c>
      <c r="C26" s="189" t="str">
        <f>IFERROR(IF(VLOOKUP($A26,TableHandbook[],3,FALSE)=0,"",VLOOKUP($A26,TableHandbook[],3,FALSE)),"")</f>
        <v/>
      </c>
      <c r="D26" s="189" t="str">
        <f>IFERROR(IF(VLOOKUP($A26,TableHandbook[],4,FALSE)=0,"",VLOOKUP($A26,TableHandbook[],4,FALSE)),"")</f>
        <v/>
      </c>
      <c r="E26" s="190"/>
      <c r="F26" s="191" t="str">
        <f>IFERROR(IF(VLOOKUP($A26,TableHandbook[],6,FALSE)=0,"",VLOOKUP($A26,TableHandbook[],6,FALSE)),"")</f>
        <v/>
      </c>
      <c r="G26" s="191" t="str">
        <f>IFERROR(IF(VLOOKUP($A26,TableHandbook[],5,FALSE)=0,"",VLOOKUP($A26,TableHandbook[],5,FALSE)),"")</f>
        <v/>
      </c>
      <c r="H26" s="264" t="str">
        <f>IFERROR(VLOOKUP($A26,TableHandbook[],H$2,FALSE),"")</f>
        <v/>
      </c>
      <c r="I26" s="265" t="str">
        <f>IFERROR(VLOOKUP($A26,TableHandbook[],I$2,FALSE),"")</f>
        <v/>
      </c>
      <c r="J26" s="266" t="str">
        <f>IFERROR(VLOOKUP($A26,TableHandbook[],J$2,FALSE),"")</f>
        <v/>
      </c>
      <c r="K26" s="265" t="str">
        <f>IFERROR(VLOOKUP($A26,TableHandbook[],K$2,FALSE),"")</f>
        <v/>
      </c>
      <c r="L26" s="266" t="str">
        <f>IFERROR(VLOOKUP($A26,TableHandbook[],L$2,FALSE),"")</f>
        <v/>
      </c>
      <c r="M26" s="265" t="str">
        <f>IFERROR(VLOOKUP($A26,TableHandbook[],M$2,FALSE),"")</f>
        <v/>
      </c>
      <c r="N26" s="266" t="str">
        <f>IFERROR(VLOOKUP($A26,TableHandbook[],N$2,FALSE),"")</f>
        <v/>
      </c>
      <c r="O26" s="265" t="str">
        <f>IFERROR(VLOOKUP($A26,TableHandbook[],O$2,FALSE),"")</f>
        <v/>
      </c>
      <c r="P26" s="24"/>
      <c r="Q26" s="149">
        <v>12</v>
      </c>
      <c r="AA26" s="10"/>
    </row>
    <row r="27" spans="1:27" x14ac:dyDescent="0.25">
      <c r="A27" s="187" t="str">
        <f t="shared" si="1"/>
        <v/>
      </c>
      <c r="B27" s="188" t="str">
        <f>IFERROR(IF(VLOOKUP($A27,TableHandbook[],2,FALSE)=0,"",VLOOKUP($A27,TableHandbook[],2,FALSE)),"")</f>
        <v/>
      </c>
      <c r="C27" s="189" t="str">
        <f>IFERROR(IF(VLOOKUP($A27,TableHandbook[],3,FALSE)=0,"",VLOOKUP($A27,TableHandbook[],3,FALSE)),"")</f>
        <v/>
      </c>
      <c r="D27" s="189" t="str">
        <f>IFERROR(IF(VLOOKUP($A27,TableHandbook[],4,FALSE)=0,"",VLOOKUP($A27,TableHandbook[],4,FALSE)),"")</f>
        <v/>
      </c>
      <c r="E27" s="190"/>
      <c r="F27" s="191" t="str">
        <f>IFERROR(IF(VLOOKUP($A27,TableHandbook[],6,FALSE)=0,"",VLOOKUP($A27,TableHandbook[],6,FALSE)),"")</f>
        <v/>
      </c>
      <c r="G27" s="191" t="str">
        <f>IFERROR(IF(VLOOKUP($A27,TableHandbook[],5,FALSE)=0,"",VLOOKUP($A27,TableHandbook[],5,FALSE)),"")</f>
        <v/>
      </c>
      <c r="H27" s="264" t="str">
        <f>IFERROR(VLOOKUP($A27,TableHandbook[],H$2,FALSE),"")</f>
        <v/>
      </c>
      <c r="I27" s="265" t="str">
        <f>IFERROR(VLOOKUP($A27,TableHandbook[],I$2,FALSE),"")</f>
        <v/>
      </c>
      <c r="J27" s="266" t="str">
        <f>IFERROR(VLOOKUP($A27,TableHandbook[],J$2,FALSE),"")</f>
        <v/>
      </c>
      <c r="K27" s="265" t="str">
        <f>IFERROR(VLOOKUP($A27,TableHandbook[],K$2,FALSE),"")</f>
        <v/>
      </c>
      <c r="L27" s="266" t="str">
        <f>IFERROR(VLOOKUP($A27,TableHandbook[],L$2,FALSE),"")</f>
        <v/>
      </c>
      <c r="M27" s="265" t="str">
        <f>IFERROR(VLOOKUP($A27,TableHandbook[],M$2,FALSE),"")</f>
        <v/>
      </c>
      <c r="N27" s="266" t="str">
        <f>IFERROR(VLOOKUP($A27,TableHandbook[],N$2,FALSE),"")</f>
        <v/>
      </c>
      <c r="O27" s="265" t="str">
        <f>IFERROR(VLOOKUP($A27,TableHandbook[],O$2,FALSE),"")</f>
        <v/>
      </c>
      <c r="P27" s="24"/>
      <c r="Q27" s="149">
        <v>13</v>
      </c>
      <c r="AA27" s="10"/>
    </row>
    <row r="28" spans="1:27" x14ac:dyDescent="0.25">
      <c r="A28" s="187" t="str">
        <f t="shared" si="1"/>
        <v/>
      </c>
      <c r="B28" s="188" t="str">
        <f>IFERROR(IF(VLOOKUP($A28,TableHandbook[],2,FALSE)=0,"",VLOOKUP($A28,TableHandbook[],2,FALSE)),"")</f>
        <v/>
      </c>
      <c r="C28" s="189" t="str">
        <f>IFERROR(IF(VLOOKUP($A28,TableHandbook[],3,FALSE)=0,"",VLOOKUP($A28,TableHandbook[],3,FALSE)),"")</f>
        <v/>
      </c>
      <c r="D28" s="189" t="str">
        <f>IFERROR(IF(VLOOKUP($A28,TableHandbook[],4,FALSE)=0,"",VLOOKUP($A28,TableHandbook[],4,FALSE)),"")</f>
        <v/>
      </c>
      <c r="E28" s="190"/>
      <c r="F28" s="191" t="str">
        <f>IFERROR(IF(VLOOKUP($A28,TableHandbook[],6,FALSE)=0,"",VLOOKUP($A28,TableHandbook[],6,FALSE)),"")</f>
        <v/>
      </c>
      <c r="G28" s="191" t="str">
        <f>IFERROR(IF(VLOOKUP($A28,TableHandbook[],5,FALSE)=0,"",VLOOKUP($A28,TableHandbook[],5,FALSE)),"")</f>
        <v/>
      </c>
      <c r="H28" s="261" t="str">
        <f>IFERROR(VLOOKUP($A28,TableHandbook[],H$2,FALSE),"")</f>
        <v/>
      </c>
      <c r="I28" s="262" t="str">
        <f>IFERROR(VLOOKUP($A28,TableHandbook[],I$2,FALSE),"")</f>
        <v/>
      </c>
      <c r="J28" s="263" t="str">
        <f>IFERROR(VLOOKUP($A28,TableHandbook[],J$2,FALSE),"")</f>
        <v/>
      </c>
      <c r="K28" s="262" t="str">
        <f>IFERROR(VLOOKUP($A28,TableHandbook[],K$2,FALSE),"")</f>
        <v/>
      </c>
      <c r="L28" s="263" t="str">
        <f>IFERROR(VLOOKUP($A28,TableHandbook[],L$2,FALSE),"")</f>
        <v/>
      </c>
      <c r="M28" s="262" t="str">
        <f>IFERROR(VLOOKUP($A28,TableHandbook[],M$2,FALSE),"")</f>
        <v/>
      </c>
      <c r="N28" s="263" t="str">
        <f>IFERROR(VLOOKUP($A28,TableHandbook[],N$2,FALSE),"")</f>
        <v/>
      </c>
      <c r="O28" s="262" t="str">
        <f>IFERROR(VLOOKUP($A28,TableHandbook[],O$2,FALSE),"")</f>
        <v/>
      </c>
      <c r="P28" s="24"/>
      <c r="Q28" s="149">
        <v>14</v>
      </c>
      <c r="AA28" s="10"/>
    </row>
    <row r="29" spans="1:27" x14ac:dyDescent="0.25">
      <c r="A29" s="187" t="str">
        <f t="shared" si="1"/>
        <v/>
      </c>
      <c r="B29" s="188" t="str">
        <f>IFERROR(IF(VLOOKUP($A29,TableHandbook[],2,FALSE)=0,"",VLOOKUP($A29,TableHandbook[],2,FALSE)),"")</f>
        <v/>
      </c>
      <c r="C29" s="189" t="str">
        <f>IFERROR(IF(VLOOKUP($A29,TableHandbook[],3,FALSE)=0,"",VLOOKUP($A29,TableHandbook[],3,FALSE)),"")</f>
        <v/>
      </c>
      <c r="D29" s="189" t="str">
        <f>IFERROR(IF(VLOOKUP($A29,TableHandbook[],4,FALSE)=0,"",VLOOKUP($A29,TableHandbook[],4,FALSE)),"")</f>
        <v/>
      </c>
      <c r="E29" s="190"/>
      <c r="F29" s="191" t="str">
        <f>IFERROR(IF(VLOOKUP($A29,TableHandbook[],6,FALSE)=0,"",VLOOKUP($A29,TableHandbook[],6,FALSE)),"")</f>
        <v/>
      </c>
      <c r="G29" s="191" t="str">
        <f>IFERROR(IF(VLOOKUP($A29,TableHandbook[],5,FALSE)=0,"",VLOOKUP($A29,TableHandbook[],5,FALSE)),"")</f>
        <v/>
      </c>
      <c r="H29" s="261" t="str">
        <f>IFERROR(VLOOKUP($A29,TableHandbook[],H$2,FALSE),"")</f>
        <v/>
      </c>
      <c r="I29" s="262" t="str">
        <f>IFERROR(VLOOKUP($A29,TableHandbook[],I$2,FALSE),"")</f>
        <v/>
      </c>
      <c r="J29" s="263" t="str">
        <f>IFERROR(VLOOKUP($A29,TableHandbook[],J$2,FALSE),"")</f>
        <v/>
      </c>
      <c r="K29" s="262" t="str">
        <f>IFERROR(VLOOKUP($A29,TableHandbook[],K$2,FALSE),"")</f>
        <v/>
      </c>
      <c r="L29" s="263" t="str">
        <f>IFERROR(VLOOKUP($A29,TableHandbook[],L$2,FALSE),"")</f>
        <v/>
      </c>
      <c r="M29" s="262" t="str">
        <f>IFERROR(VLOOKUP($A29,TableHandbook[],M$2,FALSE),"")</f>
        <v/>
      </c>
      <c r="N29" s="263" t="str">
        <f>IFERROR(VLOOKUP($A29,TableHandbook[],N$2,FALSE),"")</f>
        <v/>
      </c>
      <c r="O29" s="262" t="str">
        <f>IFERROR(VLOOKUP($A29,TableHandbook[],O$2,FALSE),"")</f>
        <v/>
      </c>
      <c r="P29" s="24"/>
      <c r="Q29" s="149">
        <v>15</v>
      </c>
      <c r="AA29" s="10"/>
    </row>
    <row r="30" spans="1:27" x14ac:dyDescent="0.25">
      <c r="A30" s="187" t="str">
        <f t="shared" si="1"/>
        <v/>
      </c>
      <c r="B30" s="188" t="str">
        <f>IFERROR(IF(VLOOKUP($A30,TableHandbook[],2,FALSE)=0,"",VLOOKUP($A30,TableHandbook[],2,FALSE)),"")</f>
        <v/>
      </c>
      <c r="C30" s="189" t="str">
        <f>IFERROR(IF(VLOOKUP($A30,TableHandbook[],3,FALSE)=0,"",VLOOKUP($A30,TableHandbook[],3,FALSE)),"")</f>
        <v/>
      </c>
      <c r="D30" s="189" t="str">
        <f>IFERROR(IF(VLOOKUP($A30,TableHandbook[],4,FALSE)=0,"",VLOOKUP($A30,TableHandbook[],4,FALSE)),"")</f>
        <v/>
      </c>
      <c r="E30" s="190"/>
      <c r="F30" s="191" t="str">
        <f>IFERROR(IF(VLOOKUP($A30,TableHandbook[],6,FALSE)=0,"",VLOOKUP($A30,TableHandbook[],6,FALSE)),"")</f>
        <v/>
      </c>
      <c r="G30" s="191" t="str">
        <f>IFERROR(IF(VLOOKUP($A30,TableHandbook[],5,FALSE)=0,"",VLOOKUP($A30,TableHandbook[],5,FALSE)),"")</f>
        <v/>
      </c>
      <c r="H30" s="261" t="str">
        <f>IFERROR(VLOOKUP($A30,TableHandbook[],H$2,FALSE),"")</f>
        <v/>
      </c>
      <c r="I30" s="262" t="str">
        <f>IFERROR(VLOOKUP($A30,TableHandbook[],I$2,FALSE),"")</f>
        <v/>
      </c>
      <c r="J30" s="263" t="str">
        <f>IFERROR(VLOOKUP($A30,TableHandbook[],J$2,FALSE),"")</f>
        <v/>
      </c>
      <c r="K30" s="262" t="str">
        <f>IFERROR(VLOOKUP($A30,TableHandbook[],K$2,FALSE),"")</f>
        <v/>
      </c>
      <c r="L30" s="263" t="str">
        <f>IFERROR(VLOOKUP($A30,TableHandbook[],L$2,FALSE),"")</f>
        <v/>
      </c>
      <c r="M30" s="262" t="str">
        <f>IFERROR(VLOOKUP($A30,TableHandbook[],M$2,FALSE),"")</f>
        <v/>
      </c>
      <c r="N30" s="263" t="str">
        <f>IFERROR(VLOOKUP($A30,TableHandbook[],N$2,FALSE),"")</f>
        <v/>
      </c>
      <c r="O30" s="262" t="str">
        <f>IFERROR(VLOOKUP($A30,TableHandbook[],O$2,FALSE),"")</f>
        <v/>
      </c>
      <c r="P30" s="24"/>
      <c r="Q30" s="149">
        <v>16</v>
      </c>
      <c r="AA30" s="10"/>
    </row>
    <row r="31" spans="1:27" x14ac:dyDescent="0.25">
      <c r="A31" s="187" t="str">
        <f t="shared" ref="A31" si="2">IFERROR(IF(HLOOKUP($P$6,RangeUnitsetsMCEDUC,Q31,FALSE)=0,"",HLOOKUP($P$6,RangeUnitsetsMCEDUC,Q31,FALSE)),"")</f>
        <v/>
      </c>
      <c r="B31" s="188" t="str">
        <f>IFERROR(IF(VLOOKUP($A31,TableHandbook[],2,FALSE)=0,"",VLOOKUP($A31,TableHandbook[],2,FALSE)),"")</f>
        <v/>
      </c>
      <c r="C31" s="189" t="str">
        <f>IFERROR(IF(VLOOKUP($A31,TableHandbook[],3,FALSE)=0,"",VLOOKUP($A31,TableHandbook[],3,FALSE)),"")</f>
        <v/>
      </c>
      <c r="D31" s="189" t="str">
        <f>IFERROR(IF(VLOOKUP($A31,TableHandbook[],4,FALSE)=0,"",VLOOKUP($A31,TableHandbook[],4,FALSE)),"")</f>
        <v/>
      </c>
      <c r="E31" s="190"/>
      <c r="F31" s="191" t="str">
        <f>IFERROR(IF(VLOOKUP($A31,TableHandbook[],6,FALSE)=0,"",VLOOKUP($A31,TableHandbook[],6,FALSE)),"")</f>
        <v/>
      </c>
      <c r="G31" s="191" t="str">
        <f>IFERROR(IF(VLOOKUP($A31,TableHandbook[],5,FALSE)=0,"",VLOOKUP($A31,TableHandbook[],5,FALSE)),"")</f>
        <v/>
      </c>
      <c r="H31" s="261" t="str">
        <f>IFERROR(VLOOKUP($A31,TableHandbook[],H$2,FALSE),"")</f>
        <v/>
      </c>
      <c r="I31" s="262" t="str">
        <f>IFERROR(VLOOKUP($A31,TableHandbook[],I$2,FALSE),"")</f>
        <v/>
      </c>
      <c r="J31" s="263" t="str">
        <f>IFERROR(VLOOKUP($A31,TableHandbook[],J$2,FALSE),"")</f>
        <v/>
      </c>
      <c r="K31" s="262" t="str">
        <f>IFERROR(VLOOKUP($A31,TableHandbook[],K$2,FALSE),"")</f>
        <v/>
      </c>
      <c r="L31" s="263" t="str">
        <f>IFERROR(VLOOKUP($A31,TableHandbook[],L$2,FALSE),"")</f>
        <v/>
      </c>
      <c r="M31" s="262" t="str">
        <f>IFERROR(VLOOKUP($A31,TableHandbook[],M$2,FALSE),"")</f>
        <v/>
      </c>
      <c r="N31" s="263" t="str">
        <f>IFERROR(VLOOKUP($A31,TableHandbook[],N$2,FALSE),"")</f>
        <v/>
      </c>
      <c r="O31" s="262" t="str">
        <f>IFERROR(VLOOKUP($A31,TableHandbook[],O$2,FALSE),"")</f>
        <v/>
      </c>
      <c r="P31" s="24"/>
      <c r="Q31" s="149">
        <v>17</v>
      </c>
      <c r="AA31" s="10"/>
    </row>
    <row r="32" spans="1:27" x14ac:dyDescent="0.25">
      <c r="A32" s="187" t="str">
        <f t="shared" si="1"/>
        <v/>
      </c>
      <c r="B32" s="188" t="str">
        <f>IFERROR(IF(VLOOKUP($A32,TableHandbook[],2,FALSE)=0,"",VLOOKUP($A32,TableHandbook[],2,FALSE)),"")</f>
        <v/>
      </c>
      <c r="C32" s="189" t="str">
        <f>IFERROR(IF(VLOOKUP($A32,TableHandbook[],3,FALSE)=0,"",VLOOKUP($A32,TableHandbook[],3,FALSE)),"")</f>
        <v/>
      </c>
      <c r="D32" s="189" t="str">
        <f>IFERROR(IF(VLOOKUP($A32,TableHandbook[],4,FALSE)=0,"",VLOOKUP($A32,TableHandbook[],4,FALSE)),"")</f>
        <v/>
      </c>
      <c r="E32" s="190"/>
      <c r="F32" s="191" t="str">
        <f>IFERROR(IF(VLOOKUP($A32,TableHandbook[],6,FALSE)=0,"",VLOOKUP($A32,TableHandbook[],6,FALSE)),"")</f>
        <v/>
      </c>
      <c r="G32" s="191" t="str">
        <f>IFERROR(IF(VLOOKUP($A32,TableHandbook[],5,FALSE)=0,"",VLOOKUP($A32,TableHandbook[],5,FALSE)),"")</f>
        <v/>
      </c>
      <c r="H32" s="264" t="str">
        <f>IFERROR(VLOOKUP($A32,TableHandbook[],H$2,FALSE),"")</f>
        <v/>
      </c>
      <c r="I32" s="265" t="str">
        <f>IFERROR(VLOOKUP($A32,TableHandbook[],I$2,FALSE),"")</f>
        <v/>
      </c>
      <c r="J32" s="266" t="str">
        <f>IFERROR(VLOOKUP($A32,TableHandbook[],J$2,FALSE),"")</f>
        <v/>
      </c>
      <c r="K32" s="265" t="str">
        <f>IFERROR(VLOOKUP($A32,TableHandbook[],K$2,FALSE),"")</f>
        <v/>
      </c>
      <c r="L32" s="266" t="str">
        <f>IFERROR(VLOOKUP($A32,TableHandbook[],L$2,FALSE),"")</f>
        <v/>
      </c>
      <c r="M32" s="265" t="str">
        <f>IFERROR(VLOOKUP($A32,TableHandbook[],M$2,FALSE),"")</f>
        <v/>
      </c>
      <c r="N32" s="266" t="str">
        <f>IFERROR(VLOOKUP($A32,TableHandbook[],N$2,FALSE),"")</f>
        <v/>
      </c>
      <c r="O32" s="265" t="str">
        <f>IFERROR(VLOOKUP($A32,TableHandbook[],O$2,FALSE),"")</f>
        <v/>
      </c>
      <c r="P32" s="24"/>
      <c r="Q32" s="149">
        <v>18</v>
      </c>
      <c r="AA32" s="10"/>
    </row>
    <row r="33" spans="1:27" x14ac:dyDescent="0.25">
      <c r="A33" s="187" t="str">
        <f t="shared" si="1"/>
        <v/>
      </c>
      <c r="B33" s="188" t="str">
        <f>IFERROR(IF(VLOOKUP($A33,TableHandbook[],2,FALSE)=0,"",VLOOKUP($A33,TableHandbook[],2,FALSE)),"")</f>
        <v/>
      </c>
      <c r="C33" s="189" t="str">
        <f>IFERROR(IF(VLOOKUP($A33,TableHandbook[],3,FALSE)=0,"",VLOOKUP($A33,TableHandbook[],3,FALSE)),"")</f>
        <v/>
      </c>
      <c r="D33" s="189" t="str">
        <f>IFERROR(IF(VLOOKUP($A33,TableHandbook[],4,FALSE)=0,"",VLOOKUP($A33,TableHandbook[],4,FALSE)),"")</f>
        <v/>
      </c>
      <c r="E33" s="190"/>
      <c r="F33" s="191" t="str">
        <f>IFERROR(IF(VLOOKUP($A33,TableHandbook[],6,FALSE)=0,"",VLOOKUP($A33,TableHandbook[],6,FALSE)),"")</f>
        <v/>
      </c>
      <c r="G33" s="191" t="str">
        <f>IFERROR(IF(VLOOKUP($A33,TableHandbook[],5,FALSE)=0,"",VLOOKUP($A33,TableHandbook[],5,FALSE)),"")</f>
        <v/>
      </c>
      <c r="H33" s="264" t="str">
        <f>IFERROR(VLOOKUP($A33,TableHandbook[],H$2,FALSE),"")</f>
        <v/>
      </c>
      <c r="I33" s="265" t="str">
        <f>IFERROR(VLOOKUP($A33,TableHandbook[],I$2,FALSE),"")</f>
        <v/>
      </c>
      <c r="J33" s="266" t="str">
        <f>IFERROR(VLOOKUP($A33,TableHandbook[],J$2,FALSE),"")</f>
        <v/>
      </c>
      <c r="K33" s="265" t="str">
        <f>IFERROR(VLOOKUP($A33,TableHandbook[],K$2,FALSE),"")</f>
        <v/>
      </c>
      <c r="L33" s="266" t="str">
        <f>IFERROR(VLOOKUP($A33,TableHandbook[],L$2,FALSE),"")</f>
        <v/>
      </c>
      <c r="M33" s="265" t="str">
        <f>IFERROR(VLOOKUP($A33,TableHandbook[],M$2,FALSE),"")</f>
        <v/>
      </c>
      <c r="N33" s="266" t="str">
        <f>IFERROR(VLOOKUP($A33,TableHandbook[],N$2,FALSE),"")</f>
        <v/>
      </c>
      <c r="O33" s="265" t="str">
        <f>IFERROR(VLOOKUP($A33,TableHandbook[],O$2,FALSE),"")</f>
        <v/>
      </c>
      <c r="P33" s="24"/>
      <c r="Q33" s="149">
        <v>19</v>
      </c>
      <c r="AA33" s="10"/>
    </row>
    <row r="34" spans="1:27" ht="15" customHeight="1" x14ac:dyDescent="0.25">
      <c r="A34" s="192"/>
      <c r="B34" s="192"/>
      <c r="C34" s="193"/>
      <c r="D34" s="193"/>
      <c r="E34" s="194"/>
      <c r="F34" s="195"/>
      <c r="G34" s="195"/>
      <c r="H34" s="196"/>
      <c r="I34" s="196"/>
      <c r="J34" s="196"/>
      <c r="K34" s="196"/>
      <c r="L34" s="196"/>
      <c r="M34" s="196"/>
      <c r="N34" s="196"/>
      <c r="O34" s="196"/>
      <c r="P34" s="197"/>
      <c r="Q34" s="149"/>
      <c r="AA34" s="10"/>
    </row>
    <row r="35" spans="1:27" s="10" customFormat="1" ht="18" x14ac:dyDescent="0.25">
      <c r="A35" s="198" t="s">
        <v>34</v>
      </c>
      <c r="B35" s="198"/>
      <c r="C35" s="198"/>
      <c r="D35" s="198"/>
      <c r="E35" s="198"/>
      <c r="F35" s="198"/>
      <c r="G35" s="198"/>
      <c r="H35" s="198"/>
      <c r="I35" s="198"/>
      <c r="J35" s="198"/>
      <c r="K35" s="198"/>
      <c r="L35" s="198"/>
      <c r="M35" s="198"/>
      <c r="N35" s="198"/>
      <c r="O35" s="198"/>
      <c r="P35" s="198"/>
      <c r="Q35" s="88"/>
      <c r="R35" s="8"/>
      <c r="S35" s="8"/>
      <c r="T35" s="8"/>
      <c r="U35" s="8"/>
      <c r="V35" s="8"/>
      <c r="W35" s="8"/>
      <c r="X35" s="8"/>
      <c r="Y35" s="8"/>
      <c r="Z35" s="8"/>
    </row>
    <row r="36" spans="1:27" s="18" customFormat="1" ht="17.25" x14ac:dyDescent="0.2">
      <c r="A36" s="66" t="s">
        <v>35</v>
      </c>
      <c r="B36" s="66"/>
      <c r="C36" s="66"/>
      <c r="D36" s="67"/>
      <c r="E36" s="67"/>
      <c r="F36" s="67"/>
      <c r="G36" s="67"/>
      <c r="H36" s="67"/>
      <c r="I36" s="67"/>
      <c r="J36" s="67"/>
      <c r="K36" s="67"/>
      <c r="L36" s="67"/>
      <c r="M36" s="67"/>
      <c r="N36" s="67"/>
      <c r="O36" s="67"/>
      <c r="P36" s="67"/>
      <c r="Q36" s="162"/>
      <c r="R36" s="162"/>
      <c r="S36" s="162"/>
      <c r="AA36" s="17"/>
    </row>
    <row r="37" spans="1:27" x14ac:dyDescent="0.25">
      <c r="A37" s="163" t="s">
        <v>36</v>
      </c>
      <c r="B37" s="163"/>
      <c r="C37" s="163"/>
      <c r="D37" s="163"/>
      <c r="E37" s="164"/>
      <c r="F37" s="161"/>
      <c r="G37" s="165"/>
      <c r="H37" s="165"/>
      <c r="I37" s="165"/>
      <c r="J37" s="165"/>
      <c r="K37" s="165"/>
      <c r="L37" s="165"/>
      <c r="M37" s="165"/>
      <c r="N37" s="165"/>
      <c r="O37" s="165"/>
      <c r="P37" s="165" t="s">
        <v>37</v>
      </c>
    </row>
  </sheetData>
  <sheetProtection formatCells="0"/>
  <mergeCells count="1">
    <mergeCell ref="A3:D3"/>
  </mergeCells>
  <conditionalFormatting sqref="A10:P20 A24:P33">
    <cfRule type="expression" dxfId="112" priority="2">
      <formula>$A10=""</formula>
    </cfRule>
  </conditionalFormatting>
  <conditionalFormatting sqref="D5:D7">
    <cfRule type="containsText" dxfId="111" priority="7" operator="containsText" text="Choose">
      <formula>NOT(ISERROR(SEARCH("Choose",D5)))</formula>
    </cfRule>
  </conditionalFormatting>
  <conditionalFormatting sqref="H10:O20">
    <cfRule type="expression" dxfId="110" priority="1">
      <formula>$E10=LEFT(H$9,4)</formula>
    </cfRule>
  </conditionalFormatting>
  <dataValidations count="1">
    <dataValidation type="list" allowBlank="1" showInputMessage="1" showErrorMessage="1" sqref="P15 P12 P18" xr:uid="{00000000-0002-0000-0300-000000000000}"/>
  </dataValidations>
  <hyperlinks>
    <hyperlink ref="A36:P36"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86"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Unitsets!$A$35:$A$37</xm:f>
          </x14:formula1>
          <xm:sqref>D7</xm:sqref>
        </x14:dataValidation>
        <x14:dataValidation type="list" allowBlank="1" showInputMessage="1" showErrorMessage="1" xr:uid="{00000000-0002-0000-0300-000002000000}">
          <x14:formula1>
            <xm:f>Unitsets!$A$21:$A$25</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68273-A796-4F47-8433-4D7D02D5FA14}">
  <sheetPr>
    <tabColor theme="9" tint="0.59999389629810485"/>
    <pageSetUpPr fitToPage="1"/>
  </sheetPr>
  <dimension ref="A1:AA35"/>
  <sheetViews>
    <sheetView showGridLines="0" topLeftCell="A3" workbookViewId="0">
      <selection activeCell="D7" sqref="D7"/>
    </sheetView>
  </sheetViews>
  <sheetFormatPr defaultColWidth="9" defaultRowHeight="15" x14ac:dyDescent="0.25"/>
  <cols>
    <col min="1" max="1" width="12.5" style="9" customWidth="1"/>
    <col min="2" max="2" width="3.25" style="9" customWidth="1"/>
    <col min="3" max="3" width="3.875" style="9" customWidth="1"/>
    <col min="4" max="4" width="54.875" style="8" customWidth="1"/>
    <col min="5" max="5" width="7.25" style="8" customWidth="1"/>
    <col min="6" max="6" width="16.125" style="8" bestFit="1" customWidth="1"/>
    <col min="7" max="7" width="5.625" style="8" customWidth="1"/>
    <col min="8" max="15" width="3.875" style="8" customWidth="1"/>
    <col min="16" max="16" width="18.6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88" t="s">
        <v>8</v>
      </c>
      <c r="B3" s="288"/>
      <c r="C3" s="288"/>
      <c r="D3" s="288"/>
      <c r="E3" s="118"/>
      <c r="F3" s="118"/>
      <c r="G3" s="118"/>
      <c r="H3" s="118"/>
      <c r="I3" s="118"/>
      <c r="J3" s="118"/>
      <c r="K3" s="118"/>
      <c r="L3" s="118"/>
      <c r="M3" s="118"/>
      <c r="N3" s="118"/>
      <c r="O3" s="118"/>
      <c r="P3" s="118"/>
      <c r="Q3" s="88"/>
    </row>
    <row r="4" spans="1:20" ht="26.25" x14ac:dyDescent="0.25">
      <c r="A4" s="244"/>
      <c r="B4" s="244"/>
      <c r="C4" s="244"/>
      <c r="D4" s="245"/>
      <c r="E4" s="246" t="s">
        <v>9</v>
      </c>
      <c r="F4" s="244"/>
      <c r="G4" s="247"/>
      <c r="H4" s="247"/>
      <c r="I4" s="247"/>
      <c r="J4" s="247"/>
      <c r="K4" s="247"/>
      <c r="L4" s="247"/>
      <c r="M4" s="247"/>
      <c r="N4" s="247"/>
      <c r="O4" s="247"/>
      <c r="P4" s="247"/>
      <c r="Q4" s="88"/>
    </row>
    <row r="5" spans="1:20" ht="19.5" customHeight="1" x14ac:dyDescent="0.25">
      <c r="A5" s="119"/>
      <c r="B5" s="119"/>
      <c r="C5" s="120" t="s">
        <v>10</v>
      </c>
      <c r="D5" s="125" t="s">
        <v>47</v>
      </c>
      <c r="E5" s="122"/>
      <c r="F5" s="120" t="s">
        <v>12</v>
      </c>
      <c r="G5" s="127" t="str">
        <f>IFERROR(CONCATENATE(VLOOKUP(D5,TableCourses[],2,FALSE)," ",VLOOKUP(D5,TableCourses[],3,FALSE)),"")</f>
        <v>GC-EDUC v.1</v>
      </c>
      <c r="H5" s="167"/>
      <c r="I5" s="122"/>
      <c r="J5" s="122"/>
      <c r="K5" s="122"/>
      <c r="L5" s="122"/>
      <c r="M5" s="122"/>
      <c r="N5" s="122"/>
      <c r="O5" s="122"/>
      <c r="P5" s="270"/>
      <c r="Q5" s="88"/>
    </row>
    <row r="6" spans="1:20" ht="19.5" customHeight="1" x14ac:dyDescent="0.25">
      <c r="A6" s="127"/>
      <c r="B6" s="128"/>
      <c r="C6" s="120" t="s">
        <v>509</v>
      </c>
      <c r="D6" s="129" t="s">
        <v>511</v>
      </c>
      <c r="E6" s="130"/>
      <c r="F6" s="120"/>
      <c r="G6" s="285" t="e">
        <f>VLOOKUP(D6,TableGCEDUCFocus[],2,FALSE)</f>
        <v>#N/A</v>
      </c>
      <c r="H6" s="131"/>
      <c r="I6" s="131"/>
      <c r="J6" s="131"/>
      <c r="K6" s="131"/>
      <c r="L6" s="131"/>
      <c r="M6" s="131"/>
      <c r="N6" s="131"/>
      <c r="O6" s="131"/>
      <c r="P6" s="169" t="e">
        <f>CONCATENATE(VLOOKUP(D6,TableGCEDUCFocus[],2,FALSE),VLOOKUP(D7,TableStudyPeriods[],2,FALSE))</f>
        <v>#N/A</v>
      </c>
      <c r="Q6" s="88"/>
    </row>
    <row r="7" spans="1:20" ht="19.5" customHeight="1" x14ac:dyDescent="0.25">
      <c r="A7" s="127"/>
      <c r="B7" s="128"/>
      <c r="C7" s="120" t="s">
        <v>16</v>
      </c>
      <c r="D7" s="129" t="s">
        <v>41</v>
      </c>
      <c r="E7" s="130"/>
      <c r="F7" s="120" t="s">
        <v>18</v>
      </c>
      <c r="G7" s="122" t="str">
        <f>IFERROR(VLOOKUP($D$5,TableCourses[],7,FALSE),"")</f>
        <v>100 credit points required</v>
      </c>
      <c r="H7" s="131"/>
      <c r="I7" s="131"/>
      <c r="J7" s="131"/>
      <c r="K7" s="131"/>
      <c r="L7" s="131"/>
      <c r="M7" s="131"/>
      <c r="N7" s="131"/>
      <c r="O7" s="131"/>
      <c r="P7" s="270"/>
      <c r="Q7" s="88"/>
    </row>
    <row r="8" spans="1:20" ht="63" customHeight="1" x14ac:dyDescent="0.25">
      <c r="A8" s="273" t="s">
        <v>508</v>
      </c>
      <c r="B8" s="274" t="str">
        <f>IFERROR(VLOOKUP($G$6,RangeCourseNotesGradCerts,2,FALSE),"")</f>
        <v/>
      </c>
      <c r="C8" s="274"/>
      <c r="D8" s="276"/>
      <c r="E8" s="274"/>
      <c r="F8" s="274"/>
      <c r="G8" s="274"/>
      <c r="H8" s="275"/>
      <c r="I8" s="275"/>
      <c r="J8" s="275"/>
      <c r="K8" s="275"/>
      <c r="L8" s="275"/>
      <c r="M8" s="275"/>
      <c r="N8" s="275"/>
      <c r="O8" s="275"/>
      <c r="P8" s="277"/>
      <c r="Q8" s="88"/>
    </row>
    <row r="9" spans="1:20" s="12" customFormat="1" ht="14.1" customHeight="1" x14ac:dyDescent="0.25">
      <c r="A9" s="133"/>
      <c r="B9" s="133"/>
      <c r="C9" s="133"/>
      <c r="D9" s="134"/>
      <c r="E9" s="135"/>
      <c r="F9" s="133"/>
      <c r="G9" s="133"/>
      <c r="H9" s="136" t="s">
        <v>19</v>
      </c>
      <c r="I9" s="137"/>
      <c r="J9" s="137"/>
      <c r="K9" s="137"/>
      <c r="L9" s="137"/>
      <c r="M9" s="137"/>
      <c r="N9" s="137"/>
      <c r="O9" s="138"/>
      <c r="P9" s="135"/>
      <c r="Q9" s="157"/>
      <c r="R9" s="139"/>
      <c r="S9" s="139"/>
    </row>
    <row r="10" spans="1:20" s="12" customFormat="1" ht="31.5" x14ac:dyDescent="0.25">
      <c r="A10" s="133" t="s">
        <v>20</v>
      </c>
      <c r="B10" s="133"/>
      <c r="C10" s="133"/>
      <c r="D10" s="134" t="s">
        <v>3</v>
      </c>
      <c r="E10" s="140" t="s">
        <v>21</v>
      </c>
      <c r="F10" s="133" t="s">
        <v>22</v>
      </c>
      <c r="G10" s="133" t="s">
        <v>23</v>
      </c>
      <c r="H10" s="141" t="s">
        <v>24</v>
      </c>
      <c r="I10" s="142" t="s">
        <v>25</v>
      </c>
      <c r="J10" s="141" t="s">
        <v>26</v>
      </c>
      <c r="K10" s="142" t="s">
        <v>27</v>
      </c>
      <c r="L10" s="141" t="s">
        <v>28</v>
      </c>
      <c r="M10" s="142" t="s">
        <v>29</v>
      </c>
      <c r="N10" s="141" t="s">
        <v>30</v>
      </c>
      <c r="O10" s="142" t="s">
        <v>31</v>
      </c>
      <c r="P10" s="133" t="s">
        <v>32</v>
      </c>
      <c r="Q10" s="157"/>
      <c r="R10" s="139"/>
      <c r="S10" s="139"/>
    </row>
    <row r="11" spans="1:20" s="14" customFormat="1" ht="21" customHeight="1" x14ac:dyDescent="0.15">
      <c r="A11" s="143" t="str">
        <f>IFERROR(IF(HLOOKUP($P$6,RangeUnitsetsGradCerts,Q11,FALSE)=0,"",HLOOKUP($P$6,RangeUnitsetsGradCerts,Q11,FALSE)),"")</f>
        <v/>
      </c>
      <c r="B11" s="144" t="str">
        <f>IFERROR(IF(VLOOKUP($A11,TableHandbook[],2,FALSE)=0,"",VLOOKUP($A11,TableHandbook[],2,FALSE)),"")</f>
        <v/>
      </c>
      <c r="C11" s="144" t="str">
        <f>IFERROR(IF(VLOOKUP($A11,TableHandbook[],3,FALSE)=0,"",VLOOKUP($A11,TableHandbook[],3,FALSE)),"")</f>
        <v/>
      </c>
      <c r="D11" s="145" t="str">
        <f>IFERROR(IF(VLOOKUP($A11,TableHandbook[],4,FALSE)=0,"",VLOOKUP($A11,TableHandbook[],4,FALSE)),"")</f>
        <v/>
      </c>
      <c r="E11" s="144" t="str">
        <f>IF(OR(A11="",A11="--"),"",VLOOKUP($D$7,TableStudyPeriods[],2,FALSE))</f>
        <v/>
      </c>
      <c r="F11" s="146" t="str">
        <f>IFERROR(IF(VLOOKUP($A11,TableHandbook[],6,FALSE)=0,"",VLOOKUP($A11,TableHandbook[],6,FALSE)),"")</f>
        <v/>
      </c>
      <c r="G11" s="144" t="str">
        <f>IFERROR(IF(VLOOKUP($A11,TableHandbook[],5,FALSE)=0,"",VLOOKUP($A11,TableHandbook[],5,FALSE)),"")</f>
        <v/>
      </c>
      <c r="H11" s="147" t="str">
        <f>IFERROR(VLOOKUP($A11,TableHandbook[],H$2,FALSE),"")</f>
        <v/>
      </c>
      <c r="I11" s="148" t="str">
        <f>IFERROR(VLOOKUP($A11,TableHandbook[],I$2,FALSE),"")</f>
        <v/>
      </c>
      <c r="J11" s="147" t="str">
        <f>IFERROR(VLOOKUP($A11,TableHandbook[],J$2,FALSE),"")</f>
        <v/>
      </c>
      <c r="K11" s="148" t="str">
        <f>IFERROR(VLOOKUP($A11,TableHandbook[],K$2,FALSE),"")</f>
        <v/>
      </c>
      <c r="L11" s="147" t="str">
        <f>IFERROR(VLOOKUP($A11,TableHandbook[],L$2,FALSE),"")</f>
        <v/>
      </c>
      <c r="M11" s="148" t="str">
        <f>IFERROR(VLOOKUP($A11,TableHandbook[],M$2,FALSE),"")</f>
        <v/>
      </c>
      <c r="N11" s="147" t="str">
        <f>IFERROR(VLOOKUP($A11,TableHandbook[],N$2,FALSE),"")</f>
        <v/>
      </c>
      <c r="O11" s="148" t="str">
        <f>IFERROR(VLOOKUP($A11,TableHandbook[],O$2,FALSE),"")</f>
        <v/>
      </c>
      <c r="P11" s="23"/>
      <c r="Q11" s="149">
        <v>2</v>
      </c>
      <c r="R11" s="150"/>
      <c r="S11" s="150"/>
    </row>
    <row r="12" spans="1:20" s="14" customFormat="1" ht="21" customHeight="1" x14ac:dyDescent="0.15">
      <c r="A12" s="170" t="str">
        <f>IFERROR(IF(HLOOKUP($P$6,RangeUnitsetsGradCerts,Q12,FALSE)=0,"",HLOOKUP($P$6,RangeUnitsetsGradCerts,Q12,FALSE)),"")</f>
        <v/>
      </c>
      <c r="B12" s="144" t="str">
        <f>IFERROR(IF(VLOOKUP($A12,TableHandbook[],2,FALSE)=0,"",VLOOKUP($A12,TableHandbook[],2,FALSE)),"")</f>
        <v/>
      </c>
      <c r="C12" s="144" t="str">
        <f>IFERROR(IF(VLOOKUP($A12,TableHandbook[],3,FALSE)=0,"",VLOOKUP($A12,TableHandbook[],3,FALSE)),"")</f>
        <v/>
      </c>
      <c r="D12" s="145" t="str">
        <f>IFERROR(IF(VLOOKUP($A12,TableHandbook[],4,FALSE)=0,"",VLOOKUP($A12,TableHandbook[],4,FALSE)),"")</f>
        <v/>
      </c>
      <c r="E12" s="144" t="str">
        <f>IF(A12="","",E11)</f>
        <v/>
      </c>
      <c r="F12" s="146" t="str">
        <f>IFERROR(IF(VLOOKUP($A12,TableHandbook[],6,FALSE)=0,"",VLOOKUP($A12,TableHandbook[],6,FALSE)),"")</f>
        <v/>
      </c>
      <c r="G12" s="144" t="str">
        <f>IFERROR(IF(VLOOKUP($A12,TableHandbook[],5,FALSE)=0,"",VLOOKUP($A12,TableHandbook[],5,FALSE)),"")</f>
        <v/>
      </c>
      <c r="H12" s="147" t="str">
        <f>IFERROR(VLOOKUP($A12,TableHandbook[],H$2,FALSE),"")</f>
        <v/>
      </c>
      <c r="I12" s="148" t="str">
        <f>IFERROR(VLOOKUP($A12,TableHandbook[],I$2,FALSE),"")</f>
        <v/>
      </c>
      <c r="J12" s="147" t="str">
        <f>IFERROR(VLOOKUP($A12,TableHandbook[],J$2,FALSE),"")</f>
        <v/>
      </c>
      <c r="K12" s="148" t="str">
        <f>IFERROR(VLOOKUP($A12,TableHandbook[],K$2,FALSE),"")</f>
        <v/>
      </c>
      <c r="L12" s="147" t="str">
        <f>IFERROR(VLOOKUP($A12,TableHandbook[],L$2,FALSE),"")</f>
        <v/>
      </c>
      <c r="M12" s="148" t="str">
        <f>IFERROR(VLOOKUP($A12,TableHandbook[],M$2,FALSE),"")</f>
        <v/>
      </c>
      <c r="N12" s="147" t="str">
        <f>IFERROR(VLOOKUP($A12,TableHandbook[],N$2,FALSE),"")</f>
        <v/>
      </c>
      <c r="O12" s="148" t="str">
        <f>IFERROR(VLOOKUP($A12,TableHandbook[],O$2,FALSE),"")</f>
        <v/>
      </c>
      <c r="P12" s="23"/>
      <c r="Q12" s="149">
        <v>3</v>
      </c>
      <c r="R12" s="150"/>
      <c r="S12" s="150"/>
    </row>
    <row r="13" spans="1:20" s="14" customFormat="1" ht="6" customHeight="1" x14ac:dyDescent="0.15">
      <c r="A13" s="171"/>
      <c r="B13" s="172"/>
      <c r="C13" s="172"/>
      <c r="D13" s="173"/>
      <c r="E13" s="172"/>
      <c r="F13" s="174"/>
      <c r="G13" s="172"/>
      <c r="H13" s="175"/>
      <c r="I13" s="176"/>
      <c r="J13" s="175"/>
      <c r="K13" s="176"/>
      <c r="L13" s="175"/>
      <c r="M13" s="176"/>
      <c r="N13" s="175"/>
      <c r="O13" s="176"/>
      <c r="P13" s="106"/>
      <c r="Q13" s="149"/>
      <c r="R13" s="150"/>
      <c r="S13" s="150"/>
      <c r="T13" s="150"/>
    </row>
    <row r="14" spans="1:20" s="14" customFormat="1" ht="21" customHeight="1" x14ac:dyDescent="0.15">
      <c r="A14" s="143" t="str">
        <f>IFERROR(IF(HLOOKUP($P$6,RangeUnitsetsGradCerts,Q14,FALSE)=0,"",HLOOKUP($P$6,RangeUnitsetsGradCerts,Q14,FALSE)),"")</f>
        <v/>
      </c>
      <c r="B14" s="144" t="str">
        <f>IFERROR(IF(VLOOKUP($A14,TableHandbook[],2,FALSE)=0,"",VLOOKUP($A14,TableHandbook[],2,FALSE)),"")</f>
        <v/>
      </c>
      <c r="C14" s="144" t="str">
        <f>IFERROR(IF(VLOOKUP($A14,TableHandbook[],3,FALSE)=0,"",VLOOKUP($A14,TableHandbook[],3,FALSE)),"")</f>
        <v/>
      </c>
      <c r="D14" s="145" t="str">
        <f>IFERROR(IF(VLOOKUP($A14,TableHandbook[],4,FALSE)=0,"",VLOOKUP($A14,TableHandbook[],4,FALSE)),"")</f>
        <v/>
      </c>
      <c r="E14" s="144" t="str">
        <f>IF(OR(A14="",A14="--"),"",VLOOKUP($D$7,TableStudyPeriods[],3,FALSE))</f>
        <v/>
      </c>
      <c r="F14" s="146" t="str">
        <f>IFERROR(IF(VLOOKUP($A14,TableHandbook[],6,FALSE)=0,"",VLOOKUP($A14,TableHandbook[],6,FALSE)),"")</f>
        <v/>
      </c>
      <c r="G14" s="144" t="str">
        <f>IFERROR(IF(VLOOKUP($A14,TableHandbook[],5,FALSE)=0,"",VLOOKUP($A14,TableHandbook[],5,FALSE)),"")</f>
        <v/>
      </c>
      <c r="H14" s="147" t="str">
        <f>IFERROR(VLOOKUP($A14,TableHandbook[],H$2,FALSE),"")</f>
        <v/>
      </c>
      <c r="I14" s="148" t="str">
        <f>IFERROR(VLOOKUP($A14,TableHandbook[],I$2,FALSE),"")</f>
        <v/>
      </c>
      <c r="J14" s="147" t="str">
        <f>IFERROR(VLOOKUP($A14,TableHandbook[],J$2,FALSE),"")</f>
        <v/>
      </c>
      <c r="K14" s="148" t="str">
        <f>IFERROR(VLOOKUP($A14,TableHandbook[],K$2,FALSE),"")</f>
        <v/>
      </c>
      <c r="L14" s="147" t="str">
        <f>IFERROR(VLOOKUP($A14,TableHandbook[],L$2,FALSE),"")</f>
        <v/>
      </c>
      <c r="M14" s="148" t="str">
        <f>IFERROR(VLOOKUP($A14,TableHandbook[],M$2,FALSE),"")</f>
        <v/>
      </c>
      <c r="N14" s="147" t="str">
        <f>IFERROR(VLOOKUP($A14,TableHandbook[],N$2,FALSE),"")</f>
        <v/>
      </c>
      <c r="O14" s="148" t="str">
        <f>IFERROR(VLOOKUP($A14,TableHandbook[],O$2,FALSE),"")</f>
        <v/>
      </c>
      <c r="P14" s="24"/>
      <c r="Q14" s="149">
        <v>4</v>
      </c>
      <c r="R14" s="150"/>
      <c r="S14" s="150"/>
    </row>
    <row r="15" spans="1:20" s="14" customFormat="1" ht="21" customHeight="1" x14ac:dyDescent="0.15">
      <c r="A15" s="143" t="str">
        <f>IFERROR(IF(HLOOKUP($P$6,RangeUnitsetsGradCerts,Q15,FALSE)=0,"",HLOOKUP($P$6,RangeUnitsetsGradCerts,Q15,FALSE)),"")</f>
        <v/>
      </c>
      <c r="B15" s="144" t="str">
        <f>IFERROR(IF(VLOOKUP($A15,TableHandbook[],2,FALSE)=0,"",VLOOKUP($A15,TableHandbook[],2,FALSE)),"")</f>
        <v/>
      </c>
      <c r="C15" s="144" t="str">
        <f>IFERROR(IF(VLOOKUP($A15,TableHandbook[],3,FALSE)=0,"",VLOOKUP($A15,TableHandbook[],3,FALSE)),"")</f>
        <v/>
      </c>
      <c r="D15" s="145" t="str">
        <f>IFERROR(IF(VLOOKUP($A15,TableHandbook[],4,FALSE)=0,"",VLOOKUP($A15,TableHandbook[],4,FALSE)),"")</f>
        <v/>
      </c>
      <c r="E15" s="144" t="str">
        <f>IF(A15="","",E14)</f>
        <v/>
      </c>
      <c r="F15" s="146" t="str">
        <f>IFERROR(IF(VLOOKUP($A15,TableHandbook[],6,FALSE)=0,"",VLOOKUP($A15,TableHandbook[],6,FALSE)),"")</f>
        <v/>
      </c>
      <c r="G15" s="144" t="str">
        <f>IFERROR(IF(VLOOKUP($A15,TableHandbook[],5,FALSE)=0,"",VLOOKUP($A15,TableHandbook[],5,FALSE)),"")</f>
        <v/>
      </c>
      <c r="H15" s="147" t="str">
        <f>IFERROR(VLOOKUP($A15,TableHandbook[],H$2,FALSE),"")</f>
        <v/>
      </c>
      <c r="I15" s="148" t="str">
        <f>IFERROR(VLOOKUP($A15,TableHandbook[],I$2,FALSE),"")</f>
        <v/>
      </c>
      <c r="J15" s="147" t="str">
        <f>IFERROR(VLOOKUP($A15,TableHandbook[],J$2,FALSE),"")</f>
        <v/>
      </c>
      <c r="K15" s="148" t="str">
        <f>IFERROR(VLOOKUP($A15,TableHandbook[],K$2,FALSE),"")</f>
        <v/>
      </c>
      <c r="L15" s="147" t="str">
        <f>IFERROR(VLOOKUP($A15,TableHandbook[],L$2,FALSE),"")</f>
        <v/>
      </c>
      <c r="M15" s="148" t="str">
        <f>IFERROR(VLOOKUP($A15,TableHandbook[],M$2,FALSE),"")</f>
        <v/>
      </c>
      <c r="N15" s="147" t="str">
        <f>IFERROR(VLOOKUP($A15,TableHandbook[],N$2,FALSE),"")</f>
        <v/>
      </c>
      <c r="O15" s="148" t="str">
        <f>IFERROR(VLOOKUP($A15,TableHandbook[],O$2,FALSE),"")</f>
        <v/>
      </c>
      <c r="P15" s="23"/>
      <c r="Q15" s="149">
        <v>5</v>
      </c>
      <c r="R15" s="150"/>
      <c r="S15" s="150"/>
    </row>
    <row r="16" spans="1:20" ht="16.5" customHeight="1" x14ac:dyDescent="0.25">
      <c r="A16" s="159"/>
      <c r="B16" s="159"/>
      <c r="C16" s="159"/>
      <c r="D16" s="160"/>
      <c r="E16" s="160"/>
      <c r="F16" s="161"/>
      <c r="G16" s="161"/>
      <c r="H16" s="161"/>
      <c r="I16" s="161"/>
      <c r="J16" s="161"/>
      <c r="K16" s="161"/>
      <c r="L16" s="161"/>
      <c r="M16" s="161"/>
      <c r="N16" s="161"/>
      <c r="O16" s="161"/>
      <c r="P16" s="161"/>
      <c r="Q16" s="88"/>
    </row>
    <row r="17" spans="1:18" ht="16.5" customHeight="1" x14ac:dyDescent="0.25">
      <c r="A17" s="248" t="s">
        <v>46</v>
      </c>
      <c r="B17" s="179"/>
      <c r="C17" s="179"/>
      <c r="D17" s="180"/>
      <c r="E17" s="181"/>
      <c r="F17" s="181"/>
      <c r="G17" s="181"/>
      <c r="H17" s="182" t="str">
        <f>H9</f>
        <v>2025 Availabilities</v>
      </c>
      <c r="I17" s="183"/>
      <c r="J17" s="183"/>
      <c r="K17" s="183"/>
      <c r="L17" s="183"/>
      <c r="M17" s="183"/>
      <c r="N17" s="184"/>
      <c r="O17" s="185"/>
      <c r="P17" s="284"/>
      <c r="Q17" s="88"/>
      <c r="R17" s="20"/>
    </row>
    <row r="18" spans="1:18" ht="31.5" x14ac:dyDescent="0.25">
      <c r="A18" s="133"/>
      <c r="B18" s="133"/>
      <c r="C18" s="133"/>
      <c r="D18" s="134" t="s">
        <v>3</v>
      </c>
      <c r="E18" s="140"/>
      <c r="F18" s="133" t="s">
        <v>45</v>
      </c>
      <c r="G18" s="133" t="s">
        <v>23</v>
      </c>
      <c r="H18" s="141" t="str">
        <f>H10</f>
        <v>SSP1 BEN</v>
      </c>
      <c r="I18" s="142" t="str">
        <f t="shared" ref="I18:P18" si="0">I10</f>
        <v>SSP1 FO</v>
      </c>
      <c r="J18" s="141" t="str">
        <f t="shared" si="0"/>
        <v>SSP2 BEN</v>
      </c>
      <c r="K18" s="142" t="str">
        <f t="shared" si="0"/>
        <v>SSP2 FO</v>
      </c>
      <c r="L18" s="141" t="str">
        <f t="shared" si="0"/>
        <v>SSP3 BEN</v>
      </c>
      <c r="M18" s="142" t="str">
        <f t="shared" si="0"/>
        <v>SSP3 FO</v>
      </c>
      <c r="N18" s="141" t="str">
        <f t="shared" si="0"/>
        <v>SSP4 BEN</v>
      </c>
      <c r="O18" s="142" t="str">
        <f t="shared" si="0"/>
        <v>SSP4 FO</v>
      </c>
      <c r="P18" s="133" t="str">
        <f t="shared" si="0"/>
        <v>Notes / Progress</v>
      </c>
      <c r="Q18" s="149"/>
    </row>
    <row r="19" spans="1:18" x14ac:dyDescent="0.25">
      <c r="A19" s="187" t="str">
        <f t="shared" ref="A19:A31" si="1">IFERROR(IF(HLOOKUP($P$6,RangeUnitsetsGradCerts,Q19,FALSE)=0,"",HLOOKUP($P$6,RangeUnitsetsGradCerts,Q19,FALSE)),"")</f>
        <v/>
      </c>
      <c r="B19" s="188" t="str">
        <f>IFERROR(IF(VLOOKUP($A19,TableHandbook[],2,FALSE)=0,"",VLOOKUP($A19,TableHandbook[],2,FALSE)),"")</f>
        <v/>
      </c>
      <c r="C19" s="189" t="str">
        <f>IFERROR(IF(VLOOKUP($A19,TableHandbook[],3,FALSE)=0,"",VLOOKUP($A19,TableHandbook[],3,FALSE)),"")</f>
        <v/>
      </c>
      <c r="D19" s="189" t="str">
        <f>IFERROR(IF(VLOOKUP($A19,TableHandbook[],4,FALSE)=0,"",VLOOKUP($A19,TableHandbook[],4,FALSE)),"")</f>
        <v/>
      </c>
      <c r="E19" s="190"/>
      <c r="F19" s="191" t="str">
        <f>IFERROR(IF(VLOOKUP($A19,TableHandbook[],6,FALSE)=0,"",VLOOKUP($A19,TableHandbook[],6,FALSE)),"")</f>
        <v/>
      </c>
      <c r="G19" s="191" t="str">
        <f>IFERROR(IF(VLOOKUP($A19,TableHandbook[],5,FALSE)=0,"",VLOOKUP($A19,TableHandbook[],5,FALSE)),"")</f>
        <v/>
      </c>
      <c r="H19" s="261" t="str">
        <f>IFERROR(VLOOKUP($A19,TableHandbook[],H$2,FALSE),"")</f>
        <v/>
      </c>
      <c r="I19" s="262" t="str">
        <f>IFERROR(VLOOKUP($A19,TableHandbook[],I$2,FALSE),"")</f>
        <v/>
      </c>
      <c r="J19" s="263" t="str">
        <f>IFERROR(VLOOKUP($A19,TableHandbook[],J$2,FALSE),"")</f>
        <v/>
      </c>
      <c r="K19" s="262" t="str">
        <f>IFERROR(VLOOKUP($A19,TableHandbook[],K$2,FALSE),"")</f>
        <v/>
      </c>
      <c r="L19" s="263" t="str">
        <f>IFERROR(VLOOKUP($A19,TableHandbook[],L$2,FALSE),"")</f>
        <v/>
      </c>
      <c r="M19" s="262" t="str">
        <f>IFERROR(VLOOKUP($A19,TableHandbook[],M$2,FALSE),"")</f>
        <v/>
      </c>
      <c r="N19" s="263" t="str">
        <f>IFERROR(VLOOKUP($A19,TableHandbook[],N$2,FALSE),"")</f>
        <v/>
      </c>
      <c r="O19" s="262" t="str">
        <f>IFERROR(VLOOKUP($A19,TableHandbook[],O$2,FALSE),"")</f>
        <v/>
      </c>
      <c r="P19" s="24"/>
      <c r="Q19" s="149">
        <v>6</v>
      </c>
    </row>
    <row r="20" spans="1:18" x14ac:dyDescent="0.25">
      <c r="A20" s="187" t="str">
        <f t="shared" si="1"/>
        <v/>
      </c>
      <c r="B20" s="188" t="str">
        <f>IFERROR(IF(VLOOKUP($A20,TableHandbook[],2,FALSE)=0,"",VLOOKUP($A20,TableHandbook[],2,FALSE)),"")</f>
        <v/>
      </c>
      <c r="C20" s="189" t="str">
        <f>IFERROR(IF(VLOOKUP($A20,TableHandbook[],3,FALSE)=0,"",VLOOKUP($A20,TableHandbook[],3,FALSE)),"")</f>
        <v/>
      </c>
      <c r="D20" s="189" t="str">
        <f>IFERROR(IF(VLOOKUP($A20,TableHandbook[],4,FALSE)=0,"",VLOOKUP($A20,TableHandbook[],4,FALSE)),"")</f>
        <v/>
      </c>
      <c r="E20" s="190"/>
      <c r="F20" s="191" t="str">
        <f>IFERROR(IF(VLOOKUP($A20,TableHandbook[],6,FALSE)=0,"",VLOOKUP($A20,TableHandbook[],6,FALSE)),"")</f>
        <v/>
      </c>
      <c r="G20" s="191" t="str">
        <f>IFERROR(IF(VLOOKUP($A20,TableHandbook[],5,FALSE)=0,"",VLOOKUP($A20,TableHandbook[],5,FALSE)),"")</f>
        <v/>
      </c>
      <c r="H20" s="264" t="str">
        <f>IFERROR(VLOOKUP($A20,TableHandbook[],H$2,FALSE),"")</f>
        <v/>
      </c>
      <c r="I20" s="265" t="str">
        <f>IFERROR(VLOOKUP($A20,TableHandbook[],I$2,FALSE),"")</f>
        <v/>
      </c>
      <c r="J20" s="266" t="str">
        <f>IFERROR(VLOOKUP($A20,TableHandbook[],J$2,FALSE),"")</f>
        <v/>
      </c>
      <c r="K20" s="265" t="str">
        <f>IFERROR(VLOOKUP($A20,TableHandbook[],K$2,FALSE),"")</f>
        <v/>
      </c>
      <c r="L20" s="266" t="str">
        <f>IFERROR(VLOOKUP($A20,TableHandbook[],L$2,FALSE),"")</f>
        <v/>
      </c>
      <c r="M20" s="265" t="str">
        <f>IFERROR(VLOOKUP($A20,TableHandbook[],M$2,FALSE),"")</f>
        <v/>
      </c>
      <c r="N20" s="266" t="str">
        <f>IFERROR(VLOOKUP($A20,TableHandbook[],N$2,FALSE),"")</f>
        <v/>
      </c>
      <c r="O20" s="265" t="str">
        <f>IFERROR(VLOOKUP($A20,TableHandbook[],O$2,FALSE),"")</f>
        <v/>
      </c>
      <c r="P20" s="24"/>
      <c r="Q20" s="149">
        <v>7</v>
      </c>
    </row>
    <row r="21" spans="1:18" x14ac:dyDescent="0.25">
      <c r="A21" s="187" t="str">
        <f t="shared" si="1"/>
        <v/>
      </c>
      <c r="B21" s="188" t="str">
        <f>IFERROR(IF(VLOOKUP($A21,TableHandbook[],2,FALSE)=0,"",VLOOKUP($A21,TableHandbook[],2,FALSE)),"")</f>
        <v/>
      </c>
      <c r="C21" s="189" t="str">
        <f>IFERROR(IF(VLOOKUP($A21,TableHandbook[],3,FALSE)=0,"",VLOOKUP($A21,TableHandbook[],3,FALSE)),"")</f>
        <v/>
      </c>
      <c r="D21" s="189" t="str">
        <f>IFERROR(IF(VLOOKUP($A21,TableHandbook[],4,FALSE)=0,"",VLOOKUP($A21,TableHandbook[],4,FALSE)),"")</f>
        <v/>
      </c>
      <c r="E21" s="190"/>
      <c r="F21" s="191" t="str">
        <f>IFERROR(IF(VLOOKUP($A21,TableHandbook[],6,FALSE)=0,"",VLOOKUP($A21,TableHandbook[],6,FALSE)),"")</f>
        <v/>
      </c>
      <c r="G21" s="191" t="str">
        <f>IFERROR(IF(VLOOKUP($A21,TableHandbook[],5,FALSE)=0,"",VLOOKUP($A21,TableHandbook[],5,FALSE)),"")</f>
        <v/>
      </c>
      <c r="H21" s="264" t="str">
        <f>IFERROR(VLOOKUP($A21,TableHandbook[],H$2,FALSE),"")</f>
        <v/>
      </c>
      <c r="I21" s="265" t="str">
        <f>IFERROR(VLOOKUP($A21,TableHandbook[],I$2,FALSE),"")</f>
        <v/>
      </c>
      <c r="J21" s="266" t="str">
        <f>IFERROR(VLOOKUP($A21,TableHandbook[],J$2,FALSE),"")</f>
        <v/>
      </c>
      <c r="K21" s="265" t="str">
        <f>IFERROR(VLOOKUP($A21,TableHandbook[],K$2,FALSE),"")</f>
        <v/>
      </c>
      <c r="L21" s="266" t="str">
        <f>IFERROR(VLOOKUP($A21,TableHandbook[],L$2,FALSE),"")</f>
        <v/>
      </c>
      <c r="M21" s="265" t="str">
        <f>IFERROR(VLOOKUP($A21,TableHandbook[],M$2,FALSE),"")</f>
        <v/>
      </c>
      <c r="N21" s="266" t="str">
        <f>IFERROR(VLOOKUP($A21,TableHandbook[],N$2,FALSE),"")</f>
        <v/>
      </c>
      <c r="O21" s="265" t="str">
        <f>IFERROR(VLOOKUP($A21,TableHandbook[],O$2,FALSE),"")</f>
        <v/>
      </c>
      <c r="P21" s="24"/>
      <c r="Q21" s="149">
        <v>8</v>
      </c>
    </row>
    <row r="22" spans="1:18" x14ac:dyDescent="0.25">
      <c r="A22" s="187" t="str">
        <f t="shared" si="1"/>
        <v/>
      </c>
      <c r="B22" s="188" t="str">
        <f>IFERROR(IF(VLOOKUP($A22,TableHandbook[],2,FALSE)=0,"",VLOOKUP($A22,TableHandbook[],2,FALSE)),"")</f>
        <v/>
      </c>
      <c r="C22" s="189" t="str">
        <f>IFERROR(IF(VLOOKUP($A22,TableHandbook[],3,FALSE)=0,"",VLOOKUP($A22,TableHandbook[],3,FALSE)),"")</f>
        <v/>
      </c>
      <c r="D22" s="189" t="str">
        <f>IFERROR(IF(VLOOKUP($A22,TableHandbook[],4,FALSE)=0,"",VLOOKUP($A22,TableHandbook[],4,FALSE)),"")</f>
        <v/>
      </c>
      <c r="E22" s="190"/>
      <c r="F22" s="191" t="str">
        <f>IFERROR(IF(VLOOKUP($A22,TableHandbook[],6,FALSE)=0,"",VLOOKUP($A22,TableHandbook[],6,FALSE)),"")</f>
        <v/>
      </c>
      <c r="G22" s="191" t="str">
        <f>IFERROR(IF(VLOOKUP($A22,TableHandbook[],5,FALSE)=0,"",VLOOKUP($A22,TableHandbook[],5,FALSE)),"")</f>
        <v/>
      </c>
      <c r="H22" s="264" t="str">
        <f>IFERROR(VLOOKUP($A22,TableHandbook[],H$2,FALSE),"")</f>
        <v/>
      </c>
      <c r="I22" s="265" t="str">
        <f>IFERROR(VLOOKUP($A22,TableHandbook[],I$2,FALSE),"")</f>
        <v/>
      </c>
      <c r="J22" s="266" t="str">
        <f>IFERROR(VLOOKUP($A22,TableHandbook[],J$2,FALSE),"")</f>
        <v/>
      </c>
      <c r="K22" s="265" t="str">
        <f>IFERROR(VLOOKUP($A22,TableHandbook[],K$2,FALSE),"")</f>
        <v/>
      </c>
      <c r="L22" s="266" t="str">
        <f>IFERROR(VLOOKUP($A22,TableHandbook[],L$2,FALSE),"")</f>
        <v/>
      </c>
      <c r="M22" s="265" t="str">
        <f>IFERROR(VLOOKUP($A22,TableHandbook[],M$2,FALSE),"")</f>
        <v/>
      </c>
      <c r="N22" s="266" t="str">
        <f>IFERROR(VLOOKUP($A22,TableHandbook[],N$2,FALSE),"")</f>
        <v/>
      </c>
      <c r="O22" s="265" t="str">
        <f>IFERROR(VLOOKUP($A22,TableHandbook[],O$2,FALSE),"")</f>
        <v/>
      </c>
      <c r="P22" s="24"/>
      <c r="Q22" s="149">
        <v>9</v>
      </c>
    </row>
    <row r="23" spans="1:18" x14ac:dyDescent="0.25">
      <c r="A23" s="187" t="str">
        <f t="shared" si="1"/>
        <v/>
      </c>
      <c r="B23" s="188" t="str">
        <f>IFERROR(IF(VLOOKUP($A23,TableHandbook[],2,FALSE)=0,"",VLOOKUP($A23,TableHandbook[],2,FALSE)),"")</f>
        <v/>
      </c>
      <c r="C23" s="189" t="str">
        <f>IFERROR(IF(VLOOKUP($A23,TableHandbook[],3,FALSE)=0,"",VLOOKUP($A23,TableHandbook[],3,FALSE)),"")</f>
        <v/>
      </c>
      <c r="D23" s="189" t="str">
        <f>IFERROR(IF(VLOOKUP($A23,TableHandbook[],4,FALSE)=0,"",VLOOKUP($A23,TableHandbook[],4,FALSE)),"")</f>
        <v/>
      </c>
      <c r="E23" s="190"/>
      <c r="F23" s="191" t="str">
        <f>IFERROR(IF(VLOOKUP($A23,TableHandbook[],6,FALSE)=0,"",VLOOKUP($A23,TableHandbook[],6,FALSE)),"")</f>
        <v/>
      </c>
      <c r="G23" s="191" t="str">
        <f>IFERROR(IF(VLOOKUP($A23,TableHandbook[],5,FALSE)=0,"",VLOOKUP($A23,TableHandbook[],5,FALSE)),"")</f>
        <v/>
      </c>
      <c r="H23" s="261" t="str">
        <f>IFERROR(VLOOKUP($A23,TableHandbook[],H$2,FALSE),"")</f>
        <v/>
      </c>
      <c r="I23" s="262" t="str">
        <f>IFERROR(VLOOKUP($A23,TableHandbook[],I$2,FALSE),"")</f>
        <v/>
      </c>
      <c r="J23" s="263" t="str">
        <f>IFERROR(VLOOKUP($A23,TableHandbook[],J$2,FALSE),"")</f>
        <v/>
      </c>
      <c r="K23" s="262" t="str">
        <f>IFERROR(VLOOKUP($A23,TableHandbook[],K$2,FALSE),"")</f>
        <v/>
      </c>
      <c r="L23" s="263" t="str">
        <f>IFERROR(VLOOKUP($A23,TableHandbook[],L$2,FALSE),"")</f>
        <v/>
      </c>
      <c r="M23" s="262" t="str">
        <f>IFERROR(VLOOKUP($A23,TableHandbook[],M$2,FALSE),"")</f>
        <v/>
      </c>
      <c r="N23" s="263" t="str">
        <f>IFERROR(VLOOKUP($A23,TableHandbook[],N$2,FALSE),"")</f>
        <v/>
      </c>
      <c r="O23" s="262" t="str">
        <f>IFERROR(VLOOKUP($A23,TableHandbook[],O$2,FALSE),"")</f>
        <v/>
      </c>
      <c r="P23" s="24"/>
      <c r="Q23" s="149">
        <v>10</v>
      </c>
    </row>
    <row r="24" spans="1:18" x14ac:dyDescent="0.25">
      <c r="A24" s="187" t="str">
        <f t="shared" si="1"/>
        <v/>
      </c>
      <c r="B24" s="188" t="str">
        <f>IFERROR(IF(VLOOKUP($A24,TableHandbook[],2,FALSE)=0,"",VLOOKUP($A24,TableHandbook[],2,FALSE)),"")</f>
        <v/>
      </c>
      <c r="C24" s="189" t="str">
        <f>IFERROR(IF(VLOOKUP($A24,TableHandbook[],3,FALSE)=0,"",VLOOKUP($A24,TableHandbook[],3,FALSE)),"")</f>
        <v/>
      </c>
      <c r="D24" s="189" t="str">
        <f>IFERROR(IF(VLOOKUP($A24,TableHandbook[],4,FALSE)=0,"",VLOOKUP($A24,TableHandbook[],4,FALSE)),"")</f>
        <v/>
      </c>
      <c r="E24" s="190"/>
      <c r="F24" s="191" t="str">
        <f>IFERROR(IF(VLOOKUP($A24,TableHandbook[],6,FALSE)=0,"",VLOOKUP($A24,TableHandbook[],6,FALSE)),"")</f>
        <v/>
      </c>
      <c r="G24" s="191" t="str">
        <f>IFERROR(IF(VLOOKUP($A24,TableHandbook[],5,FALSE)=0,"",VLOOKUP($A24,TableHandbook[],5,FALSE)),"")</f>
        <v/>
      </c>
      <c r="H24" s="261" t="str">
        <f>IFERROR(VLOOKUP($A24,TableHandbook[],H$2,FALSE),"")</f>
        <v/>
      </c>
      <c r="I24" s="262" t="str">
        <f>IFERROR(VLOOKUP($A24,TableHandbook[],I$2,FALSE),"")</f>
        <v/>
      </c>
      <c r="J24" s="263" t="str">
        <f>IFERROR(VLOOKUP($A24,TableHandbook[],J$2,FALSE),"")</f>
        <v/>
      </c>
      <c r="K24" s="262" t="str">
        <f>IFERROR(VLOOKUP($A24,TableHandbook[],K$2,FALSE),"")</f>
        <v/>
      </c>
      <c r="L24" s="263" t="str">
        <f>IFERROR(VLOOKUP($A24,TableHandbook[],L$2,FALSE),"")</f>
        <v/>
      </c>
      <c r="M24" s="262" t="str">
        <f>IFERROR(VLOOKUP($A24,TableHandbook[],M$2,FALSE),"")</f>
        <v/>
      </c>
      <c r="N24" s="263" t="str">
        <f>IFERROR(VLOOKUP($A24,TableHandbook[],N$2,FALSE),"")</f>
        <v/>
      </c>
      <c r="O24" s="262" t="str">
        <f>IFERROR(VLOOKUP($A24,TableHandbook[],O$2,FALSE),"")</f>
        <v/>
      </c>
      <c r="P24" s="24"/>
      <c r="Q24" s="149">
        <v>11</v>
      </c>
    </row>
    <row r="25" spans="1:18" x14ac:dyDescent="0.25">
      <c r="A25" s="187" t="str">
        <f t="shared" si="1"/>
        <v/>
      </c>
      <c r="B25" s="188" t="str">
        <f>IFERROR(IF(VLOOKUP($A25,TableHandbook[],2,FALSE)=0,"",VLOOKUP($A25,TableHandbook[],2,FALSE)),"")</f>
        <v/>
      </c>
      <c r="C25" s="189" t="str">
        <f>IFERROR(IF(VLOOKUP($A25,TableHandbook[],3,FALSE)=0,"",VLOOKUP($A25,TableHandbook[],3,FALSE)),"")</f>
        <v/>
      </c>
      <c r="D25" s="189" t="str">
        <f>IFERROR(IF(VLOOKUP($A25,TableHandbook[],4,FALSE)=0,"",VLOOKUP($A25,TableHandbook[],4,FALSE)),"")</f>
        <v/>
      </c>
      <c r="E25" s="190"/>
      <c r="F25" s="191" t="str">
        <f>IFERROR(IF(VLOOKUP($A25,TableHandbook[],6,FALSE)=0,"",VLOOKUP($A25,TableHandbook[],6,FALSE)),"")</f>
        <v/>
      </c>
      <c r="G25" s="191" t="str">
        <f>IFERROR(IF(VLOOKUP($A25,TableHandbook[],5,FALSE)=0,"",VLOOKUP($A25,TableHandbook[],5,FALSE)),"")</f>
        <v/>
      </c>
      <c r="H25" s="261" t="str">
        <f>IFERROR(VLOOKUP($A25,TableHandbook[],H$2,FALSE),"")</f>
        <v/>
      </c>
      <c r="I25" s="262" t="str">
        <f>IFERROR(VLOOKUP($A25,TableHandbook[],I$2,FALSE),"")</f>
        <v/>
      </c>
      <c r="J25" s="263" t="str">
        <f>IFERROR(VLOOKUP($A25,TableHandbook[],J$2,FALSE),"")</f>
        <v/>
      </c>
      <c r="K25" s="262" t="str">
        <f>IFERROR(VLOOKUP($A25,TableHandbook[],K$2,FALSE),"")</f>
        <v/>
      </c>
      <c r="L25" s="263" t="str">
        <f>IFERROR(VLOOKUP($A25,TableHandbook[],L$2,FALSE),"")</f>
        <v/>
      </c>
      <c r="M25" s="262" t="str">
        <f>IFERROR(VLOOKUP($A25,TableHandbook[],M$2,FALSE),"")</f>
        <v/>
      </c>
      <c r="N25" s="263" t="str">
        <f>IFERROR(VLOOKUP($A25,TableHandbook[],N$2,FALSE),"")</f>
        <v/>
      </c>
      <c r="O25" s="262" t="str">
        <f>IFERROR(VLOOKUP($A25,TableHandbook[],O$2,FALSE),"")</f>
        <v/>
      </c>
      <c r="P25" s="24"/>
      <c r="Q25" s="149">
        <v>12</v>
      </c>
    </row>
    <row r="26" spans="1:18" x14ac:dyDescent="0.25">
      <c r="A26" s="187" t="str">
        <f t="shared" si="1"/>
        <v/>
      </c>
      <c r="B26" s="188" t="str">
        <f>IFERROR(IF(VLOOKUP($A26,TableHandbook[],2,FALSE)=0,"",VLOOKUP($A26,TableHandbook[],2,FALSE)),"")</f>
        <v/>
      </c>
      <c r="C26" s="189" t="str">
        <f>IFERROR(IF(VLOOKUP($A26,TableHandbook[],3,FALSE)=0,"",VLOOKUP($A26,TableHandbook[],3,FALSE)),"")</f>
        <v/>
      </c>
      <c r="D26" s="189" t="str">
        <f>IFERROR(IF(VLOOKUP($A26,TableHandbook[],4,FALSE)=0,"",VLOOKUP($A26,TableHandbook[],4,FALSE)),"")</f>
        <v/>
      </c>
      <c r="E26" s="190"/>
      <c r="F26" s="191" t="str">
        <f>IFERROR(IF(VLOOKUP($A26,TableHandbook[],6,FALSE)=0,"",VLOOKUP($A26,TableHandbook[],6,FALSE)),"")</f>
        <v/>
      </c>
      <c r="G26" s="191" t="str">
        <f>IFERROR(IF(VLOOKUP($A26,TableHandbook[],5,FALSE)=0,"",VLOOKUP($A26,TableHandbook[],5,FALSE)),"")</f>
        <v/>
      </c>
      <c r="H26" s="261" t="str">
        <f>IFERROR(VLOOKUP($A26,TableHandbook[],H$2,FALSE),"")</f>
        <v/>
      </c>
      <c r="I26" s="262" t="str">
        <f>IFERROR(VLOOKUP($A26,TableHandbook[],I$2,FALSE),"")</f>
        <v/>
      </c>
      <c r="J26" s="263" t="str">
        <f>IFERROR(VLOOKUP($A26,TableHandbook[],J$2,FALSE),"")</f>
        <v/>
      </c>
      <c r="K26" s="262" t="str">
        <f>IFERROR(VLOOKUP($A26,TableHandbook[],K$2,FALSE),"")</f>
        <v/>
      </c>
      <c r="L26" s="263" t="str">
        <f>IFERROR(VLOOKUP($A26,TableHandbook[],L$2,FALSE),"")</f>
        <v/>
      </c>
      <c r="M26" s="262" t="str">
        <f>IFERROR(VLOOKUP($A26,TableHandbook[],M$2,FALSE),"")</f>
        <v/>
      </c>
      <c r="N26" s="263" t="str">
        <f>IFERROR(VLOOKUP($A26,TableHandbook[],N$2,FALSE),"")</f>
        <v/>
      </c>
      <c r="O26" s="262" t="str">
        <f>IFERROR(VLOOKUP($A26,TableHandbook[],O$2,FALSE),"")</f>
        <v/>
      </c>
      <c r="P26" s="24"/>
      <c r="Q26" s="149">
        <v>13</v>
      </c>
    </row>
    <row r="27" spans="1:18" x14ac:dyDescent="0.25">
      <c r="A27" s="187" t="str">
        <f t="shared" si="1"/>
        <v/>
      </c>
      <c r="B27" s="188" t="str">
        <f>IFERROR(IF(VLOOKUP($A27,TableHandbook[],2,FALSE)=0,"",VLOOKUP($A27,TableHandbook[],2,FALSE)),"")</f>
        <v/>
      </c>
      <c r="C27" s="189" t="str">
        <f>IFERROR(IF(VLOOKUP($A27,TableHandbook[],3,FALSE)=0,"",VLOOKUP($A27,TableHandbook[],3,FALSE)),"")</f>
        <v/>
      </c>
      <c r="D27" s="189" t="str">
        <f>IFERROR(IF(VLOOKUP($A27,TableHandbook[],4,FALSE)=0,"",VLOOKUP($A27,TableHandbook[],4,FALSE)),"")</f>
        <v/>
      </c>
      <c r="E27" s="190"/>
      <c r="F27" s="191" t="str">
        <f>IFERROR(IF(VLOOKUP($A27,TableHandbook[],6,FALSE)=0,"",VLOOKUP($A27,TableHandbook[],6,FALSE)),"")</f>
        <v/>
      </c>
      <c r="G27" s="191" t="str">
        <f>IFERROR(IF(VLOOKUP($A27,TableHandbook[],5,FALSE)=0,"",VLOOKUP($A27,TableHandbook[],5,FALSE)),"")</f>
        <v/>
      </c>
      <c r="H27" s="261" t="str">
        <f>IFERROR(VLOOKUP($A27,TableHandbook[],H$2,FALSE),"")</f>
        <v/>
      </c>
      <c r="I27" s="262" t="str">
        <f>IFERROR(VLOOKUP($A27,TableHandbook[],I$2,FALSE),"")</f>
        <v/>
      </c>
      <c r="J27" s="263" t="str">
        <f>IFERROR(VLOOKUP($A27,TableHandbook[],J$2,FALSE),"")</f>
        <v/>
      </c>
      <c r="K27" s="262" t="str">
        <f>IFERROR(VLOOKUP($A27,TableHandbook[],K$2,FALSE),"")</f>
        <v/>
      </c>
      <c r="L27" s="263" t="str">
        <f>IFERROR(VLOOKUP($A27,TableHandbook[],L$2,FALSE),"")</f>
        <v/>
      </c>
      <c r="M27" s="262" t="str">
        <f>IFERROR(VLOOKUP($A27,TableHandbook[],M$2,FALSE),"")</f>
        <v/>
      </c>
      <c r="N27" s="263" t="str">
        <f>IFERROR(VLOOKUP($A27,TableHandbook[],N$2,FALSE),"")</f>
        <v/>
      </c>
      <c r="O27" s="262" t="str">
        <f>IFERROR(VLOOKUP($A27,TableHandbook[],O$2,FALSE),"")</f>
        <v/>
      </c>
      <c r="P27" s="24"/>
      <c r="Q27" s="149">
        <v>14</v>
      </c>
    </row>
    <row r="28" spans="1:18" x14ac:dyDescent="0.25">
      <c r="A28" s="187" t="str">
        <f t="shared" si="1"/>
        <v/>
      </c>
      <c r="B28" s="188" t="str">
        <f>IFERROR(IF(VLOOKUP($A28,TableHandbook[],2,FALSE)=0,"",VLOOKUP($A28,TableHandbook[],2,FALSE)),"")</f>
        <v/>
      </c>
      <c r="C28" s="189" t="str">
        <f>IFERROR(IF(VLOOKUP($A28,TableHandbook[],3,FALSE)=0,"",VLOOKUP($A28,TableHandbook[],3,FALSE)),"")</f>
        <v/>
      </c>
      <c r="D28" s="189" t="str">
        <f>IFERROR(IF(VLOOKUP($A28,TableHandbook[],4,FALSE)=0,"",VLOOKUP($A28,TableHandbook[],4,FALSE)),"")</f>
        <v/>
      </c>
      <c r="E28" s="190"/>
      <c r="F28" s="191" t="str">
        <f>IFERROR(IF(VLOOKUP($A28,TableHandbook[],6,FALSE)=0,"",VLOOKUP($A28,TableHandbook[],6,FALSE)),"")</f>
        <v/>
      </c>
      <c r="G28" s="191" t="str">
        <f>IFERROR(IF(VLOOKUP($A28,TableHandbook[],5,FALSE)=0,"",VLOOKUP($A28,TableHandbook[],5,FALSE)),"")</f>
        <v/>
      </c>
      <c r="H28" s="261" t="str">
        <f>IFERROR(VLOOKUP($A28,TableHandbook[],H$2,FALSE),"")</f>
        <v/>
      </c>
      <c r="I28" s="262" t="str">
        <f>IFERROR(VLOOKUP($A28,TableHandbook[],I$2,FALSE),"")</f>
        <v/>
      </c>
      <c r="J28" s="263" t="str">
        <f>IFERROR(VLOOKUP($A28,TableHandbook[],J$2,FALSE),"")</f>
        <v/>
      </c>
      <c r="K28" s="262" t="str">
        <f>IFERROR(VLOOKUP($A28,TableHandbook[],K$2,FALSE),"")</f>
        <v/>
      </c>
      <c r="L28" s="263" t="str">
        <f>IFERROR(VLOOKUP($A28,TableHandbook[],L$2,FALSE),"")</f>
        <v/>
      </c>
      <c r="M28" s="262" t="str">
        <f>IFERROR(VLOOKUP($A28,TableHandbook[],M$2,FALSE),"")</f>
        <v/>
      </c>
      <c r="N28" s="263" t="str">
        <f>IFERROR(VLOOKUP($A28,TableHandbook[],N$2,FALSE),"")</f>
        <v/>
      </c>
      <c r="O28" s="262" t="str">
        <f>IFERROR(VLOOKUP($A28,TableHandbook[],O$2,FALSE),"")</f>
        <v/>
      </c>
      <c r="P28" s="24"/>
      <c r="Q28" s="149">
        <v>15</v>
      </c>
    </row>
    <row r="29" spans="1:18" x14ac:dyDescent="0.25">
      <c r="A29" s="187" t="str">
        <f t="shared" si="1"/>
        <v/>
      </c>
      <c r="B29" s="188" t="str">
        <f>IFERROR(IF(VLOOKUP($A29,TableHandbook[],2,FALSE)=0,"",VLOOKUP($A29,TableHandbook[],2,FALSE)),"")</f>
        <v/>
      </c>
      <c r="C29" s="189" t="str">
        <f>IFERROR(IF(VLOOKUP($A29,TableHandbook[],3,FALSE)=0,"",VLOOKUP($A29,TableHandbook[],3,FALSE)),"")</f>
        <v/>
      </c>
      <c r="D29" s="189" t="str">
        <f>IFERROR(IF(VLOOKUP($A29,TableHandbook[],4,FALSE)=0,"",VLOOKUP($A29,TableHandbook[],4,FALSE)),"")</f>
        <v/>
      </c>
      <c r="E29" s="190"/>
      <c r="F29" s="191" t="str">
        <f>IFERROR(IF(VLOOKUP($A29,TableHandbook[],6,FALSE)=0,"",VLOOKUP($A29,TableHandbook[],6,FALSE)),"")</f>
        <v/>
      </c>
      <c r="G29" s="191" t="str">
        <f>IFERROR(IF(VLOOKUP($A29,TableHandbook[],5,FALSE)=0,"",VLOOKUP($A29,TableHandbook[],5,FALSE)),"")</f>
        <v/>
      </c>
      <c r="H29" s="261" t="str">
        <f>IFERROR(VLOOKUP($A29,TableHandbook[],H$2,FALSE),"")</f>
        <v/>
      </c>
      <c r="I29" s="262" t="str">
        <f>IFERROR(VLOOKUP($A29,TableHandbook[],I$2,FALSE),"")</f>
        <v/>
      </c>
      <c r="J29" s="263" t="str">
        <f>IFERROR(VLOOKUP($A29,TableHandbook[],J$2,FALSE),"")</f>
        <v/>
      </c>
      <c r="K29" s="262" t="str">
        <f>IFERROR(VLOOKUP($A29,TableHandbook[],K$2,FALSE),"")</f>
        <v/>
      </c>
      <c r="L29" s="263" t="str">
        <f>IFERROR(VLOOKUP($A29,TableHandbook[],L$2,FALSE),"")</f>
        <v/>
      </c>
      <c r="M29" s="262" t="str">
        <f>IFERROR(VLOOKUP($A29,TableHandbook[],M$2,FALSE),"")</f>
        <v/>
      </c>
      <c r="N29" s="263" t="str">
        <f>IFERROR(VLOOKUP($A29,TableHandbook[],N$2,FALSE),"")</f>
        <v/>
      </c>
      <c r="O29" s="262" t="str">
        <f>IFERROR(VLOOKUP($A29,TableHandbook[],O$2,FALSE),"")</f>
        <v/>
      </c>
      <c r="P29" s="24"/>
      <c r="Q29" s="149">
        <v>16</v>
      </c>
    </row>
    <row r="30" spans="1:18" x14ac:dyDescent="0.25">
      <c r="A30" s="187" t="str">
        <f t="shared" si="1"/>
        <v/>
      </c>
      <c r="B30" s="188" t="str">
        <f>IFERROR(IF(VLOOKUP($A30,TableHandbook[],2,FALSE)=0,"",VLOOKUP($A30,TableHandbook[],2,FALSE)),"")</f>
        <v/>
      </c>
      <c r="C30" s="189" t="str">
        <f>IFERROR(IF(VLOOKUP($A30,TableHandbook[],3,FALSE)=0,"",VLOOKUP($A30,TableHandbook[],3,FALSE)),"")</f>
        <v/>
      </c>
      <c r="D30" s="189" t="str">
        <f>IFERROR(IF(VLOOKUP($A30,TableHandbook[],4,FALSE)=0,"",VLOOKUP($A30,TableHandbook[],4,FALSE)),"")</f>
        <v/>
      </c>
      <c r="E30" s="190"/>
      <c r="F30" s="191" t="str">
        <f>IFERROR(IF(VLOOKUP($A30,TableHandbook[],6,FALSE)=0,"",VLOOKUP($A30,TableHandbook[],6,FALSE)),"")</f>
        <v/>
      </c>
      <c r="G30" s="191" t="str">
        <f>IFERROR(IF(VLOOKUP($A30,TableHandbook[],5,FALSE)=0,"",VLOOKUP($A30,TableHandbook[],5,FALSE)),"")</f>
        <v/>
      </c>
      <c r="H30" s="261" t="str">
        <f>IFERROR(VLOOKUP($A30,TableHandbook[],H$2,FALSE),"")</f>
        <v/>
      </c>
      <c r="I30" s="262" t="str">
        <f>IFERROR(VLOOKUP($A30,TableHandbook[],I$2,FALSE),"")</f>
        <v/>
      </c>
      <c r="J30" s="263" t="str">
        <f>IFERROR(VLOOKUP($A30,TableHandbook[],J$2,FALSE),"")</f>
        <v/>
      </c>
      <c r="K30" s="262" t="str">
        <f>IFERROR(VLOOKUP($A30,TableHandbook[],K$2,FALSE),"")</f>
        <v/>
      </c>
      <c r="L30" s="263" t="str">
        <f>IFERROR(VLOOKUP($A30,TableHandbook[],L$2,FALSE),"")</f>
        <v/>
      </c>
      <c r="M30" s="262" t="str">
        <f>IFERROR(VLOOKUP($A30,TableHandbook[],M$2,FALSE),"")</f>
        <v/>
      </c>
      <c r="N30" s="263" t="str">
        <f>IFERROR(VLOOKUP($A30,TableHandbook[],N$2,FALSE),"")</f>
        <v/>
      </c>
      <c r="O30" s="262" t="str">
        <f>IFERROR(VLOOKUP($A30,TableHandbook[],O$2,FALSE),"")</f>
        <v/>
      </c>
      <c r="P30" s="24"/>
      <c r="Q30" s="149">
        <v>17</v>
      </c>
    </row>
    <row r="31" spans="1:18" x14ac:dyDescent="0.25">
      <c r="A31" s="187" t="str">
        <f t="shared" si="1"/>
        <v/>
      </c>
      <c r="B31" s="188" t="str">
        <f>IFERROR(IF(VLOOKUP($A31,TableHandbook[],2,FALSE)=0,"",VLOOKUP($A31,TableHandbook[],2,FALSE)),"")</f>
        <v/>
      </c>
      <c r="C31" s="189" t="str">
        <f>IFERROR(IF(VLOOKUP($A31,TableHandbook[],3,FALSE)=0,"",VLOOKUP($A31,TableHandbook[],3,FALSE)),"")</f>
        <v/>
      </c>
      <c r="D31" s="189" t="str">
        <f>IFERROR(IF(VLOOKUP($A31,TableHandbook[],4,FALSE)=0,"",VLOOKUP($A31,TableHandbook[],4,FALSE)),"")</f>
        <v/>
      </c>
      <c r="E31" s="190"/>
      <c r="F31" s="191" t="str">
        <f>IFERROR(IF(VLOOKUP($A31,TableHandbook[],6,FALSE)=0,"",VLOOKUP($A31,TableHandbook[],6,FALSE)),"")</f>
        <v/>
      </c>
      <c r="G31" s="191" t="str">
        <f>IFERROR(IF(VLOOKUP($A31,TableHandbook[],5,FALSE)=0,"",VLOOKUP($A31,TableHandbook[],5,FALSE)),"")</f>
        <v/>
      </c>
      <c r="H31" s="261" t="str">
        <f>IFERROR(VLOOKUP($A31,TableHandbook[],H$2,FALSE),"")</f>
        <v/>
      </c>
      <c r="I31" s="262" t="str">
        <f>IFERROR(VLOOKUP($A31,TableHandbook[],I$2,FALSE),"")</f>
        <v/>
      </c>
      <c r="J31" s="263" t="str">
        <f>IFERROR(VLOOKUP($A31,TableHandbook[],J$2,FALSE),"")</f>
        <v/>
      </c>
      <c r="K31" s="262" t="str">
        <f>IFERROR(VLOOKUP($A31,TableHandbook[],K$2,FALSE),"")</f>
        <v/>
      </c>
      <c r="L31" s="263" t="str">
        <f>IFERROR(VLOOKUP($A31,TableHandbook[],L$2,FALSE),"")</f>
        <v/>
      </c>
      <c r="M31" s="262" t="str">
        <f>IFERROR(VLOOKUP($A31,TableHandbook[],M$2,FALSE),"")</f>
        <v/>
      </c>
      <c r="N31" s="263" t="str">
        <f>IFERROR(VLOOKUP($A31,TableHandbook[],N$2,FALSE),"")</f>
        <v/>
      </c>
      <c r="O31" s="262" t="str">
        <f>IFERROR(VLOOKUP($A31,TableHandbook[],O$2,FALSE),"")</f>
        <v/>
      </c>
      <c r="P31" s="24"/>
      <c r="Q31" s="149">
        <v>18</v>
      </c>
    </row>
    <row r="32" spans="1:18" ht="16.5" customHeight="1" x14ac:dyDescent="0.25">
      <c r="A32" s="159"/>
      <c r="B32" s="159"/>
      <c r="C32" s="159"/>
      <c r="D32" s="160"/>
      <c r="E32" s="160"/>
      <c r="F32" s="161"/>
      <c r="G32" s="161"/>
      <c r="H32" s="161"/>
      <c r="I32" s="161"/>
      <c r="J32" s="161"/>
      <c r="K32" s="161"/>
      <c r="L32" s="161"/>
      <c r="M32" s="161"/>
      <c r="N32" s="161"/>
      <c r="O32" s="161"/>
      <c r="P32" s="161"/>
      <c r="Q32" s="88"/>
    </row>
    <row r="33" spans="1:27" s="10" customFormat="1" ht="30" customHeight="1" x14ac:dyDescent="0.25">
      <c r="A33" s="198" t="s">
        <v>34</v>
      </c>
      <c r="B33" s="198"/>
      <c r="C33" s="198"/>
      <c r="D33" s="198"/>
      <c r="E33" s="198"/>
      <c r="F33" s="198"/>
      <c r="G33" s="198"/>
      <c r="H33" s="198"/>
      <c r="I33" s="198"/>
      <c r="J33" s="198"/>
      <c r="K33" s="198"/>
      <c r="L33" s="198"/>
      <c r="M33" s="198"/>
      <c r="N33" s="198"/>
      <c r="O33" s="198"/>
      <c r="P33" s="198"/>
      <c r="Q33" s="88"/>
      <c r="R33" s="8"/>
      <c r="S33" s="8"/>
      <c r="T33" s="8"/>
      <c r="U33" s="8"/>
      <c r="V33" s="8"/>
      <c r="W33" s="8"/>
      <c r="X33" s="8"/>
      <c r="Y33" s="8"/>
      <c r="Z33" s="8"/>
      <c r="AA33" s="8"/>
    </row>
    <row r="34" spans="1:27" s="18" customFormat="1" ht="17.25" x14ac:dyDescent="0.2">
      <c r="A34" s="66" t="s">
        <v>35</v>
      </c>
      <c r="B34" s="66"/>
      <c r="C34" s="66"/>
      <c r="D34" s="67"/>
      <c r="E34" s="67"/>
      <c r="F34" s="67"/>
      <c r="G34" s="67"/>
      <c r="H34" s="67"/>
      <c r="I34" s="67"/>
      <c r="J34" s="67"/>
      <c r="K34" s="67"/>
      <c r="L34" s="67"/>
      <c r="M34" s="67"/>
      <c r="N34" s="67"/>
      <c r="O34" s="67"/>
      <c r="P34" s="67"/>
      <c r="Q34" s="162"/>
      <c r="R34" s="162"/>
      <c r="S34" s="162"/>
    </row>
    <row r="35" spans="1:27" x14ac:dyDescent="0.25">
      <c r="A35" s="163" t="s">
        <v>36</v>
      </c>
      <c r="B35" s="163"/>
      <c r="C35" s="163"/>
      <c r="D35" s="163"/>
      <c r="E35" s="164"/>
      <c r="F35" s="161"/>
      <c r="G35" s="165"/>
      <c r="H35" s="165"/>
      <c r="I35" s="165"/>
      <c r="J35" s="165"/>
      <c r="K35" s="165"/>
      <c r="L35" s="165"/>
      <c r="M35" s="165"/>
      <c r="N35" s="165"/>
      <c r="O35" s="165"/>
      <c r="P35" s="165" t="s">
        <v>37</v>
      </c>
    </row>
  </sheetData>
  <sheetProtection formatCells="0"/>
  <mergeCells count="1">
    <mergeCell ref="A3:D3"/>
  </mergeCells>
  <conditionalFormatting sqref="A11:P15 A19:P31">
    <cfRule type="expression" dxfId="109" priority="3">
      <formula>$A11=""</formula>
    </cfRule>
  </conditionalFormatting>
  <conditionalFormatting sqref="D5:D8">
    <cfRule type="containsText" dxfId="108" priority="5" operator="containsText" text="Choose">
      <formula>NOT(ISERROR(SEARCH("Choose",D5)))</formula>
    </cfRule>
  </conditionalFormatting>
  <conditionalFormatting sqref="H11:O15">
    <cfRule type="expression" dxfId="107" priority="4">
      <formula>$E11=LEFT(H$10,4)</formula>
    </cfRule>
  </conditionalFormatting>
  <dataValidations count="1">
    <dataValidation type="list" allowBlank="1" showInputMessage="1" showErrorMessage="1" sqref="P13" xr:uid="{25FA97FE-B21C-4B7D-8973-D5B7D03EA6FC}"/>
  </dataValidations>
  <hyperlinks>
    <hyperlink ref="A34:P34" r:id="rId1" display="If you have any queries about your course, please contact Curtin Connect." xr:uid="{235E6281-18E0-4803-B9B1-06928333EEEB}"/>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15"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55E93BA-6E7D-42D5-BDA4-D04CF69EF5BE}">
          <x14:formula1>
            <xm:f>Unitsets!$A$35:$A$37</xm:f>
          </x14:formula1>
          <xm:sqref>D7</xm:sqref>
        </x14:dataValidation>
        <x14:dataValidation type="list" allowBlank="1" showInputMessage="1" showErrorMessage="1" xr:uid="{841C5E70-AAE1-4863-B741-DAD86E119CDE}">
          <x14:formula1>
            <xm:f>Unitsets!$A$47:$A$51</xm:f>
          </x14:formula1>
          <xm:sqref>D6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6E025-2FD6-4FD9-982D-ACCFE7883785}">
  <sheetPr>
    <tabColor theme="9" tint="0.59999389629810485"/>
    <pageSetUpPr fitToPage="1"/>
  </sheetPr>
  <dimension ref="A1:T17"/>
  <sheetViews>
    <sheetView showGridLines="0" tabSelected="1" topLeftCell="A3" workbookViewId="0">
      <selection activeCell="D6" sqref="D6"/>
    </sheetView>
  </sheetViews>
  <sheetFormatPr defaultColWidth="9" defaultRowHeight="15" x14ac:dyDescent="0.25"/>
  <cols>
    <col min="1" max="1" width="8.5" style="350" customWidth="1"/>
    <col min="2" max="2" width="3.25" style="350" customWidth="1"/>
    <col min="3" max="3" width="3.875" style="350" customWidth="1"/>
    <col min="4" max="4" width="54.875" style="294" customWidth="1"/>
    <col min="5" max="5" width="7.25" style="294" customWidth="1"/>
    <col min="6" max="6" width="18.125" style="294" customWidth="1"/>
    <col min="7" max="7" width="5.625" style="294" customWidth="1"/>
    <col min="8" max="15" width="3.875" style="294" customWidth="1"/>
    <col min="16" max="16" width="18.625" style="294" customWidth="1"/>
    <col min="17" max="17" width="2.5" style="294" hidden="1" customWidth="1"/>
    <col min="18" max="18" width="2.625" style="294" customWidth="1"/>
    <col min="19" max="16384" width="9" style="294"/>
  </cols>
  <sheetData>
    <row r="1" spans="1:20" hidden="1" x14ac:dyDescent="0.25">
      <c r="A1" s="289" t="s">
        <v>0</v>
      </c>
      <c r="B1" s="290" t="s">
        <v>1</v>
      </c>
      <c r="C1" s="290" t="s">
        <v>2</v>
      </c>
      <c r="D1" s="291" t="s">
        <v>3</v>
      </c>
      <c r="E1" s="291"/>
      <c r="F1" s="291" t="s">
        <v>4</v>
      </c>
      <c r="G1" s="291" t="s">
        <v>5</v>
      </c>
      <c r="H1" s="292" t="s">
        <v>6</v>
      </c>
      <c r="I1" s="292"/>
      <c r="J1" s="292"/>
      <c r="K1" s="292"/>
      <c r="L1" s="292"/>
      <c r="M1" s="291"/>
      <c r="N1" s="291"/>
      <c r="O1" s="291"/>
      <c r="P1" s="291" t="s">
        <v>7</v>
      </c>
      <c r="Q1" s="293"/>
    </row>
    <row r="2" spans="1:20" hidden="1" x14ac:dyDescent="0.25">
      <c r="A2" s="295"/>
      <c r="B2" s="296">
        <v>2</v>
      </c>
      <c r="C2" s="296">
        <v>3</v>
      </c>
      <c r="D2" s="296">
        <v>4</v>
      </c>
      <c r="E2" s="296"/>
      <c r="F2" s="296">
        <v>6</v>
      </c>
      <c r="G2" s="296">
        <v>5</v>
      </c>
      <c r="H2" s="296">
        <v>7</v>
      </c>
      <c r="I2" s="296">
        <v>8</v>
      </c>
      <c r="J2" s="296">
        <v>9</v>
      </c>
      <c r="K2" s="296">
        <v>10</v>
      </c>
      <c r="L2" s="296">
        <v>11</v>
      </c>
      <c r="M2" s="296">
        <v>12</v>
      </c>
      <c r="N2" s="296">
        <v>13</v>
      </c>
      <c r="O2" s="296">
        <v>14</v>
      </c>
      <c r="P2" s="295"/>
      <c r="Q2" s="293"/>
    </row>
    <row r="3" spans="1:20" ht="39.950000000000003" customHeight="1" x14ac:dyDescent="0.25">
      <c r="A3" s="297" t="s">
        <v>8</v>
      </c>
      <c r="B3" s="297"/>
      <c r="C3" s="297"/>
      <c r="D3" s="297"/>
      <c r="E3" s="298"/>
      <c r="F3" s="298"/>
      <c r="G3" s="298"/>
      <c r="H3" s="298"/>
      <c r="I3" s="298"/>
      <c r="J3" s="298"/>
      <c r="K3" s="298"/>
      <c r="L3" s="298"/>
      <c r="M3" s="298"/>
      <c r="N3" s="298"/>
      <c r="O3" s="298"/>
      <c r="P3" s="298"/>
      <c r="Q3" s="293"/>
    </row>
    <row r="4" spans="1:20" ht="26.25" x14ac:dyDescent="0.25">
      <c r="A4" s="299"/>
      <c r="B4" s="299"/>
      <c r="C4" s="299"/>
      <c r="D4" s="300"/>
      <c r="E4" s="301" t="s">
        <v>9</v>
      </c>
      <c r="F4" s="299"/>
      <c r="G4" s="302"/>
      <c r="H4" s="302"/>
      <c r="I4" s="302"/>
      <c r="J4" s="302"/>
      <c r="K4" s="302"/>
      <c r="L4" s="302"/>
      <c r="M4" s="302"/>
      <c r="N4" s="302"/>
      <c r="O4" s="302"/>
      <c r="P4" s="302"/>
      <c r="Q4" s="293"/>
    </row>
    <row r="5" spans="1:20" ht="19.5" customHeight="1" x14ac:dyDescent="0.25">
      <c r="A5" s="303"/>
      <c r="B5" s="303"/>
      <c r="C5" s="304" t="s">
        <v>10</v>
      </c>
      <c r="D5" s="305" t="s">
        <v>48</v>
      </c>
      <c r="E5" s="306"/>
      <c r="F5" s="304" t="s">
        <v>12</v>
      </c>
      <c r="G5" s="307" t="str">
        <f>IFERROR(CONCATENATE(VLOOKUP(D5,TableCourses[],2,FALSE)," ",VLOOKUP(D5,TableCourses[],3,FALSE)),"")</f>
        <v>GC-EDHE v.1</v>
      </c>
      <c r="H5" s="308"/>
      <c r="I5" s="306"/>
      <c r="J5" s="306"/>
      <c r="K5" s="306"/>
      <c r="L5" s="306"/>
      <c r="M5" s="306"/>
      <c r="N5" s="306"/>
      <c r="O5" s="306"/>
      <c r="P5" s="309" t="e">
        <f>CONCATENATE(VLOOKUP(D5,TableCourses[],2,FALSE),VLOOKUP(D6,TableStudyPeriods[],2,FALSE))</f>
        <v>#N/A</v>
      </c>
      <c r="Q5" s="293"/>
    </row>
    <row r="6" spans="1:20" ht="19.5" customHeight="1" x14ac:dyDescent="0.25">
      <c r="A6" s="307"/>
      <c r="B6" s="310"/>
      <c r="C6" s="304" t="s">
        <v>16</v>
      </c>
      <c r="D6" s="166" t="s">
        <v>41</v>
      </c>
      <c r="E6" s="311"/>
      <c r="F6" s="304" t="s">
        <v>18</v>
      </c>
      <c r="G6" s="306" t="str">
        <f>IFERROR(VLOOKUP($D$5,TableCourses[],7,FALSE),"")</f>
        <v>100 credit points required</v>
      </c>
      <c r="H6" s="312"/>
      <c r="I6" s="312"/>
      <c r="J6" s="312"/>
      <c r="K6" s="312"/>
      <c r="L6" s="312"/>
      <c r="M6" s="312"/>
      <c r="N6" s="312"/>
      <c r="O6" s="312"/>
      <c r="P6" s="309"/>
      <c r="Q6" s="293"/>
    </row>
    <row r="7" spans="1:20" s="321" customFormat="1" ht="14.1" customHeight="1" x14ac:dyDescent="0.25">
      <c r="A7" s="313"/>
      <c r="B7" s="313"/>
      <c r="C7" s="313"/>
      <c r="D7" s="314"/>
      <c r="E7" s="315"/>
      <c r="F7" s="313"/>
      <c r="G7" s="313"/>
      <c r="H7" s="316" t="s">
        <v>19</v>
      </c>
      <c r="I7" s="317"/>
      <c r="J7" s="317"/>
      <c r="K7" s="317"/>
      <c r="L7" s="317"/>
      <c r="M7" s="317"/>
      <c r="N7" s="317"/>
      <c r="O7" s="318"/>
      <c r="P7" s="315"/>
      <c r="Q7" s="319"/>
      <c r="R7" s="320"/>
      <c r="S7" s="320"/>
    </row>
    <row r="8" spans="1:20" s="321" customFormat="1" ht="31.5" x14ac:dyDescent="0.25">
      <c r="A8" s="313" t="s">
        <v>20</v>
      </c>
      <c r="B8" s="313"/>
      <c r="C8" s="313"/>
      <c r="D8" s="314" t="s">
        <v>3</v>
      </c>
      <c r="E8" s="322" t="s">
        <v>21</v>
      </c>
      <c r="F8" s="313" t="s">
        <v>22</v>
      </c>
      <c r="G8" s="313" t="s">
        <v>23</v>
      </c>
      <c r="H8" s="323" t="s">
        <v>24</v>
      </c>
      <c r="I8" s="324" t="s">
        <v>25</v>
      </c>
      <c r="J8" s="323" t="s">
        <v>26</v>
      </c>
      <c r="K8" s="324" t="s">
        <v>27</v>
      </c>
      <c r="L8" s="323" t="s">
        <v>28</v>
      </c>
      <c r="M8" s="324" t="s">
        <v>29</v>
      </c>
      <c r="N8" s="323" t="s">
        <v>30</v>
      </c>
      <c r="O8" s="324" t="s">
        <v>31</v>
      </c>
      <c r="P8" s="313" t="s">
        <v>32</v>
      </c>
      <c r="Q8" s="319"/>
      <c r="R8" s="320"/>
      <c r="S8" s="320"/>
    </row>
    <row r="9" spans="1:20" s="333" customFormat="1" ht="21" customHeight="1" x14ac:dyDescent="0.15">
      <c r="A9" s="325" t="str">
        <f>IFERROR(IF(HLOOKUP($P$5,RangeUnitsetsGradCerts,Q9,FALSE)=0,"",HLOOKUP($P$5,RangeUnitsetsGradCerts,Q9,FALSE)),"")</f>
        <v/>
      </c>
      <c r="B9" s="326" t="str">
        <f>IFERROR(IF(VLOOKUP($A9,TableHandbook[],2,FALSE)=0,"",VLOOKUP($A9,TableHandbook[],2,FALSE)),"")</f>
        <v/>
      </c>
      <c r="C9" s="326" t="str">
        <f>IFERROR(IF(VLOOKUP($A9,TableHandbook[],3,FALSE)=0,"",VLOOKUP($A9,TableHandbook[],3,FALSE)),"")</f>
        <v/>
      </c>
      <c r="D9" s="327" t="str">
        <f>IFERROR(IF(VLOOKUP($A9,TableHandbook[],4,FALSE)=0,"",VLOOKUP($A9,TableHandbook[],4,FALSE)),"")</f>
        <v/>
      </c>
      <c r="E9" s="326" t="str">
        <f>IF(OR(A9="",A9="--"),"",VLOOKUP($D$6,TableStudyPeriods[],2,FALSE))</f>
        <v/>
      </c>
      <c r="F9" s="328" t="str">
        <f>IFERROR(IF(VLOOKUP($A9,TableHandbook[],6,FALSE)=0,"",VLOOKUP($A9,TableHandbook[],6,FALSE)),"")</f>
        <v/>
      </c>
      <c r="G9" s="326" t="str">
        <f>IFERROR(IF(VLOOKUP($A9,TableHandbook[],5,FALSE)=0,"",VLOOKUP($A9,TableHandbook[],5,FALSE)),"")</f>
        <v/>
      </c>
      <c r="H9" s="329" t="str">
        <f>IFERROR(VLOOKUP($A9,TableHandbook[],H$2,FALSE),"")</f>
        <v/>
      </c>
      <c r="I9" s="330" t="str">
        <f>IFERROR(VLOOKUP($A9,TableHandbook[],I$2,FALSE),"")</f>
        <v/>
      </c>
      <c r="J9" s="329" t="str">
        <f>IFERROR(VLOOKUP($A9,TableHandbook[],J$2,FALSE),"")</f>
        <v/>
      </c>
      <c r="K9" s="330" t="str">
        <f>IFERROR(VLOOKUP($A9,TableHandbook[],K$2,FALSE),"")</f>
        <v/>
      </c>
      <c r="L9" s="329" t="str">
        <f>IFERROR(VLOOKUP($A9,TableHandbook[],L$2,FALSE),"")</f>
        <v/>
      </c>
      <c r="M9" s="330" t="str">
        <f>IFERROR(VLOOKUP($A9,TableHandbook[],M$2,FALSE),"")</f>
        <v/>
      </c>
      <c r="N9" s="329" t="str">
        <f>IFERROR(VLOOKUP($A9,TableHandbook[],N$2,FALSE),"")</f>
        <v/>
      </c>
      <c r="O9" s="330" t="str">
        <f>IFERROR(VLOOKUP($A9,TableHandbook[],O$2,FALSE),"")</f>
        <v/>
      </c>
      <c r="P9" s="23"/>
      <c r="Q9" s="331">
        <v>2</v>
      </c>
      <c r="R9" s="332"/>
      <c r="S9" s="332"/>
    </row>
    <row r="10" spans="1:20" s="333" customFormat="1" ht="21" customHeight="1" x14ac:dyDescent="0.15">
      <c r="A10" s="334" t="str">
        <f>IFERROR(IF(HLOOKUP($P$5,RangeUnitsetsGradCerts,Q10,FALSE)=0,"",HLOOKUP($P$5,RangeUnitsetsGradCerts,Q10,FALSE)),"")</f>
        <v/>
      </c>
      <c r="B10" s="326" t="str">
        <f>IFERROR(IF(VLOOKUP($A10,TableHandbook[],2,FALSE)=0,"",VLOOKUP($A10,TableHandbook[],2,FALSE)),"")</f>
        <v/>
      </c>
      <c r="C10" s="326" t="str">
        <f>IFERROR(IF(VLOOKUP($A10,TableHandbook[],3,FALSE)=0,"",VLOOKUP($A10,TableHandbook[],3,FALSE)),"")</f>
        <v/>
      </c>
      <c r="D10" s="327" t="str">
        <f>IFERROR(IF(VLOOKUP($A10,TableHandbook[],4,FALSE)=0,"",VLOOKUP($A10,TableHandbook[],4,FALSE)),"")</f>
        <v/>
      </c>
      <c r="E10" s="326" t="str">
        <f>IF(A10="","",E9)</f>
        <v/>
      </c>
      <c r="F10" s="328" t="str">
        <f>IFERROR(IF(VLOOKUP($A10,TableHandbook[],6,FALSE)=0,"",VLOOKUP($A10,TableHandbook[],6,FALSE)),"")</f>
        <v/>
      </c>
      <c r="G10" s="326" t="str">
        <f>IFERROR(IF(VLOOKUP($A10,TableHandbook[],5,FALSE)=0,"",VLOOKUP($A10,TableHandbook[],5,FALSE)),"")</f>
        <v/>
      </c>
      <c r="H10" s="329" t="str">
        <f>IFERROR(VLOOKUP($A10,TableHandbook[],H$2,FALSE),"")</f>
        <v/>
      </c>
      <c r="I10" s="330" t="str">
        <f>IFERROR(VLOOKUP($A10,TableHandbook[],I$2,FALSE),"")</f>
        <v/>
      </c>
      <c r="J10" s="329" t="str">
        <f>IFERROR(VLOOKUP($A10,TableHandbook[],J$2,FALSE),"")</f>
        <v/>
      </c>
      <c r="K10" s="330" t="str">
        <f>IFERROR(VLOOKUP($A10,TableHandbook[],K$2,FALSE),"")</f>
        <v/>
      </c>
      <c r="L10" s="329" t="str">
        <f>IFERROR(VLOOKUP($A10,TableHandbook[],L$2,FALSE),"")</f>
        <v/>
      </c>
      <c r="M10" s="330" t="str">
        <f>IFERROR(VLOOKUP($A10,TableHandbook[],M$2,FALSE),"")</f>
        <v/>
      </c>
      <c r="N10" s="329" t="str">
        <f>IFERROR(VLOOKUP($A10,TableHandbook[],N$2,FALSE),"")</f>
        <v/>
      </c>
      <c r="O10" s="330" t="str">
        <f>IFERROR(VLOOKUP($A10,TableHandbook[],O$2,FALSE),"")</f>
        <v/>
      </c>
      <c r="P10" s="23"/>
      <c r="Q10" s="331">
        <v>3</v>
      </c>
      <c r="R10" s="332"/>
      <c r="S10" s="332"/>
    </row>
    <row r="11" spans="1:20" s="333" customFormat="1" ht="6" customHeight="1" x14ac:dyDescent="0.15">
      <c r="A11" s="335"/>
      <c r="B11" s="336"/>
      <c r="C11" s="336"/>
      <c r="D11" s="337"/>
      <c r="E11" s="336"/>
      <c r="F11" s="338"/>
      <c r="G11" s="336"/>
      <c r="H11" s="339"/>
      <c r="I11" s="340"/>
      <c r="J11" s="339"/>
      <c r="K11" s="340"/>
      <c r="L11" s="339"/>
      <c r="M11" s="340"/>
      <c r="N11" s="339"/>
      <c r="O11" s="340"/>
      <c r="P11" s="106"/>
      <c r="Q11" s="331"/>
      <c r="R11" s="332"/>
      <c r="S11" s="332"/>
      <c r="T11" s="332"/>
    </row>
    <row r="12" spans="1:20" s="333" customFormat="1" ht="21" customHeight="1" x14ac:dyDescent="0.15">
      <c r="A12" s="325" t="str">
        <f>IFERROR(IF(HLOOKUP($P$5,RangeUnitsetsGradCerts,Q12,FALSE)=0,"",HLOOKUP($P$5,RangeUnitsetsGradCerts,Q12,FALSE)),"")</f>
        <v/>
      </c>
      <c r="B12" s="326" t="str">
        <f>IFERROR(IF(VLOOKUP($A12,TableHandbook[],2,FALSE)=0,"",VLOOKUP($A12,TableHandbook[],2,FALSE)),"")</f>
        <v/>
      </c>
      <c r="C12" s="326" t="str">
        <f>IFERROR(IF(VLOOKUP($A12,TableHandbook[],3,FALSE)=0,"",VLOOKUP($A12,TableHandbook[],3,FALSE)),"")</f>
        <v/>
      </c>
      <c r="D12" s="327" t="str">
        <f>IFERROR(IF(VLOOKUP($A12,TableHandbook[],4,FALSE)=0,"",VLOOKUP($A12,TableHandbook[],4,FALSE)),"")</f>
        <v/>
      </c>
      <c r="E12" s="326" t="str">
        <f>IF(OR(A12="",A12="--"),"",VLOOKUP($D$6,TableStudyPeriods[],3,FALSE))</f>
        <v/>
      </c>
      <c r="F12" s="328" t="str">
        <f>IFERROR(IF(VLOOKUP($A12,TableHandbook[],6,FALSE)=0,"",VLOOKUP($A12,TableHandbook[],6,FALSE)),"")</f>
        <v/>
      </c>
      <c r="G12" s="326" t="str">
        <f>IFERROR(IF(VLOOKUP($A12,TableHandbook[],5,FALSE)=0,"",VLOOKUP($A12,TableHandbook[],5,FALSE)),"")</f>
        <v/>
      </c>
      <c r="H12" s="329" t="str">
        <f>IFERROR(VLOOKUP($A12,TableHandbook[],H$2,FALSE),"")</f>
        <v/>
      </c>
      <c r="I12" s="330" t="str">
        <f>IFERROR(VLOOKUP($A12,TableHandbook[],I$2,FALSE),"")</f>
        <v/>
      </c>
      <c r="J12" s="329" t="str">
        <f>IFERROR(VLOOKUP($A12,TableHandbook[],J$2,FALSE),"")</f>
        <v/>
      </c>
      <c r="K12" s="330" t="str">
        <f>IFERROR(VLOOKUP($A12,TableHandbook[],K$2,FALSE),"")</f>
        <v/>
      </c>
      <c r="L12" s="329" t="str">
        <f>IFERROR(VLOOKUP($A12,TableHandbook[],L$2,FALSE),"")</f>
        <v/>
      </c>
      <c r="M12" s="330" t="str">
        <f>IFERROR(VLOOKUP($A12,TableHandbook[],M$2,FALSE),"")</f>
        <v/>
      </c>
      <c r="N12" s="329" t="str">
        <f>IFERROR(VLOOKUP($A12,TableHandbook[],N$2,FALSE),"")</f>
        <v/>
      </c>
      <c r="O12" s="330" t="str">
        <f>IFERROR(VLOOKUP($A12,TableHandbook[],O$2,FALSE),"")</f>
        <v/>
      </c>
      <c r="P12" s="24"/>
      <c r="Q12" s="331">
        <v>4</v>
      </c>
      <c r="R12" s="332"/>
      <c r="S12" s="332"/>
    </row>
    <row r="13" spans="1:20" s="333" customFormat="1" ht="21" customHeight="1" x14ac:dyDescent="0.15">
      <c r="A13" s="325" t="str">
        <f>IFERROR(IF(HLOOKUP($P$5,RangeUnitsetsGradCerts,Q13,FALSE)=0,"",HLOOKUP($P$5,RangeUnitsetsGradCerts,Q13,FALSE)),"")</f>
        <v/>
      </c>
      <c r="B13" s="326" t="str">
        <f>IFERROR(IF(VLOOKUP($A13,TableHandbook[],2,FALSE)=0,"",VLOOKUP($A13,TableHandbook[],2,FALSE)),"")</f>
        <v/>
      </c>
      <c r="C13" s="326" t="str">
        <f>IFERROR(IF(VLOOKUP($A13,TableHandbook[],3,FALSE)=0,"",VLOOKUP($A13,TableHandbook[],3,FALSE)),"")</f>
        <v/>
      </c>
      <c r="D13" s="327" t="str">
        <f>IFERROR(IF(VLOOKUP($A13,TableHandbook[],4,FALSE)=0,"",VLOOKUP($A13,TableHandbook[],4,FALSE)),"")</f>
        <v/>
      </c>
      <c r="E13" s="326" t="str">
        <f>IF(A13="","",E12)</f>
        <v/>
      </c>
      <c r="F13" s="328" t="str">
        <f>IFERROR(IF(VLOOKUP($A13,TableHandbook[],6,FALSE)=0,"",VLOOKUP($A13,TableHandbook[],6,FALSE)),"")</f>
        <v/>
      </c>
      <c r="G13" s="326" t="str">
        <f>IFERROR(IF(VLOOKUP($A13,TableHandbook[],5,FALSE)=0,"",VLOOKUP($A13,TableHandbook[],5,FALSE)),"")</f>
        <v/>
      </c>
      <c r="H13" s="329" t="str">
        <f>IFERROR(VLOOKUP($A13,TableHandbook[],H$2,FALSE),"")</f>
        <v/>
      </c>
      <c r="I13" s="330" t="str">
        <f>IFERROR(VLOOKUP($A13,TableHandbook[],I$2,FALSE),"")</f>
        <v/>
      </c>
      <c r="J13" s="329" t="str">
        <f>IFERROR(VLOOKUP($A13,TableHandbook[],J$2,FALSE),"")</f>
        <v/>
      </c>
      <c r="K13" s="330" t="str">
        <f>IFERROR(VLOOKUP($A13,TableHandbook[],K$2,FALSE),"")</f>
        <v/>
      </c>
      <c r="L13" s="329" t="str">
        <f>IFERROR(VLOOKUP($A13,TableHandbook[],L$2,FALSE),"")</f>
        <v/>
      </c>
      <c r="M13" s="330" t="str">
        <f>IFERROR(VLOOKUP($A13,TableHandbook[],M$2,FALSE),"")</f>
        <v/>
      </c>
      <c r="N13" s="329" t="str">
        <f>IFERROR(VLOOKUP($A13,TableHandbook[],N$2,FALSE),"")</f>
        <v/>
      </c>
      <c r="O13" s="330" t="str">
        <f>IFERROR(VLOOKUP($A13,TableHandbook[],O$2,FALSE),"")</f>
        <v/>
      </c>
      <c r="P13" s="23"/>
      <c r="Q13" s="331">
        <v>5</v>
      </c>
      <c r="R13" s="332"/>
      <c r="S13" s="332"/>
    </row>
    <row r="14" spans="1:20" ht="16.5" customHeight="1" x14ac:dyDescent="0.25">
      <c r="A14" s="341"/>
      <c r="B14" s="341"/>
      <c r="C14" s="341"/>
      <c r="D14" s="342"/>
      <c r="E14" s="342"/>
      <c r="F14" s="343"/>
      <c r="G14" s="343"/>
      <c r="H14" s="343"/>
      <c r="I14" s="343"/>
      <c r="J14" s="343"/>
      <c r="K14" s="343"/>
      <c r="L14" s="343"/>
      <c r="M14" s="343"/>
      <c r="N14" s="343"/>
      <c r="O14" s="343"/>
      <c r="P14" s="343"/>
      <c r="Q14" s="293"/>
    </row>
    <row r="15" spans="1:20" ht="24.95" customHeight="1" x14ac:dyDescent="0.25">
      <c r="A15" s="344" t="s">
        <v>34</v>
      </c>
      <c r="B15" s="344"/>
      <c r="C15" s="344"/>
      <c r="D15" s="344"/>
      <c r="E15" s="344"/>
      <c r="F15" s="344"/>
      <c r="G15" s="344"/>
      <c r="H15" s="344"/>
      <c r="I15" s="344"/>
      <c r="J15" s="344"/>
      <c r="K15" s="344"/>
      <c r="L15" s="344"/>
      <c r="M15" s="344"/>
      <c r="N15" s="344"/>
      <c r="O15" s="344"/>
      <c r="P15" s="344"/>
      <c r="Q15" s="293"/>
    </row>
    <row r="16" spans="1:20" s="346" customFormat="1" ht="17.25" x14ac:dyDescent="0.2">
      <c r="A16" s="66" t="s">
        <v>35</v>
      </c>
      <c r="B16" s="66"/>
      <c r="C16" s="66"/>
      <c r="D16" s="67"/>
      <c r="E16" s="67"/>
      <c r="F16" s="67"/>
      <c r="G16" s="67"/>
      <c r="H16" s="67"/>
      <c r="I16" s="67"/>
      <c r="J16" s="67"/>
      <c r="K16" s="67"/>
      <c r="L16" s="67"/>
      <c r="M16" s="67"/>
      <c r="N16" s="67"/>
      <c r="O16" s="67"/>
      <c r="P16" s="67"/>
      <c r="Q16" s="345"/>
      <c r="R16" s="345"/>
      <c r="S16" s="345"/>
    </row>
    <row r="17" spans="1:16" x14ac:dyDescent="0.25">
      <c r="A17" s="347" t="s">
        <v>36</v>
      </c>
      <c r="B17" s="347"/>
      <c r="C17" s="347"/>
      <c r="D17" s="347"/>
      <c r="E17" s="348"/>
      <c r="F17" s="343"/>
      <c r="G17" s="349"/>
      <c r="H17" s="349"/>
      <c r="I17" s="349"/>
      <c r="J17" s="349"/>
      <c r="K17" s="349"/>
      <c r="L17" s="349"/>
      <c r="M17" s="349"/>
      <c r="N17" s="349"/>
      <c r="O17" s="349"/>
      <c r="P17" s="349" t="s">
        <v>37</v>
      </c>
    </row>
  </sheetData>
  <sheetProtection algorithmName="SHA-512" hashValue="JMd9my5gqWliPLe3Zj8j2YIxCjAgbjiSq0qmr1fgdgrtiVjMYa91JXIGRwDQMEswtaO82Gqikeey7X+OHGT5mw==" saltValue="kJZ/S6IlEjOCFXH3Rj9jEw==" spinCount="100000" sheet="1" objects="1" scenarios="1" formatCells="0" formatColumns="0" formatRows="0"/>
  <mergeCells count="1">
    <mergeCell ref="A3:D3"/>
  </mergeCells>
  <conditionalFormatting sqref="A9:P13">
    <cfRule type="expression" dxfId="106" priority="1">
      <formula>$A9=""</formula>
    </cfRule>
  </conditionalFormatting>
  <conditionalFormatting sqref="D5:D6">
    <cfRule type="containsText" dxfId="105" priority="3" operator="containsText" text="Choose">
      <formula>NOT(ISERROR(SEARCH("Choose",D5)))</formula>
    </cfRule>
  </conditionalFormatting>
  <conditionalFormatting sqref="H9:O13">
    <cfRule type="expression" dxfId="104" priority="2">
      <formula>$E9=LEFT(H$8,4)</formula>
    </cfRule>
  </conditionalFormatting>
  <dataValidations count="1">
    <dataValidation type="list" allowBlank="1" showInputMessage="1" showErrorMessage="1" sqref="P11" xr:uid="{ABA42B55-1120-44BC-81D8-A06CE206F949}"/>
  </dataValidations>
  <hyperlinks>
    <hyperlink ref="A16:P16" r:id="rId1" display="If you have any queries about your course, please contact Curtin Connect." xr:uid="{9AAF41B6-9065-4170-B9FC-85CC288503AD}"/>
  </hyperlinks>
  <printOptions horizontalCentered="1"/>
  <pageMargins left="0.31496062992125984" right="0.31496062992125984" top="0.39370078740157483" bottom="0.39370078740157483" header="0.19685039370078741" footer="0.19685039370078741"/>
  <pageSetup paperSize="9" scale="85" orientation="landscape" r:id="rId2"/>
  <rowBreaks count="1" manualBreakCount="1">
    <brk id="13"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A101E31C-AB93-49AC-B05E-3B0AE7613D32}">
          <x14:formula1>
            <xm:f>Unitsets!$A$28:$A$32</xm:f>
          </x14:formula1>
          <xm:sqref>D6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AY88"/>
  <sheetViews>
    <sheetView topLeftCell="A58" zoomScale="80" zoomScaleNormal="80" workbookViewId="0">
      <selection activeCell="J85" sqref="J85:M88"/>
    </sheetView>
  </sheetViews>
  <sheetFormatPr defaultColWidth="9" defaultRowHeight="15.75" x14ac:dyDescent="0.25"/>
  <cols>
    <col min="1" max="1" width="70" style="29" bestFit="1" customWidth="1"/>
    <col min="2" max="2" width="12.375" style="26" customWidth="1"/>
    <col min="3" max="3" width="12.75" style="26" bestFit="1" customWidth="1"/>
    <col min="4" max="4" width="17.375" style="26" bestFit="1" customWidth="1"/>
    <col min="5" max="5" width="14.875" style="26" bestFit="1" customWidth="1"/>
    <col min="6" max="6" width="19.125" style="26" bestFit="1" customWidth="1"/>
    <col min="7" max="7" width="20.625" style="26" bestFit="1" customWidth="1"/>
    <col min="8" max="8" width="27.5" style="26" customWidth="1"/>
    <col min="9" max="9" width="26.5" style="26" bestFit="1" customWidth="1"/>
    <col min="10" max="10" width="20.75" style="26" bestFit="1" customWidth="1"/>
    <col min="11" max="11" width="3.625" style="27" customWidth="1"/>
    <col min="12" max="12" width="6.75" style="27" bestFit="1" customWidth="1"/>
    <col min="13" max="13" width="17.125" style="27" bestFit="1" customWidth="1"/>
    <col min="14" max="14" width="6.5" style="27" bestFit="1" customWidth="1"/>
    <col min="15" max="15" width="17.5" style="27" bestFit="1" customWidth="1"/>
    <col min="16" max="16" width="6.5" style="27" bestFit="1" customWidth="1"/>
    <col min="17" max="17" width="17.5" style="27" bestFit="1" customWidth="1"/>
    <col min="18" max="18" width="6.5" style="27" bestFit="1" customWidth="1"/>
    <col min="19" max="19" width="17.5" style="27" bestFit="1" customWidth="1"/>
    <col min="20" max="20" width="6.5" style="27" bestFit="1" customWidth="1"/>
    <col min="21" max="21" width="17.375" style="27" bestFit="1" customWidth="1"/>
    <col min="22" max="22" width="6.5" style="27" bestFit="1" customWidth="1"/>
    <col min="23" max="23" width="17.625" style="27" bestFit="1" customWidth="1"/>
    <col min="24" max="24" width="6.5" style="27" bestFit="1" customWidth="1"/>
    <col min="25" max="25" width="17.625" style="27" bestFit="1" customWidth="1"/>
    <col min="26" max="26" width="6.5" style="27" customWidth="1"/>
    <col min="27" max="27" width="17.625" style="27" bestFit="1" customWidth="1"/>
    <col min="28" max="28" width="6.5" style="27" bestFit="1" customWidth="1"/>
    <col min="29" max="29" width="16.75" style="27" bestFit="1" customWidth="1"/>
    <col min="30" max="30" width="6.5" style="27" bestFit="1" customWidth="1"/>
    <col min="31" max="31" width="17" style="27" bestFit="1" customWidth="1"/>
    <col min="32" max="32" width="6.5" style="27" bestFit="1" customWidth="1"/>
    <col min="33" max="33" width="17" style="27" bestFit="1" customWidth="1"/>
    <col min="34" max="34" width="6.5" style="27" bestFit="1" customWidth="1"/>
    <col min="35" max="35" width="17" style="27" bestFit="1" customWidth="1"/>
    <col min="36" max="36" width="6.25" style="27" bestFit="1" customWidth="1"/>
    <col min="37" max="37" width="13.625" style="27" bestFit="1" customWidth="1"/>
    <col min="38" max="38" width="5.875" style="27" bestFit="1" customWidth="1"/>
    <col min="39" max="39" width="14" style="27" bestFit="1" customWidth="1"/>
    <col min="40" max="40" width="5.875" style="27" bestFit="1" customWidth="1"/>
    <col min="41" max="41" width="14" style="27" bestFit="1" customWidth="1"/>
    <col min="42" max="42" width="5.875" style="27" bestFit="1" customWidth="1"/>
    <col min="43" max="43" width="14" style="27" bestFit="1" customWidth="1"/>
    <col min="44" max="44" width="4.5" style="27" bestFit="1" customWidth="1"/>
    <col min="45" max="45" width="5.25" style="27" bestFit="1" customWidth="1"/>
    <col min="46" max="46" width="69.125" style="27" bestFit="1" customWidth="1"/>
    <col min="47" max="16384" width="9" style="27"/>
  </cols>
  <sheetData>
    <row r="1" spans="1:51" x14ac:dyDescent="0.25">
      <c r="B1"/>
      <c r="C1"/>
      <c r="D1"/>
      <c r="E1"/>
      <c r="F1"/>
      <c r="G1"/>
      <c r="H1"/>
      <c r="L1" s="28"/>
    </row>
    <row r="2" spans="1:51" x14ac:dyDescent="0.25">
      <c r="A2" s="73" t="s">
        <v>49</v>
      </c>
      <c r="L2" s="30"/>
      <c r="M2" s="31"/>
      <c r="N2" s="32"/>
      <c r="O2" s="31"/>
      <c r="P2" s="33"/>
      <c r="Q2" s="31"/>
      <c r="R2" s="32"/>
      <c r="S2" s="31"/>
      <c r="T2" s="31"/>
      <c r="U2" s="31"/>
      <c r="V2" s="31"/>
      <c r="W2" s="31"/>
      <c r="X2" s="31"/>
      <c r="Y2" s="31"/>
      <c r="Z2" s="31"/>
      <c r="AA2" s="31"/>
      <c r="AB2" s="32"/>
      <c r="AC2" s="32"/>
      <c r="AD2" s="32"/>
      <c r="AE2" s="32"/>
      <c r="AF2" s="32"/>
      <c r="AG2" s="32"/>
      <c r="AH2" s="32"/>
      <c r="AI2" s="32"/>
      <c r="AJ2" s="32"/>
      <c r="AK2" s="32"/>
      <c r="AL2" s="32"/>
      <c r="AM2" s="32"/>
      <c r="AN2" s="32"/>
      <c r="AO2" s="32"/>
      <c r="AP2" s="32"/>
      <c r="AQ2" s="32"/>
      <c r="AR2" s="32"/>
      <c r="AS2" s="32"/>
      <c r="AT2" s="32"/>
      <c r="AU2" s="34"/>
      <c r="AV2" s="34"/>
      <c r="AW2" s="34"/>
      <c r="AX2" s="34"/>
      <c r="AY2" s="34"/>
    </row>
    <row r="3" spans="1:51" x14ac:dyDescent="0.25">
      <c r="A3" s="26" t="s">
        <v>50</v>
      </c>
      <c r="B3" s="29" t="s">
        <v>0</v>
      </c>
      <c r="C3" s="26" t="s">
        <v>51</v>
      </c>
      <c r="D3" s="26" t="s">
        <v>52</v>
      </c>
      <c r="E3" s="26" t="s">
        <v>53</v>
      </c>
      <c r="F3" s="26" t="s">
        <v>54</v>
      </c>
      <c r="G3" s="26" t="s">
        <v>55</v>
      </c>
      <c r="H3" s="26" t="s">
        <v>56</v>
      </c>
      <c r="I3" s="249"/>
      <c r="L3" s="30"/>
      <c r="M3" s="31"/>
      <c r="N3" s="32"/>
      <c r="O3" s="31"/>
      <c r="P3" s="33"/>
      <c r="Q3" s="31"/>
      <c r="R3" s="32"/>
      <c r="S3" s="31"/>
      <c r="T3" s="31"/>
      <c r="U3" s="31"/>
      <c r="V3" s="31"/>
      <c r="W3" s="31"/>
      <c r="X3" s="31"/>
      <c r="Y3" s="31"/>
      <c r="Z3" s="31"/>
      <c r="AA3" s="31"/>
      <c r="AB3" s="32"/>
      <c r="AC3" s="32"/>
      <c r="AD3" s="32"/>
      <c r="AE3" s="32"/>
      <c r="AF3" s="32"/>
      <c r="AG3" s="32"/>
      <c r="AH3" s="32"/>
      <c r="AI3" s="32"/>
      <c r="AJ3" s="32"/>
      <c r="AK3" s="32"/>
      <c r="AL3" s="32"/>
      <c r="AM3" s="32"/>
      <c r="AN3" s="32"/>
      <c r="AO3" s="32"/>
      <c r="AP3" s="32"/>
      <c r="AQ3" s="32"/>
      <c r="AR3" s="32"/>
      <c r="AS3" s="32"/>
      <c r="AT3" s="32"/>
      <c r="AU3" s="34"/>
      <c r="AV3" s="34"/>
      <c r="AW3" s="34"/>
      <c r="AX3" s="34"/>
      <c r="AY3" s="34"/>
    </row>
    <row r="4" spans="1:51" x14ac:dyDescent="0.25">
      <c r="A4" s="102" t="s">
        <v>47</v>
      </c>
      <c r="B4" s="252" t="s">
        <v>57</v>
      </c>
      <c r="C4" s="252" t="s">
        <v>58</v>
      </c>
      <c r="D4" s="253">
        <v>44197</v>
      </c>
      <c r="E4" s="271">
        <v>5</v>
      </c>
      <c r="F4" s="251">
        <v>45658</v>
      </c>
      <c r="G4" s="103" t="s">
        <v>59</v>
      </c>
      <c r="H4" s="272" t="s">
        <v>60</v>
      </c>
      <c r="I4" s="49" t="s">
        <v>61</v>
      </c>
      <c r="J4" s="93" t="s">
        <v>62</v>
      </c>
      <c r="K4" s="35">
        <v>1</v>
      </c>
      <c r="L4" s="37"/>
      <c r="M4" s="36" t="s">
        <v>63</v>
      </c>
      <c r="N4" s="37"/>
      <c r="O4" s="36" t="s">
        <v>64</v>
      </c>
      <c r="P4" s="37"/>
      <c r="Q4" s="36" t="s">
        <v>65</v>
      </c>
      <c r="R4" s="37"/>
      <c r="S4" s="36" t="s">
        <v>66</v>
      </c>
      <c r="T4" s="37"/>
      <c r="U4" s="36" t="s">
        <v>67</v>
      </c>
      <c r="V4" s="37"/>
      <c r="W4" s="36" t="s">
        <v>68</v>
      </c>
      <c r="X4" s="37"/>
      <c r="Y4" s="36" t="s">
        <v>69</v>
      </c>
      <c r="Z4" s="37"/>
      <c r="AA4" s="36" t="s">
        <v>70</v>
      </c>
      <c r="AB4" s="38"/>
      <c r="AC4" s="38"/>
      <c r="AD4" s="38"/>
      <c r="AE4" s="38"/>
      <c r="AF4" s="38"/>
      <c r="AG4" s="38"/>
      <c r="AH4" s="38"/>
      <c r="AI4" s="38"/>
      <c r="AJ4" s="38"/>
      <c r="AK4" s="38"/>
      <c r="AL4" s="38"/>
      <c r="AM4" s="38"/>
      <c r="AN4" s="38"/>
      <c r="AO4" s="38"/>
      <c r="AP4" s="38"/>
      <c r="AQ4" s="38"/>
      <c r="AR4" s="38"/>
      <c r="AS4" s="38"/>
      <c r="AT4" s="38"/>
      <c r="AU4" s="34"/>
      <c r="AV4" s="34"/>
      <c r="AW4" s="34"/>
      <c r="AX4" s="34"/>
      <c r="AY4" s="34"/>
    </row>
    <row r="5" spans="1:51" x14ac:dyDescent="0.25">
      <c r="A5" s="116" t="s">
        <v>48</v>
      </c>
      <c r="B5" s="252" t="s">
        <v>71</v>
      </c>
      <c r="C5" s="252" t="s">
        <v>58</v>
      </c>
      <c r="D5" s="253">
        <v>43466</v>
      </c>
      <c r="E5" s="252">
        <v>3</v>
      </c>
      <c r="F5" s="253">
        <v>44197</v>
      </c>
      <c r="G5" s="103" t="s">
        <v>59</v>
      </c>
      <c r="H5" s="252" t="s">
        <v>72</v>
      </c>
      <c r="I5" s="49"/>
      <c r="K5" s="39">
        <v>2</v>
      </c>
      <c r="L5" s="56" t="s">
        <v>73</v>
      </c>
      <c r="M5" s="60" t="s">
        <v>74</v>
      </c>
      <c r="N5" s="56" t="s">
        <v>75</v>
      </c>
      <c r="O5" s="60" t="s">
        <v>76</v>
      </c>
      <c r="P5" s="56" t="s">
        <v>77</v>
      </c>
      <c r="Q5" s="60" t="s">
        <v>74</v>
      </c>
      <c r="R5" s="56" t="s">
        <v>78</v>
      </c>
      <c r="S5" s="60" t="s">
        <v>76</v>
      </c>
      <c r="T5" s="56" t="s">
        <v>73</v>
      </c>
      <c r="U5" s="60" t="s">
        <v>74</v>
      </c>
      <c r="V5" s="56" t="s">
        <v>75</v>
      </c>
      <c r="W5" s="60" t="s">
        <v>76</v>
      </c>
      <c r="X5" s="56" t="s">
        <v>77</v>
      </c>
      <c r="Y5" s="60" t="s">
        <v>79</v>
      </c>
      <c r="Z5" s="56" t="s">
        <v>78</v>
      </c>
      <c r="AA5" s="60" t="s">
        <v>76</v>
      </c>
      <c r="AB5" s="35"/>
      <c r="AC5" s="35"/>
      <c r="AD5" s="35"/>
      <c r="AE5" s="35"/>
      <c r="AF5" s="35"/>
      <c r="AG5" s="35"/>
      <c r="AH5" s="35"/>
      <c r="AI5" s="35"/>
      <c r="AJ5" s="35"/>
      <c r="AK5" s="35"/>
      <c r="AL5" s="35"/>
      <c r="AM5" s="35"/>
      <c r="AN5" s="35"/>
      <c r="AO5" s="35"/>
      <c r="AP5" s="35"/>
      <c r="AQ5" s="35"/>
      <c r="AR5" s="35"/>
      <c r="AS5" s="35"/>
      <c r="AT5" s="35"/>
      <c r="AU5" s="34"/>
      <c r="AV5" s="34"/>
      <c r="AW5" s="34"/>
      <c r="AX5" s="34"/>
      <c r="AY5" s="34"/>
    </row>
    <row r="6" spans="1:51" x14ac:dyDescent="0.25">
      <c r="A6" s="29" t="s">
        <v>80</v>
      </c>
      <c r="B6" s="252" t="s">
        <v>81</v>
      </c>
      <c r="C6" s="252" t="s">
        <v>82</v>
      </c>
      <c r="D6" s="253">
        <v>42736</v>
      </c>
      <c r="E6" s="252">
        <v>4</v>
      </c>
      <c r="F6" s="253">
        <v>44562</v>
      </c>
      <c r="G6" s="103" t="s">
        <v>59</v>
      </c>
      <c r="H6" s="272" t="s">
        <v>60</v>
      </c>
      <c r="I6" s="49"/>
      <c r="K6" s="39">
        <v>3</v>
      </c>
      <c r="L6" s="57" t="s">
        <v>73</v>
      </c>
      <c r="M6" s="61" t="s">
        <v>79</v>
      </c>
      <c r="N6" s="57" t="s">
        <v>75</v>
      </c>
      <c r="O6" s="61"/>
      <c r="P6" s="57" t="s">
        <v>77</v>
      </c>
      <c r="Q6" s="61" t="s">
        <v>83</v>
      </c>
      <c r="R6" s="57" t="s">
        <v>78</v>
      </c>
      <c r="S6" s="61"/>
      <c r="T6" s="57" t="s">
        <v>73</v>
      </c>
      <c r="U6" s="61" t="s">
        <v>79</v>
      </c>
      <c r="V6" s="57" t="s">
        <v>75</v>
      </c>
      <c r="W6" s="61"/>
      <c r="X6" s="57" t="s">
        <v>77</v>
      </c>
      <c r="Y6" s="61" t="s">
        <v>74</v>
      </c>
      <c r="Z6" s="57" t="s">
        <v>78</v>
      </c>
      <c r="AA6" s="61"/>
      <c r="AB6" s="35"/>
      <c r="AC6" s="35"/>
      <c r="AD6" s="35"/>
      <c r="AE6" s="35"/>
      <c r="AF6" s="35"/>
      <c r="AG6" s="35"/>
      <c r="AH6" s="35"/>
      <c r="AI6" s="35"/>
      <c r="AJ6" s="35"/>
      <c r="AK6" s="35"/>
      <c r="AL6" s="35"/>
      <c r="AM6" s="35"/>
      <c r="AN6" s="35"/>
      <c r="AO6" s="35"/>
      <c r="AP6" s="35"/>
      <c r="AQ6" s="35"/>
      <c r="AR6" s="35"/>
      <c r="AS6" s="35"/>
      <c r="AT6" s="35"/>
      <c r="AU6" s="34"/>
      <c r="AV6" s="34"/>
      <c r="AW6" s="34"/>
      <c r="AX6" s="34"/>
      <c r="AY6" s="34"/>
    </row>
    <row r="7" spans="1:51" x14ac:dyDescent="0.25">
      <c r="A7" s="116" t="s">
        <v>84</v>
      </c>
      <c r="B7" s="252" t="s">
        <v>85</v>
      </c>
      <c r="C7" s="252" t="s">
        <v>58</v>
      </c>
      <c r="D7" s="253">
        <v>45292</v>
      </c>
      <c r="E7" s="252">
        <v>1</v>
      </c>
      <c r="F7" s="253">
        <v>45292</v>
      </c>
      <c r="G7" s="117" t="s">
        <v>86</v>
      </c>
      <c r="H7" s="252" t="s">
        <v>87</v>
      </c>
      <c r="I7" s="49"/>
      <c r="K7" s="39">
        <v>4</v>
      </c>
      <c r="L7" s="57" t="s">
        <v>75</v>
      </c>
      <c r="M7" s="61" t="s">
        <v>88</v>
      </c>
      <c r="N7" s="57" t="s">
        <v>77</v>
      </c>
      <c r="O7" s="61"/>
      <c r="P7" s="57" t="s">
        <v>78</v>
      </c>
      <c r="Q7" s="61" t="s">
        <v>88</v>
      </c>
      <c r="R7" s="57" t="s">
        <v>73</v>
      </c>
      <c r="S7" s="61"/>
      <c r="T7" s="57" t="s">
        <v>75</v>
      </c>
      <c r="U7" s="61" t="s">
        <v>88</v>
      </c>
      <c r="V7" s="57" t="s">
        <v>77</v>
      </c>
      <c r="W7" s="61"/>
      <c r="X7" s="57" t="s">
        <v>78</v>
      </c>
      <c r="Y7" s="61" t="s">
        <v>89</v>
      </c>
      <c r="Z7" s="57" t="s">
        <v>73</v>
      </c>
      <c r="AA7" s="61"/>
      <c r="AB7" s="35"/>
      <c r="AC7" s="35"/>
      <c r="AD7" s="35"/>
      <c r="AE7" s="35"/>
      <c r="AF7" s="35"/>
      <c r="AG7" s="35"/>
      <c r="AH7" s="35"/>
      <c r="AI7" s="35"/>
      <c r="AJ7" s="35"/>
      <c r="AK7" s="35"/>
      <c r="AL7" s="35"/>
      <c r="AM7" s="35"/>
      <c r="AN7" s="35"/>
      <c r="AO7" s="35"/>
      <c r="AP7" s="35"/>
      <c r="AQ7" s="35"/>
      <c r="AR7" s="35"/>
      <c r="AS7" s="35"/>
      <c r="AT7" s="35"/>
      <c r="AU7" s="34"/>
      <c r="AV7" s="34"/>
      <c r="AW7" s="34"/>
      <c r="AX7" s="34"/>
      <c r="AY7" s="34"/>
    </row>
    <row r="8" spans="1:51" x14ac:dyDescent="0.25">
      <c r="A8" s="116" t="s">
        <v>90</v>
      </c>
      <c r="B8" s="252" t="s">
        <v>85</v>
      </c>
      <c r="C8" s="252" t="s">
        <v>58</v>
      </c>
      <c r="D8" s="253">
        <v>45292</v>
      </c>
      <c r="E8" s="252">
        <v>1</v>
      </c>
      <c r="F8" s="253">
        <v>45292</v>
      </c>
      <c r="G8" s="117" t="s">
        <v>86</v>
      </c>
      <c r="H8" s="252" t="s">
        <v>87</v>
      </c>
      <c r="I8" s="49"/>
      <c r="K8" s="39">
        <v>5</v>
      </c>
      <c r="L8" s="57" t="s">
        <v>75</v>
      </c>
      <c r="M8" s="62" t="s">
        <v>91</v>
      </c>
      <c r="N8" s="57" t="s">
        <v>77</v>
      </c>
      <c r="O8" s="61"/>
      <c r="P8" s="57" t="s">
        <v>78</v>
      </c>
      <c r="Q8" s="61" t="s">
        <v>92</v>
      </c>
      <c r="R8" s="57" t="s">
        <v>73</v>
      </c>
      <c r="S8" s="61"/>
      <c r="T8" s="57" t="s">
        <v>75</v>
      </c>
      <c r="U8" s="61" t="s">
        <v>93</v>
      </c>
      <c r="V8" s="57" t="s">
        <v>77</v>
      </c>
      <c r="W8" s="61"/>
      <c r="X8" s="57" t="s">
        <v>78</v>
      </c>
      <c r="Y8" s="61" t="s">
        <v>88</v>
      </c>
      <c r="Z8" s="57" t="s">
        <v>73</v>
      </c>
      <c r="AA8" s="61"/>
      <c r="AB8" s="35"/>
      <c r="AC8" s="35"/>
      <c r="AD8" s="35"/>
      <c r="AE8" s="35"/>
      <c r="AF8" s="35"/>
      <c r="AG8" s="35"/>
      <c r="AH8" s="35"/>
      <c r="AI8" s="35"/>
      <c r="AJ8" s="35"/>
      <c r="AK8" s="35"/>
      <c r="AL8" s="35"/>
      <c r="AM8" s="35"/>
      <c r="AN8" s="35"/>
      <c r="AO8" s="35"/>
      <c r="AP8" s="35"/>
      <c r="AQ8" s="35"/>
      <c r="AR8" s="35"/>
      <c r="AS8" s="35"/>
      <c r="AT8" s="35"/>
      <c r="AU8" s="40"/>
      <c r="AV8" s="41"/>
      <c r="AW8" s="40"/>
      <c r="AX8" s="40"/>
    </row>
    <row r="9" spans="1:51" x14ac:dyDescent="0.25">
      <c r="A9" s="29" t="s">
        <v>94</v>
      </c>
      <c r="B9" s="252" t="s">
        <v>95</v>
      </c>
      <c r="C9" s="252" t="s">
        <v>96</v>
      </c>
      <c r="D9" s="253">
        <v>43647</v>
      </c>
      <c r="E9" s="252">
        <v>12</v>
      </c>
      <c r="F9" s="253">
        <v>44927</v>
      </c>
      <c r="G9" s="103" t="s">
        <v>86</v>
      </c>
      <c r="H9" s="272" t="s">
        <v>60</v>
      </c>
      <c r="I9" s="49"/>
      <c r="K9" s="39">
        <v>6</v>
      </c>
      <c r="L9" s="57" t="s">
        <v>77</v>
      </c>
      <c r="M9" s="61" t="s">
        <v>83</v>
      </c>
      <c r="N9" s="57" t="s">
        <v>78</v>
      </c>
      <c r="O9" s="61"/>
      <c r="P9" s="57" t="s">
        <v>73</v>
      </c>
      <c r="Q9" s="61" t="s">
        <v>79</v>
      </c>
      <c r="R9" s="57" t="s">
        <v>75</v>
      </c>
      <c r="S9" s="61"/>
      <c r="T9" s="57" t="s">
        <v>77</v>
      </c>
      <c r="U9" s="61" t="s">
        <v>97</v>
      </c>
      <c r="V9" s="57" t="s">
        <v>78</v>
      </c>
      <c r="W9" s="61"/>
      <c r="X9" s="57" t="s">
        <v>73</v>
      </c>
      <c r="Y9" s="61" t="s">
        <v>98</v>
      </c>
      <c r="Z9" s="57" t="s">
        <v>75</v>
      </c>
      <c r="AA9" s="61"/>
      <c r="AB9" s="35"/>
      <c r="AC9" s="35"/>
      <c r="AD9" s="35"/>
      <c r="AE9" s="35"/>
      <c r="AF9" s="35"/>
      <c r="AG9" s="35"/>
      <c r="AH9" s="35"/>
      <c r="AI9" s="35"/>
      <c r="AJ9" s="35"/>
      <c r="AK9" s="35"/>
      <c r="AL9" s="35"/>
      <c r="AM9" s="35"/>
      <c r="AN9" s="35"/>
      <c r="AO9" s="35"/>
      <c r="AP9" s="35"/>
      <c r="AQ9" s="35"/>
      <c r="AR9" s="35"/>
      <c r="AS9" s="35"/>
      <c r="AT9" s="35"/>
      <c r="AU9" s="40"/>
      <c r="AV9" s="41"/>
      <c r="AW9" s="43"/>
      <c r="AX9" s="40"/>
    </row>
    <row r="10" spans="1:51" x14ac:dyDescent="0.25">
      <c r="A10" s="29" t="s">
        <v>42</v>
      </c>
      <c r="B10" s="252" t="s">
        <v>99</v>
      </c>
      <c r="C10" s="252" t="s">
        <v>100</v>
      </c>
      <c r="D10" s="253">
        <v>44562</v>
      </c>
      <c r="E10" s="250">
        <v>4</v>
      </c>
      <c r="F10" s="251">
        <v>45474</v>
      </c>
      <c r="G10" s="103" t="s">
        <v>86</v>
      </c>
      <c r="H10" s="272" t="s">
        <v>60</v>
      </c>
      <c r="I10" s="49" t="s">
        <v>101</v>
      </c>
      <c r="K10" s="39">
        <v>7</v>
      </c>
      <c r="L10" s="57" t="s">
        <v>77</v>
      </c>
      <c r="M10" s="62" t="s">
        <v>102</v>
      </c>
      <c r="N10" s="57" t="s">
        <v>78</v>
      </c>
      <c r="O10" s="61"/>
      <c r="P10" s="57" t="s">
        <v>73</v>
      </c>
      <c r="Q10" s="61" t="s">
        <v>103</v>
      </c>
      <c r="R10" s="57" t="s">
        <v>75</v>
      </c>
      <c r="S10" s="61"/>
      <c r="T10" s="57" t="s">
        <v>77</v>
      </c>
      <c r="U10" s="61" t="s">
        <v>104</v>
      </c>
      <c r="V10" s="57" t="s">
        <v>78</v>
      </c>
      <c r="W10" s="61"/>
      <c r="X10" s="57" t="s">
        <v>73</v>
      </c>
      <c r="Y10" s="61" t="s">
        <v>93</v>
      </c>
      <c r="Z10" s="57" t="s">
        <v>75</v>
      </c>
      <c r="AA10" s="61"/>
      <c r="AB10" s="35"/>
      <c r="AC10" s="35"/>
      <c r="AD10" s="35"/>
      <c r="AE10" s="35"/>
      <c r="AF10" s="35"/>
      <c r="AG10" s="35"/>
      <c r="AH10" s="35"/>
      <c r="AI10" s="35"/>
      <c r="AJ10" s="35"/>
      <c r="AK10" s="35"/>
      <c r="AL10" s="35"/>
      <c r="AM10" s="35"/>
      <c r="AN10" s="35"/>
      <c r="AO10" s="35"/>
      <c r="AP10" s="35"/>
      <c r="AQ10" s="35"/>
      <c r="AR10" s="35"/>
      <c r="AS10" s="35"/>
      <c r="AT10" s="35"/>
      <c r="AW10" s="40"/>
      <c r="AX10" s="40"/>
    </row>
    <row r="11" spans="1:51" x14ac:dyDescent="0.25">
      <c r="A11" s="26" t="s">
        <v>11</v>
      </c>
      <c r="B11" s="252" t="s">
        <v>105</v>
      </c>
      <c r="C11" s="252" t="s">
        <v>82</v>
      </c>
      <c r="D11" s="253">
        <v>44562</v>
      </c>
      <c r="E11" s="250">
        <v>8</v>
      </c>
      <c r="F11" s="251">
        <v>45474</v>
      </c>
      <c r="G11" s="103" t="s">
        <v>106</v>
      </c>
      <c r="H11" s="272" t="s">
        <v>60</v>
      </c>
      <c r="I11" s="49" t="s">
        <v>107</v>
      </c>
      <c r="K11" s="39">
        <v>8</v>
      </c>
      <c r="L11" s="57" t="s">
        <v>78</v>
      </c>
      <c r="M11" s="61" t="s">
        <v>97</v>
      </c>
      <c r="N11" s="57" t="s">
        <v>73</v>
      </c>
      <c r="O11" s="61"/>
      <c r="P11" s="57" t="s">
        <v>75</v>
      </c>
      <c r="Q11" s="61" t="s">
        <v>91</v>
      </c>
      <c r="R11" s="57" t="s">
        <v>77</v>
      </c>
      <c r="S11" s="61"/>
      <c r="T11" s="57" t="s">
        <v>78</v>
      </c>
      <c r="U11" s="61" t="s">
        <v>89</v>
      </c>
      <c r="V11" s="57" t="s">
        <v>73</v>
      </c>
      <c r="W11" s="61"/>
      <c r="X11" s="57" t="s">
        <v>75</v>
      </c>
      <c r="Y11" s="61" t="s">
        <v>108</v>
      </c>
      <c r="Z11" s="57" t="s">
        <v>77</v>
      </c>
      <c r="AA11" s="61"/>
      <c r="AB11" s="35"/>
      <c r="AC11" s="35"/>
      <c r="AD11" s="35"/>
      <c r="AE11" s="35"/>
      <c r="AF11" s="35"/>
      <c r="AG11" s="35"/>
      <c r="AH11" s="35"/>
      <c r="AI11" s="35"/>
      <c r="AJ11" s="35"/>
      <c r="AK11" s="35"/>
      <c r="AL11" s="35"/>
      <c r="AM11" s="35"/>
      <c r="AN11" s="35"/>
      <c r="AO11" s="35"/>
      <c r="AP11" s="35"/>
      <c r="AQ11" s="35"/>
      <c r="AR11" s="35"/>
      <c r="AS11" s="35"/>
      <c r="AT11" s="35"/>
      <c r="AW11" s="40"/>
      <c r="AX11" s="40"/>
    </row>
    <row r="12" spans="1:51" x14ac:dyDescent="0.25">
      <c r="A12" s="29" t="s">
        <v>109</v>
      </c>
      <c r="B12" s="252" t="s">
        <v>110</v>
      </c>
      <c r="C12" s="252" t="s">
        <v>82</v>
      </c>
      <c r="D12" s="253">
        <v>44562</v>
      </c>
      <c r="E12" s="252">
        <v>2</v>
      </c>
      <c r="F12" s="253">
        <v>44562</v>
      </c>
      <c r="G12" s="103" t="s">
        <v>106</v>
      </c>
      <c r="H12" s="272" t="s">
        <v>60</v>
      </c>
      <c r="I12" s="49"/>
      <c r="K12" s="39">
        <v>9</v>
      </c>
      <c r="L12" s="57" t="s">
        <v>78</v>
      </c>
      <c r="M12" s="61" t="s">
        <v>92</v>
      </c>
      <c r="N12" s="59" t="s">
        <v>73</v>
      </c>
      <c r="O12" s="61"/>
      <c r="P12" s="57" t="s">
        <v>75</v>
      </c>
      <c r="Q12" s="61" t="s">
        <v>111</v>
      </c>
      <c r="R12" s="59" t="s">
        <v>77</v>
      </c>
      <c r="S12" s="61"/>
      <c r="T12" s="57" t="s">
        <v>78</v>
      </c>
      <c r="U12" s="61" t="s">
        <v>112</v>
      </c>
      <c r="V12" s="59" t="s">
        <v>73</v>
      </c>
      <c r="W12" s="61"/>
      <c r="X12" s="57" t="s">
        <v>75</v>
      </c>
      <c r="Y12" s="61" t="s">
        <v>104</v>
      </c>
      <c r="Z12" s="59" t="s">
        <v>77</v>
      </c>
      <c r="AA12" s="61"/>
      <c r="AB12" s="35"/>
      <c r="AC12" s="35"/>
      <c r="AD12" s="35"/>
      <c r="AE12" s="35"/>
      <c r="AF12" s="35"/>
      <c r="AG12" s="35"/>
      <c r="AH12" s="35"/>
      <c r="AI12" s="35"/>
      <c r="AJ12" s="35"/>
      <c r="AK12" s="35"/>
      <c r="AL12" s="35"/>
      <c r="AM12" s="35"/>
      <c r="AN12" s="35"/>
      <c r="AO12" s="35"/>
      <c r="AP12" s="35"/>
      <c r="AQ12" s="35"/>
      <c r="AR12" s="35"/>
      <c r="AS12" s="35"/>
      <c r="AT12" s="35"/>
      <c r="AW12" s="40"/>
      <c r="AX12" s="40"/>
    </row>
    <row r="13" spans="1:51" x14ac:dyDescent="0.25">
      <c r="K13" s="39">
        <v>10</v>
      </c>
      <c r="L13" s="56" t="s">
        <v>113</v>
      </c>
      <c r="M13" s="60" t="s">
        <v>103</v>
      </c>
      <c r="N13" s="56" t="s">
        <v>114</v>
      </c>
      <c r="O13" s="60"/>
      <c r="P13" s="56" t="s">
        <v>115</v>
      </c>
      <c r="Q13" s="60" t="s">
        <v>102</v>
      </c>
      <c r="R13" s="56" t="s">
        <v>116</v>
      </c>
      <c r="S13" s="60"/>
      <c r="T13" s="56" t="s">
        <v>113</v>
      </c>
      <c r="U13" s="60" t="s">
        <v>117</v>
      </c>
      <c r="V13" s="56" t="s">
        <v>114</v>
      </c>
      <c r="W13" s="60"/>
      <c r="X13" s="56" t="s">
        <v>115</v>
      </c>
      <c r="Y13" s="60" t="s">
        <v>97</v>
      </c>
      <c r="Z13" s="56" t="s">
        <v>116</v>
      </c>
      <c r="AA13" s="60"/>
      <c r="AB13" s="44"/>
      <c r="AC13" s="44"/>
      <c r="AD13" s="44"/>
      <c r="AE13" s="44"/>
      <c r="AF13" s="44"/>
      <c r="AG13" s="44"/>
      <c r="AH13" s="44"/>
      <c r="AI13" s="44"/>
      <c r="AJ13" s="44"/>
      <c r="AK13" s="44"/>
      <c r="AL13" s="44"/>
      <c r="AM13" s="44"/>
      <c r="AN13" s="44"/>
      <c r="AO13" s="44"/>
      <c r="AP13" s="44"/>
      <c r="AQ13" s="44"/>
      <c r="AR13" s="44"/>
      <c r="AS13" s="44"/>
      <c r="AT13" s="44"/>
      <c r="AW13" s="40"/>
      <c r="AX13" s="40"/>
    </row>
    <row r="14" spans="1:51" x14ac:dyDescent="0.25">
      <c r="A14" s="73" t="s">
        <v>118</v>
      </c>
      <c r="K14" s="39">
        <v>11</v>
      </c>
      <c r="L14" s="57" t="s">
        <v>113</v>
      </c>
      <c r="M14" s="61" t="s">
        <v>119</v>
      </c>
      <c r="N14" s="57" t="s">
        <v>114</v>
      </c>
      <c r="O14" s="61"/>
      <c r="P14" s="57" t="s">
        <v>115</v>
      </c>
      <c r="Q14" s="61" t="s">
        <v>120</v>
      </c>
      <c r="R14" s="57" t="s">
        <v>116</v>
      </c>
      <c r="S14" s="61"/>
      <c r="T14" s="57" t="s">
        <v>113</v>
      </c>
      <c r="U14" s="61" t="s">
        <v>121</v>
      </c>
      <c r="V14" s="57" t="s">
        <v>114</v>
      </c>
      <c r="W14" s="61"/>
      <c r="X14" s="57" t="s">
        <v>115</v>
      </c>
      <c r="Y14" s="61" t="s">
        <v>122</v>
      </c>
      <c r="Z14" s="57" t="s">
        <v>116</v>
      </c>
      <c r="AA14" s="61"/>
      <c r="AB14" s="44"/>
      <c r="AC14" s="44"/>
      <c r="AD14" s="44"/>
      <c r="AE14" s="44"/>
      <c r="AF14" s="44"/>
      <c r="AG14" s="44"/>
      <c r="AH14" s="44"/>
      <c r="AI14" s="44"/>
      <c r="AJ14" s="44"/>
      <c r="AK14" s="44"/>
      <c r="AL14" s="44"/>
      <c r="AM14" s="44"/>
      <c r="AN14" s="44"/>
      <c r="AO14" s="44"/>
      <c r="AP14" s="44"/>
      <c r="AQ14" s="44"/>
      <c r="AR14" s="44"/>
      <c r="AS14" s="44"/>
      <c r="AT14" s="44"/>
      <c r="AW14" s="40"/>
      <c r="AX14" s="40"/>
    </row>
    <row r="15" spans="1:51" x14ac:dyDescent="0.25">
      <c r="A15" s="45" t="s">
        <v>123</v>
      </c>
      <c r="B15" s="29" t="s">
        <v>0</v>
      </c>
      <c r="C15" s="26" t="s">
        <v>51</v>
      </c>
      <c r="D15" s="26" t="s">
        <v>52</v>
      </c>
      <c r="E15" s="26" t="s">
        <v>53</v>
      </c>
      <c r="F15" s="26" t="s">
        <v>54</v>
      </c>
      <c r="G15" s="26" t="s">
        <v>55</v>
      </c>
      <c r="K15" s="39">
        <v>12</v>
      </c>
      <c r="L15" s="57" t="s">
        <v>114</v>
      </c>
      <c r="M15" s="61" t="s">
        <v>111</v>
      </c>
      <c r="N15" s="57" t="s">
        <v>115</v>
      </c>
      <c r="O15" s="61"/>
      <c r="P15" s="57" t="s">
        <v>116</v>
      </c>
      <c r="Q15" s="61" t="s">
        <v>124</v>
      </c>
      <c r="R15" s="57" t="s">
        <v>113</v>
      </c>
      <c r="S15" s="61"/>
      <c r="T15" s="57" t="s">
        <v>114</v>
      </c>
      <c r="U15" s="61" t="s">
        <v>125</v>
      </c>
      <c r="V15" s="57" t="s">
        <v>115</v>
      </c>
      <c r="W15" s="61"/>
      <c r="X15" s="57" t="s">
        <v>116</v>
      </c>
      <c r="Y15" s="61" t="s">
        <v>112</v>
      </c>
      <c r="Z15" s="57" t="s">
        <v>113</v>
      </c>
      <c r="AA15" s="61"/>
      <c r="AB15" s="44"/>
      <c r="AC15" s="44"/>
      <c r="AD15" s="44"/>
      <c r="AE15" s="44"/>
      <c r="AF15" s="44"/>
      <c r="AG15" s="44"/>
      <c r="AH15" s="44"/>
      <c r="AI15" s="44"/>
      <c r="AJ15" s="44"/>
      <c r="AK15" s="44"/>
      <c r="AL15" s="44"/>
      <c r="AM15" s="44"/>
      <c r="AN15" s="44"/>
      <c r="AO15" s="44"/>
      <c r="AP15" s="44"/>
      <c r="AQ15" s="44"/>
      <c r="AR15" s="44"/>
      <c r="AS15" s="44"/>
      <c r="AT15" s="44"/>
      <c r="AW15" s="40"/>
      <c r="AX15" s="40"/>
    </row>
    <row r="16" spans="1:51" x14ac:dyDescent="0.25">
      <c r="A16" s="41" t="s">
        <v>14</v>
      </c>
      <c r="B16" s="252" t="s">
        <v>126</v>
      </c>
      <c r="C16" s="252" t="s">
        <v>82</v>
      </c>
      <c r="D16" s="253">
        <v>44562</v>
      </c>
      <c r="E16" s="252">
        <v>6</v>
      </c>
      <c r="F16" s="253">
        <v>45017</v>
      </c>
      <c r="G16" s="40" t="s">
        <v>106</v>
      </c>
      <c r="K16" s="39">
        <v>13</v>
      </c>
      <c r="L16" s="57" t="s">
        <v>114</v>
      </c>
      <c r="M16" s="61" t="s">
        <v>127</v>
      </c>
      <c r="N16" s="57" t="s">
        <v>115</v>
      </c>
      <c r="O16" s="61"/>
      <c r="P16" s="57" t="s">
        <v>116</v>
      </c>
      <c r="Q16" s="61" t="s">
        <v>97</v>
      </c>
      <c r="R16" s="57" t="s">
        <v>113</v>
      </c>
      <c r="S16" s="61"/>
      <c r="T16" s="57" t="s">
        <v>114</v>
      </c>
      <c r="U16" s="61" t="s">
        <v>108</v>
      </c>
      <c r="V16" s="57" t="s">
        <v>115</v>
      </c>
      <c r="W16" s="61"/>
      <c r="X16" s="57" t="s">
        <v>116</v>
      </c>
      <c r="Y16" s="61" t="s">
        <v>128</v>
      </c>
      <c r="Z16" s="57" t="s">
        <v>113</v>
      </c>
      <c r="AA16" s="61"/>
      <c r="AB16" s="44"/>
      <c r="AC16" s="44"/>
      <c r="AD16" s="44"/>
      <c r="AE16" s="44"/>
      <c r="AF16" s="44"/>
      <c r="AG16" s="44"/>
      <c r="AH16" s="44"/>
      <c r="AI16" s="44"/>
      <c r="AJ16" s="44"/>
      <c r="AK16" s="44"/>
      <c r="AL16" s="44"/>
      <c r="AM16" s="44"/>
      <c r="AN16" s="44"/>
      <c r="AO16" s="44"/>
      <c r="AP16" s="44"/>
      <c r="AQ16" s="44"/>
      <c r="AR16" s="44"/>
      <c r="AS16" s="44"/>
      <c r="AT16" s="44"/>
      <c r="AW16" s="40"/>
      <c r="AX16" s="40"/>
    </row>
    <row r="17" spans="1:51" x14ac:dyDescent="0.25">
      <c r="A17" s="41" t="s">
        <v>38</v>
      </c>
      <c r="B17" s="252" t="s">
        <v>129</v>
      </c>
      <c r="C17" s="252" t="s">
        <v>82</v>
      </c>
      <c r="D17" s="253">
        <v>44562</v>
      </c>
      <c r="E17" s="252">
        <v>6</v>
      </c>
      <c r="F17" s="253">
        <v>45017</v>
      </c>
      <c r="G17" s="40" t="s">
        <v>106</v>
      </c>
      <c r="K17" s="39">
        <v>14</v>
      </c>
      <c r="L17" s="57" t="s">
        <v>115</v>
      </c>
      <c r="M17" s="62" t="s">
        <v>121</v>
      </c>
      <c r="N17" s="57" t="s">
        <v>116</v>
      </c>
      <c r="O17" s="61"/>
      <c r="P17" s="57" t="s">
        <v>113</v>
      </c>
      <c r="Q17" s="61" t="s">
        <v>121</v>
      </c>
      <c r="R17" s="57" t="s">
        <v>114</v>
      </c>
      <c r="S17" s="61"/>
      <c r="T17" s="57" t="s">
        <v>115</v>
      </c>
      <c r="U17" s="61" t="s">
        <v>98</v>
      </c>
      <c r="V17" s="57" t="s">
        <v>116</v>
      </c>
      <c r="W17" s="61"/>
      <c r="X17" s="57" t="s">
        <v>113</v>
      </c>
      <c r="Y17" s="61" t="s">
        <v>117</v>
      </c>
      <c r="Z17" s="57" t="s">
        <v>114</v>
      </c>
      <c r="AA17" s="61"/>
      <c r="AB17" s="44"/>
      <c r="AC17" s="44"/>
      <c r="AD17" s="44"/>
      <c r="AE17" s="44"/>
      <c r="AF17" s="44"/>
      <c r="AG17" s="44"/>
      <c r="AH17" s="44"/>
      <c r="AI17" s="44"/>
      <c r="AJ17" s="44"/>
      <c r="AK17" s="44"/>
      <c r="AL17" s="44"/>
      <c r="AM17" s="44"/>
      <c r="AN17" s="44"/>
      <c r="AO17" s="44"/>
      <c r="AP17" s="44"/>
      <c r="AQ17" s="44"/>
      <c r="AR17" s="44"/>
      <c r="AS17" s="44"/>
      <c r="AT17" s="44"/>
      <c r="AW17" s="40"/>
      <c r="AX17" s="40"/>
    </row>
    <row r="18" spans="1:51" x14ac:dyDescent="0.25">
      <c r="A18" s="41" t="s">
        <v>130</v>
      </c>
      <c r="B18" s="252" t="s">
        <v>131</v>
      </c>
      <c r="C18" s="252" t="s">
        <v>82</v>
      </c>
      <c r="D18" s="253">
        <v>44562</v>
      </c>
      <c r="E18" s="252">
        <v>7</v>
      </c>
      <c r="F18" s="253">
        <v>45017</v>
      </c>
      <c r="G18" s="40" t="s">
        <v>106</v>
      </c>
      <c r="K18" s="39">
        <v>15</v>
      </c>
      <c r="L18" s="57" t="s">
        <v>115</v>
      </c>
      <c r="M18" s="61" t="s">
        <v>120</v>
      </c>
      <c r="N18" s="57" t="s">
        <v>116</v>
      </c>
      <c r="O18" s="61"/>
      <c r="P18" s="57" t="s">
        <v>113</v>
      </c>
      <c r="Q18" s="61" t="s">
        <v>119</v>
      </c>
      <c r="R18" s="57" t="s">
        <v>114</v>
      </c>
      <c r="S18" s="61"/>
      <c r="T18" s="57" t="s">
        <v>115</v>
      </c>
      <c r="U18" s="61" t="s">
        <v>122</v>
      </c>
      <c r="V18" s="57" t="s">
        <v>116</v>
      </c>
      <c r="W18" s="61"/>
      <c r="X18" s="57" t="s">
        <v>113</v>
      </c>
      <c r="Y18" s="61" t="s">
        <v>121</v>
      </c>
      <c r="Z18" s="57" t="s">
        <v>114</v>
      </c>
      <c r="AA18" s="61"/>
      <c r="AB18" s="44"/>
      <c r="AC18" s="44"/>
      <c r="AD18" s="44"/>
      <c r="AE18" s="44"/>
      <c r="AF18" s="44"/>
      <c r="AG18" s="44"/>
      <c r="AH18" s="44"/>
      <c r="AI18" s="44"/>
      <c r="AJ18" s="44"/>
      <c r="AK18" s="44"/>
      <c r="AL18" s="44"/>
      <c r="AM18" s="44"/>
      <c r="AN18" s="44"/>
      <c r="AO18" s="44"/>
      <c r="AP18" s="44"/>
      <c r="AQ18" s="44"/>
      <c r="AR18" s="44"/>
      <c r="AS18" s="44"/>
      <c r="AT18" s="44"/>
      <c r="AU18" s="40"/>
      <c r="AV18" s="48"/>
      <c r="AW18" s="40"/>
      <c r="AX18" s="40"/>
    </row>
    <row r="19" spans="1:51" x14ac:dyDescent="0.25">
      <c r="A19" s="45"/>
      <c r="B19" s="46"/>
      <c r="K19" s="39">
        <v>16</v>
      </c>
      <c r="L19" s="57" t="s">
        <v>116</v>
      </c>
      <c r="M19" s="61" t="s">
        <v>124</v>
      </c>
      <c r="N19" s="57" t="s">
        <v>113</v>
      </c>
      <c r="O19" s="61"/>
      <c r="P19" s="57" t="s">
        <v>114</v>
      </c>
      <c r="Q19" s="61" t="s">
        <v>127</v>
      </c>
      <c r="R19" s="57" t="s">
        <v>115</v>
      </c>
      <c r="S19" s="61"/>
      <c r="T19" s="57" t="s">
        <v>116</v>
      </c>
      <c r="U19" s="61" t="s">
        <v>128</v>
      </c>
      <c r="V19" s="57" t="s">
        <v>113</v>
      </c>
      <c r="W19" s="61"/>
      <c r="X19" s="57" t="s">
        <v>114</v>
      </c>
      <c r="Y19" s="61" t="s">
        <v>125</v>
      </c>
      <c r="Z19" s="57" t="s">
        <v>115</v>
      </c>
      <c r="AA19" s="61"/>
      <c r="AB19" s="44"/>
      <c r="AC19" s="44"/>
      <c r="AD19" s="44"/>
      <c r="AE19" s="44"/>
      <c r="AF19" s="44"/>
      <c r="AG19" s="44"/>
      <c r="AH19" s="44"/>
      <c r="AI19" s="44"/>
      <c r="AJ19" s="44"/>
      <c r="AK19" s="44"/>
      <c r="AL19" s="44"/>
      <c r="AM19" s="44"/>
      <c r="AN19" s="44"/>
      <c r="AO19" s="44"/>
      <c r="AP19" s="44"/>
      <c r="AQ19" s="44"/>
      <c r="AR19" s="44"/>
      <c r="AS19" s="44"/>
      <c r="AT19" s="44"/>
      <c r="AU19" s="40"/>
      <c r="AV19" s="48"/>
      <c r="AW19" s="40"/>
      <c r="AX19" s="40"/>
    </row>
    <row r="20" spans="1:51" x14ac:dyDescent="0.25">
      <c r="A20" s="73" t="s">
        <v>132</v>
      </c>
      <c r="G20"/>
      <c r="H20"/>
      <c r="K20" s="39">
        <v>17</v>
      </c>
      <c r="L20" s="59" t="s">
        <v>116</v>
      </c>
      <c r="M20" s="65" t="s">
        <v>133</v>
      </c>
      <c r="N20" s="59" t="s">
        <v>113</v>
      </c>
      <c r="O20" s="64"/>
      <c r="P20" s="59" t="s">
        <v>114</v>
      </c>
      <c r="Q20" s="58" t="s">
        <v>133</v>
      </c>
      <c r="R20" s="59" t="s">
        <v>115</v>
      </c>
      <c r="S20" s="58"/>
      <c r="T20" s="59" t="s">
        <v>116</v>
      </c>
      <c r="U20" s="58" t="s">
        <v>133</v>
      </c>
      <c r="V20" s="59" t="s">
        <v>113</v>
      </c>
      <c r="W20" s="58"/>
      <c r="X20" s="59" t="s">
        <v>114</v>
      </c>
      <c r="Y20" s="58" t="s">
        <v>133</v>
      </c>
      <c r="Z20" s="59" t="s">
        <v>115</v>
      </c>
      <c r="AA20" s="58"/>
      <c r="AB20" s="44"/>
      <c r="AC20" s="44"/>
      <c r="AD20" s="44"/>
      <c r="AE20" s="44"/>
      <c r="AF20" s="44"/>
      <c r="AG20" s="44"/>
      <c r="AH20" s="44"/>
      <c r="AI20" s="44"/>
      <c r="AJ20" s="44"/>
      <c r="AK20" s="44"/>
      <c r="AL20" s="44"/>
      <c r="AM20" s="44"/>
      <c r="AN20" s="44"/>
      <c r="AO20" s="44"/>
      <c r="AP20" s="44"/>
      <c r="AQ20" s="44"/>
      <c r="AR20" s="44"/>
      <c r="AS20" s="44"/>
      <c r="AT20" s="44"/>
      <c r="AU20" s="40"/>
      <c r="AV20" s="48"/>
      <c r="AW20" s="40"/>
      <c r="AX20" s="40"/>
    </row>
    <row r="21" spans="1:51" x14ac:dyDescent="0.25">
      <c r="A21" s="45" t="s">
        <v>134</v>
      </c>
      <c r="B21" s="46" t="s">
        <v>0</v>
      </c>
      <c r="C21" s="26" t="s">
        <v>51</v>
      </c>
      <c r="D21" s="26" t="s">
        <v>52</v>
      </c>
      <c r="E21" s="26" t="s">
        <v>53</v>
      </c>
      <c r="F21" s="26" t="s">
        <v>54</v>
      </c>
      <c r="G21" s="27" t="s">
        <v>55</v>
      </c>
      <c r="H21"/>
      <c r="K21" s="39">
        <v>18</v>
      </c>
      <c r="L21" s="57" t="s">
        <v>135</v>
      </c>
      <c r="M21" s="63" t="s">
        <v>136</v>
      </c>
      <c r="N21" s="57" t="s">
        <v>137</v>
      </c>
      <c r="O21" s="61"/>
      <c r="P21" s="57" t="s">
        <v>138</v>
      </c>
      <c r="Q21" s="63" t="s">
        <v>136</v>
      </c>
      <c r="R21" s="57" t="s">
        <v>139</v>
      </c>
      <c r="S21" s="63"/>
      <c r="T21" s="57" t="s">
        <v>135</v>
      </c>
      <c r="U21" s="61" t="s">
        <v>136</v>
      </c>
      <c r="V21" s="57" t="s">
        <v>137</v>
      </c>
      <c r="W21" s="61"/>
      <c r="X21" s="57" t="s">
        <v>138</v>
      </c>
      <c r="Y21" s="61" t="s">
        <v>136</v>
      </c>
      <c r="Z21" s="57" t="s">
        <v>139</v>
      </c>
      <c r="AA21" s="61"/>
      <c r="AB21" s="44"/>
      <c r="AC21" s="44"/>
      <c r="AD21" s="44"/>
      <c r="AE21" s="44"/>
      <c r="AF21" s="44"/>
      <c r="AG21" s="44"/>
      <c r="AH21" s="44"/>
      <c r="AI21" s="44"/>
      <c r="AJ21" s="44"/>
      <c r="AK21" s="44"/>
      <c r="AL21" s="44"/>
      <c r="AM21" s="44"/>
      <c r="AN21" s="44"/>
      <c r="AO21" s="44"/>
      <c r="AP21" s="44"/>
      <c r="AQ21" s="44"/>
      <c r="AR21" s="44"/>
      <c r="AS21" s="44"/>
      <c r="AT21" s="44"/>
      <c r="AU21" s="40"/>
      <c r="AV21" s="49"/>
      <c r="AW21" s="40"/>
      <c r="AX21" s="43"/>
    </row>
    <row r="22" spans="1:51" x14ac:dyDescent="0.25">
      <c r="A22" s="114" t="s">
        <v>44</v>
      </c>
      <c r="B22" s="40" t="s">
        <v>140</v>
      </c>
      <c r="C22" s="40"/>
      <c r="D22" s="115"/>
      <c r="E22" s="40"/>
      <c r="F22" s="115"/>
      <c r="G22" s="40"/>
      <c r="H22"/>
      <c r="K22" s="39">
        <v>19</v>
      </c>
      <c r="L22" s="59" t="s">
        <v>135</v>
      </c>
      <c r="M22" s="64"/>
      <c r="N22" s="59" t="s">
        <v>137</v>
      </c>
      <c r="O22" s="64"/>
      <c r="P22" s="59" t="s">
        <v>138</v>
      </c>
      <c r="Q22" s="64"/>
      <c r="R22" s="59" t="s">
        <v>139</v>
      </c>
      <c r="S22" s="64"/>
      <c r="T22" s="59" t="s">
        <v>135</v>
      </c>
      <c r="U22" s="58"/>
      <c r="V22" s="59" t="s">
        <v>137</v>
      </c>
      <c r="W22" s="58"/>
      <c r="X22" s="59" t="s">
        <v>138</v>
      </c>
      <c r="Y22" s="58"/>
      <c r="Z22" s="59" t="s">
        <v>139</v>
      </c>
      <c r="AA22" s="58"/>
      <c r="AB22"/>
      <c r="AC22"/>
      <c r="AD22"/>
      <c r="AE22"/>
      <c r="AF22"/>
      <c r="AG22"/>
      <c r="AH22"/>
      <c r="AI22"/>
      <c r="AJ22"/>
      <c r="AK22"/>
      <c r="AL22"/>
      <c r="AM22"/>
      <c r="AN22"/>
      <c r="AO22"/>
      <c r="AP22"/>
      <c r="AQ22"/>
      <c r="AR22"/>
      <c r="AS22"/>
      <c r="AT22"/>
    </row>
    <row r="23" spans="1:51" x14ac:dyDescent="0.25">
      <c r="A23" s="41" t="s">
        <v>141</v>
      </c>
      <c r="B23" s="252" t="s">
        <v>142</v>
      </c>
      <c r="C23" s="252" t="s">
        <v>58</v>
      </c>
      <c r="D23" s="253">
        <v>44562</v>
      </c>
      <c r="E23" s="252">
        <v>1</v>
      </c>
      <c r="F23" s="253">
        <v>44562</v>
      </c>
      <c r="G23" s="40" t="s">
        <v>59</v>
      </c>
      <c r="H23"/>
      <c r="AB23" s="44"/>
      <c r="AC23" s="44"/>
      <c r="AD23" s="44"/>
      <c r="AE23" s="44"/>
      <c r="AF23" s="44"/>
      <c r="AG23"/>
      <c r="AH23"/>
      <c r="AI23"/>
      <c r="AJ23"/>
      <c r="AK23"/>
      <c r="AL23"/>
      <c r="AM23"/>
      <c r="AN23"/>
      <c r="AO23"/>
      <c r="AP23"/>
      <c r="AU23"/>
      <c r="AV23"/>
      <c r="AW23"/>
      <c r="AX23"/>
      <c r="AY23"/>
    </row>
    <row r="24" spans="1:51" x14ac:dyDescent="0.25">
      <c r="A24" s="41" t="s">
        <v>143</v>
      </c>
      <c r="B24" s="252" t="s">
        <v>144</v>
      </c>
      <c r="C24" s="252" t="s">
        <v>58</v>
      </c>
      <c r="D24" s="253">
        <v>44562</v>
      </c>
      <c r="E24" s="252">
        <v>1</v>
      </c>
      <c r="F24" s="253">
        <v>44562</v>
      </c>
      <c r="G24" s="40" t="s">
        <v>59</v>
      </c>
      <c r="H24"/>
      <c r="K24"/>
      <c r="L24"/>
      <c r="N24" s="39"/>
      <c r="O24" s="44"/>
      <c r="P24" s="35"/>
      <c r="Q24"/>
      <c r="R24"/>
      <c r="S24"/>
      <c r="T24"/>
      <c r="U24"/>
      <c r="V24"/>
      <c r="W24"/>
      <c r="X24"/>
      <c r="Y24"/>
      <c r="Z24"/>
      <c r="AA24"/>
      <c r="AG24" s="44"/>
      <c r="AH24"/>
      <c r="AI24"/>
      <c r="AJ24"/>
      <c r="AK24"/>
      <c r="AL24"/>
      <c r="AM24"/>
      <c r="AN24"/>
      <c r="AO24"/>
      <c r="AP24"/>
      <c r="AQ24"/>
    </row>
    <row r="25" spans="1:51" x14ac:dyDescent="0.25">
      <c r="A25" s="41" t="s">
        <v>145</v>
      </c>
      <c r="B25" s="252" t="s">
        <v>146</v>
      </c>
      <c r="C25" s="252" t="s">
        <v>58</v>
      </c>
      <c r="D25" s="253">
        <v>44562</v>
      </c>
      <c r="E25" s="252">
        <v>1</v>
      </c>
      <c r="F25" s="253">
        <v>44562</v>
      </c>
      <c r="G25" s="40" t="s">
        <v>59</v>
      </c>
      <c r="H25"/>
      <c r="J25" s="93" t="s">
        <v>147</v>
      </c>
      <c r="K25" s="35">
        <v>1</v>
      </c>
      <c r="L25" s="37"/>
      <c r="M25" s="36" t="s">
        <v>148</v>
      </c>
      <c r="N25" s="37"/>
      <c r="O25" s="36" t="s">
        <v>149</v>
      </c>
      <c r="P25" s="37"/>
      <c r="Q25" s="36" t="s">
        <v>150</v>
      </c>
      <c r="R25" s="37"/>
      <c r="S25" s="36" t="s">
        <v>151</v>
      </c>
      <c r="T25" s="37"/>
      <c r="U25" s="36" t="s">
        <v>152</v>
      </c>
      <c r="V25" s="37"/>
      <c r="W25" s="36" t="s">
        <v>153</v>
      </c>
      <c r="X25" s="37"/>
      <c r="Y25" s="36" t="s">
        <v>154</v>
      </c>
      <c r="Z25" s="37"/>
      <c r="AA25" s="36" t="s">
        <v>155</v>
      </c>
      <c r="AB25" s="37"/>
      <c r="AC25" s="36" t="s">
        <v>156</v>
      </c>
      <c r="AD25" s="37"/>
      <c r="AE25" s="36" t="s">
        <v>157</v>
      </c>
      <c r="AF25" s="37"/>
      <c r="AG25" s="36" t="s">
        <v>158</v>
      </c>
      <c r="AH25" s="37"/>
      <c r="AI25" s="36" t="s">
        <v>159</v>
      </c>
      <c r="AJ25"/>
      <c r="AK25"/>
      <c r="AL25"/>
      <c r="AM25"/>
      <c r="AN25"/>
      <c r="AO25"/>
      <c r="AP25"/>
      <c r="AQ25"/>
    </row>
    <row r="26" spans="1:51" x14ac:dyDescent="0.25">
      <c r="A26"/>
      <c r="B26"/>
      <c r="C26"/>
      <c r="D26"/>
      <c r="E26"/>
      <c r="F26"/>
      <c r="G26"/>
      <c r="H26"/>
      <c r="K26" s="39">
        <v>2</v>
      </c>
      <c r="L26" s="56" t="s">
        <v>73</v>
      </c>
      <c r="M26" s="60" t="s">
        <v>160</v>
      </c>
      <c r="N26" s="56" t="s">
        <v>75</v>
      </c>
      <c r="O26" s="60" t="s">
        <v>76</v>
      </c>
      <c r="P26" s="56" t="s">
        <v>77</v>
      </c>
      <c r="Q26" s="60" t="s">
        <v>161</v>
      </c>
      <c r="R26" s="56" t="s">
        <v>78</v>
      </c>
      <c r="S26" s="60" t="s">
        <v>76</v>
      </c>
      <c r="T26" s="56" t="s">
        <v>73</v>
      </c>
      <c r="U26" s="60" t="s">
        <v>162</v>
      </c>
      <c r="V26" s="56" t="s">
        <v>75</v>
      </c>
      <c r="W26" s="60" t="s">
        <v>76</v>
      </c>
      <c r="X26" s="56" t="s">
        <v>77</v>
      </c>
      <c r="Y26" s="60" t="s">
        <v>162</v>
      </c>
      <c r="Z26" s="56" t="s">
        <v>78</v>
      </c>
      <c r="AA26" s="60" t="s">
        <v>76</v>
      </c>
      <c r="AB26" s="56" t="s">
        <v>73</v>
      </c>
      <c r="AC26" s="60" t="s">
        <v>74</v>
      </c>
      <c r="AD26" s="56" t="s">
        <v>75</v>
      </c>
      <c r="AE26" s="60" t="s">
        <v>76</v>
      </c>
      <c r="AF26" s="56" t="s">
        <v>77</v>
      </c>
      <c r="AG26" s="60" t="s">
        <v>74</v>
      </c>
      <c r="AH26" s="56" t="s">
        <v>78</v>
      </c>
      <c r="AI26" s="60" t="s">
        <v>76</v>
      </c>
      <c r="AJ26" s="35"/>
    </row>
    <row r="27" spans="1:51" x14ac:dyDescent="0.25">
      <c r="A27" s="73" t="s">
        <v>163</v>
      </c>
      <c r="I27"/>
      <c r="K27" s="39">
        <v>3</v>
      </c>
      <c r="L27" s="57" t="s">
        <v>73</v>
      </c>
      <c r="M27" s="61" t="s">
        <v>164</v>
      </c>
      <c r="N27" s="57" t="s">
        <v>75</v>
      </c>
      <c r="O27" s="61"/>
      <c r="P27" s="57" t="s">
        <v>77</v>
      </c>
      <c r="Q27" s="61" t="s">
        <v>165</v>
      </c>
      <c r="R27" s="57" t="s">
        <v>78</v>
      </c>
      <c r="S27" s="61"/>
      <c r="T27" s="57" t="s">
        <v>73</v>
      </c>
      <c r="U27" s="61" t="s">
        <v>166</v>
      </c>
      <c r="V27" s="57" t="s">
        <v>75</v>
      </c>
      <c r="W27" s="61"/>
      <c r="X27" s="57" t="s">
        <v>77</v>
      </c>
      <c r="Y27" s="61" t="s">
        <v>167</v>
      </c>
      <c r="Z27" s="57" t="s">
        <v>78</v>
      </c>
      <c r="AA27" s="61"/>
      <c r="AB27" s="57" t="s">
        <v>73</v>
      </c>
      <c r="AC27" s="61" t="s">
        <v>160</v>
      </c>
      <c r="AD27" s="57" t="s">
        <v>75</v>
      </c>
      <c r="AE27" s="61"/>
      <c r="AF27" s="57" t="s">
        <v>77</v>
      </c>
      <c r="AG27" s="61" t="s">
        <v>165</v>
      </c>
      <c r="AH27" s="57" t="s">
        <v>78</v>
      </c>
      <c r="AI27" s="61"/>
      <c r="AJ27" s="35"/>
    </row>
    <row r="28" spans="1:51" x14ac:dyDescent="0.25">
      <c r="A28" s="45" t="s">
        <v>41</v>
      </c>
      <c r="B28" s="46" t="s">
        <v>168</v>
      </c>
      <c r="C28" s="26" t="s">
        <v>169</v>
      </c>
      <c r="D28" s="26" t="s">
        <v>170</v>
      </c>
      <c r="E28" s="26" t="s">
        <v>171</v>
      </c>
      <c r="I28"/>
      <c r="K28" s="39">
        <v>4</v>
      </c>
      <c r="L28" s="57" t="s">
        <v>75</v>
      </c>
      <c r="M28" s="61" t="s">
        <v>172</v>
      </c>
      <c r="N28" s="57" t="s">
        <v>77</v>
      </c>
      <c r="O28" s="61"/>
      <c r="P28" s="57" t="s">
        <v>78</v>
      </c>
      <c r="Q28" s="61" t="s">
        <v>172</v>
      </c>
      <c r="R28" s="57" t="s">
        <v>73</v>
      </c>
      <c r="S28" s="61"/>
      <c r="T28" s="57" t="s">
        <v>75</v>
      </c>
      <c r="U28" s="61" t="s">
        <v>173</v>
      </c>
      <c r="V28" s="57" t="s">
        <v>77</v>
      </c>
      <c r="W28" s="61"/>
      <c r="X28" s="57" t="s">
        <v>78</v>
      </c>
      <c r="Y28" s="61" t="s">
        <v>174</v>
      </c>
      <c r="Z28" s="57" t="s">
        <v>73</v>
      </c>
      <c r="AA28" s="61"/>
      <c r="AB28" s="57" t="s">
        <v>75</v>
      </c>
      <c r="AC28" s="61" t="s">
        <v>172</v>
      </c>
      <c r="AD28" s="57" t="s">
        <v>77</v>
      </c>
      <c r="AE28" s="61"/>
      <c r="AF28" s="57" t="s">
        <v>78</v>
      </c>
      <c r="AG28" s="61" t="s">
        <v>172</v>
      </c>
      <c r="AH28" s="57" t="s">
        <v>73</v>
      </c>
      <c r="AI28" s="61"/>
    </row>
    <row r="29" spans="1:51" x14ac:dyDescent="0.25">
      <c r="A29" s="26" t="s">
        <v>39</v>
      </c>
      <c r="B29" s="103" t="s">
        <v>175</v>
      </c>
      <c r="C29" s="103" t="s">
        <v>176</v>
      </c>
      <c r="D29" s="103" t="s">
        <v>177</v>
      </c>
      <c r="E29" s="103" t="s">
        <v>178</v>
      </c>
      <c r="F29" s="103"/>
      <c r="I29"/>
      <c r="K29" s="39">
        <v>5</v>
      </c>
      <c r="L29" s="59" t="s">
        <v>75</v>
      </c>
      <c r="M29" s="58" t="s">
        <v>179</v>
      </c>
      <c r="N29" s="59" t="s">
        <v>77</v>
      </c>
      <c r="O29" s="58"/>
      <c r="P29" s="59" t="s">
        <v>78</v>
      </c>
      <c r="Q29" s="58" t="s">
        <v>180</v>
      </c>
      <c r="R29" s="59" t="s">
        <v>73</v>
      </c>
      <c r="S29" s="58"/>
      <c r="T29" s="57" t="s">
        <v>75</v>
      </c>
      <c r="U29" s="61" t="s">
        <v>181</v>
      </c>
      <c r="V29" s="57" t="s">
        <v>77</v>
      </c>
      <c r="W29" s="61"/>
      <c r="X29" s="57" t="s">
        <v>78</v>
      </c>
      <c r="Y29" s="61" t="s">
        <v>181</v>
      </c>
      <c r="Z29" s="57" t="s">
        <v>73</v>
      </c>
      <c r="AA29" s="61"/>
      <c r="AB29" s="57" t="s">
        <v>75</v>
      </c>
      <c r="AC29" s="61" t="s">
        <v>97</v>
      </c>
      <c r="AD29" s="57" t="s">
        <v>77</v>
      </c>
      <c r="AE29" s="61"/>
      <c r="AF29" s="57" t="s">
        <v>78</v>
      </c>
      <c r="AG29" s="61" t="s">
        <v>182</v>
      </c>
      <c r="AH29" s="57" t="s">
        <v>73</v>
      </c>
      <c r="AI29" s="61"/>
    </row>
    <row r="30" spans="1:51" x14ac:dyDescent="0.25">
      <c r="A30" s="26" t="s">
        <v>183</v>
      </c>
      <c r="B30" s="103" t="s">
        <v>176</v>
      </c>
      <c r="C30" s="103" t="s">
        <v>177</v>
      </c>
      <c r="D30" s="103" t="s">
        <v>178</v>
      </c>
      <c r="E30" s="103" t="s">
        <v>175</v>
      </c>
      <c r="F30" s="103"/>
      <c r="I30"/>
      <c r="K30" s="39">
        <v>6</v>
      </c>
      <c r="L30" s="57"/>
      <c r="M30" s="61"/>
      <c r="N30" s="57"/>
      <c r="O30" s="61"/>
      <c r="P30" s="57"/>
      <c r="Q30" s="61"/>
      <c r="R30" s="57"/>
      <c r="S30" s="61"/>
      <c r="T30" s="57" t="s">
        <v>77</v>
      </c>
      <c r="U30" s="61" t="s">
        <v>184</v>
      </c>
      <c r="V30" s="57" t="s">
        <v>78</v>
      </c>
      <c r="W30" s="61"/>
      <c r="X30" s="57" t="s">
        <v>73</v>
      </c>
      <c r="Y30" s="61" t="s">
        <v>184</v>
      </c>
      <c r="Z30" s="57" t="s">
        <v>75</v>
      </c>
      <c r="AA30" s="61"/>
      <c r="AB30" s="57" t="s">
        <v>77</v>
      </c>
      <c r="AC30" s="61" t="s">
        <v>185</v>
      </c>
      <c r="AD30" s="57" t="s">
        <v>78</v>
      </c>
      <c r="AE30" s="61"/>
      <c r="AF30" s="57" t="s">
        <v>73</v>
      </c>
      <c r="AG30" s="61" t="s">
        <v>160</v>
      </c>
      <c r="AH30" s="57" t="s">
        <v>75</v>
      </c>
      <c r="AI30" s="61"/>
    </row>
    <row r="31" spans="1:51" x14ac:dyDescent="0.25">
      <c r="A31" s="26" t="s">
        <v>17</v>
      </c>
      <c r="B31" s="103" t="s">
        <v>177</v>
      </c>
      <c r="C31" s="103" t="s">
        <v>178</v>
      </c>
      <c r="D31" s="103" t="s">
        <v>175</v>
      </c>
      <c r="E31" s="103" t="s">
        <v>176</v>
      </c>
      <c r="F31" s="103"/>
      <c r="I31"/>
      <c r="K31" s="39">
        <v>7</v>
      </c>
      <c r="L31" s="57"/>
      <c r="M31" s="61"/>
      <c r="N31" s="57"/>
      <c r="O31" s="61"/>
      <c r="P31" s="57"/>
      <c r="Q31" s="61"/>
      <c r="R31" s="57"/>
      <c r="S31" s="61"/>
      <c r="T31" s="57" t="s">
        <v>77</v>
      </c>
      <c r="U31" s="61" t="s">
        <v>167</v>
      </c>
      <c r="V31" s="57" t="s">
        <v>78</v>
      </c>
      <c r="W31" s="63"/>
      <c r="X31" s="57" t="s">
        <v>73</v>
      </c>
      <c r="Y31" s="61" t="s">
        <v>166</v>
      </c>
      <c r="Z31" s="57" t="s">
        <v>75</v>
      </c>
      <c r="AA31" s="63"/>
      <c r="AB31" s="57" t="s">
        <v>77</v>
      </c>
      <c r="AC31" s="61" t="s">
        <v>165</v>
      </c>
      <c r="AD31" s="57" t="s">
        <v>78</v>
      </c>
      <c r="AE31" s="61"/>
      <c r="AF31" s="57" t="s">
        <v>73</v>
      </c>
      <c r="AG31" s="61" t="s">
        <v>185</v>
      </c>
      <c r="AH31" s="57" t="s">
        <v>75</v>
      </c>
      <c r="AI31" s="61"/>
    </row>
    <row r="32" spans="1:51" x14ac:dyDescent="0.25">
      <c r="A32" s="26" t="s">
        <v>186</v>
      </c>
      <c r="B32" s="103" t="s">
        <v>178</v>
      </c>
      <c r="C32" s="103" t="s">
        <v>175</v>
      </c>
      <c r="D32" s="103" t="s">
        <v>176</v>
      </c>
      <c r="E32" s="103" t="s">
        <v>177</v>
      </c>
      <c r="F32" s="103"/>
      <c r="I32"/>
      <c r="K32" s="39">
        <v>8</v>
      </c>
      <c r="L32" s="57"/>
      <c r="M32" s="61"/>
      <c r="N32" s="57"/>
      <c r="O32" s="61"/>
      <c r="P32" s="57"/>
      <c r="Q32" s="61"/>
      <c r="R32" s="57"/>
      <c r="S32" s="61"/>
      <c r="T32" s="57" t="s">
        <v>78</v>
      </c>
      <c r="U32" s="61" t="s">
        <v>187</v>
      </c>
      <c r="V32" s="57" t="s">
        <v>73</v>
      </c>
      <c r="W32" s="61"/>
      <c r="X32" s="57" t="s">
        <v>75</v>
      </c>
      <c r="Y32" s="61" t="s">
        <v>187</v>
      </c>
      <c r="Z32" s="57" t="s">
        <v>77</v>
      </c>
      <c r="AA32" s="61"/>
      <c r="AB32" s="57" t="s">
        <v>78</v>
      </c>
      <c r="AC32" s="61" t="s">
        <v>182</v>
      </c>
      <c r="AD32" s="57" t="s">
        <v>73</v>
      </c>
      <c r="AE32" s="61"/>
      <c r="AF32" s="57" t="s">
        <v>75</v>
      </c>
      <c r="AG32" s="61" t="s">
        <v>97</v>
      </c>
      <c r="AH32" s="57" t="s">
        <v>77</v>
      </c>
      <c r="AI32" s="61"/>
    </row>
    <row r="33" spans="1:43" x14ac:dyDescent="0.25">
      <c r="E33" s="47"/>
      <c r="F33" s="47"/>
      <c r="I33"/>
      <c r="K33" s="39">
        <v>9</v>
      </c>
      <c r="L33" s="57"/>
      <c r="M33" s="61"/>
      <c r="N33" s="59"/>
      <c r="O33" s="61"/>
      <c r="P33" s="57"/>
      <c r="Q33" s="61"/>
      <c r="R33" s="59"/>
      <c r="S33" s="61"/>
      <c r="T33" s="57" t="s">
        <v>78</v>
      </c>
      <c r="U33" s="63" t="s">
        <v>188</v>
      </c>
      <c r="V33" s="59" t="s">
        <v>73</v>
      </c>
      <c r="W33" s="61"/>
      <c r="X33" s="57" t="s">
        <v>75</v>
      </c>
      <c r="Y33" s="63" t="s">
        <v>188</v>
      </c>
      <c r="Z33" s="59" t="s">
        <v>77</v>
      </c>
      <c r="AA33" s="61"/>
      <c r="AB33" s="57" t="s">
        <v>78</v>
      </c>
      <c r="AC33" s="61" t="s">
        <v>180</v>
      </c>
      <c r="AD33" s="59" t="s">
        <v>73</v>
      </c>
      <c r="AE33" s="61"/>
      <c r="AF33" s="57" t="s">
        <v>75</v>
      </c>
      <c r="AG33" s="61" t="s">
        <v>179</v>
      </c>
      <c r="AH33" s="59" t="s">
        <v>77</v>
      </c>
      <c r="AI33" s="61"/>
    </row>
    <row r="34" spans="1:43" x14ac:dyDescent="0.25">
      <c r="A34" s="73" t="s">
        <v>189</v>
      </c>
      <c r="F34" s="47"/>
      <c r="I34"/>
      <c r="K34" s="39">
        <v>10</v>
      </c>
      <c r="L34" s="56"/>
      <c r="M34" s="60"/>
      <c r="N34" s="56"/>
      <c r="O34" s="60"/>
      <c r="P34" s="56"/>
      <c r="Q34" s="60"/>
      <c r="R34" s="56"/>
      <c r="S34" s="60"/>
      <c r="T34" s="56"/>
      <c r="U34" s="60"/>
      <c r="V34" s="56"/>
      <c r="W34" s="60"/>
      <c r="X34" s="56"/>
      <c r="Y34" s="60"/>
      <c r="Z34" s="56"/>
      <c r="AA34" s="60"/>
      <c r="AB34" s="56" t="s">
        <v>113</v>
      </c>
      <c r="AC34" s="60" t="s">
        <v>162</v>
      </c>
      <c r="AD34" s="56" t="s">
        <v>114</v>
      </c>
      <c r="AE34" s="60"/>
      <c r="AF34" s="56" t="s">
        <v>115</v>
      </c>
      <c r="AG34" s="60" t="s">
        <v>162</v>
      </c>
      <c r="AH34" s="56" t="s">
        <v>116</v>
      </c>
      <c r="AI34" s="60"/>
    </row>
    <row r="35" spans="1:43" x14ac:dyDescent="0.25">
      <c r="A35" s="45" t="s">
        <v>41</v>
      </c>
      <c r="B35" s="46" t="s">
        <v>168</v>
      </c>
      <c r="C35" s="26" t="s">
        <v>169</v>
      </c>
      <c r="D35" s="26" t="s">
        <v>170</v>
      </c>
      <c r="E35" s="26" t="s">
        <v>171</v>
      </c>
      <c r="F35" s="47"/>
      <c r="I35"/>
      <c r="K35" s="39">
        <v>11</v>
      </c>
      <c r="L35" s="57"/>
      <c r="M35" s="61"/>
      <c r="N35" s="57"/>
      <c r="O35" s="61"/>
      <c r="P35" s="57"/>
      <c r="Q35" s="61"/>
      <c r="R35" s="57"/>
      <c r="S35" s="61"/>
      <c r="T35" s="57"/>
      <c r="U35" s="61"/>
      <c r="V35" s="57"/>
      <c r="W35" s="61"/>
      <c r="X35" s="57"/>
      <c r="Y35" s="61"/>
      <c r="Z35" s="57"/>
      <c r="AA35" s="61"/>
      <c r="AB35" s="57" t="s">
        <v>113</v>
      </c>
      <c r="AC35" s="61" t="s">
        <v>166</v>
      </c>
      <c r="AD35" s="57" t="s">
        <v>114</v>
      </c>
      <c r="AE35" s="61"/>
      <c r="AF35" s="57" t="s">
        <v>115</v>
      </c>
      <c r="AG35" s="61" t="s">
        <v>167</v>
      </c>
      <c r="AH35" s="57" t="s">
        <v>116</v>
      </c>
      <c r="AI35" s="61"/>
    </row>
    <row r="36" spans="1:43" ht="15.75" customHeight="1" x14ac:dyDescent="0.25">
      <c r="A36" s="26" t="s">
        <v>39</v>
      </c>
      <c r="B36" s="103" t="s">
        <v>175</v>
      </c>
      <c r="C36" s="103" t="s">
        <v>176</v>
      </c>
      <c r="D36" s="103" t="s">
        <v>177</v>
      </c>
      <c r="E36" s="103" t="s">
        <v>178</v>
      </c>
      <c r="F36" s="47"/>
      <c r="K36" s="39">
        <v>12</v>
      </c>
      <c r="L36" s="57"/>
      <c r="M36" s="61"/>
      <c r="N36" s="57"/>
      <c r="O36" s="61"/>
      <c r="P36" s="57"/>
      <c r="Q36" s="61"/>
      <c r="R36" s="57"/>
      <c r="S36" s="61"/>
      <c r="T36" s="57"/>
      <c r="U36" s="61"/>
      <c r="V36" s="57"/>
      <c r="W36" s="61"/>
      <c r="X36" s="57"/>
      <c r="Y36" s="61"/>
      <c r="Z36" s="57"/>
      <c r="AA36" s="61"/>
      <c r="AB36" s="57" t="s">
        <v>114</v>
      </c>
      <c r="AC36" s="61" t="s">
        <v>173</v>
      </c>
      <c r="AD36" s="57" t="s">
        <v>115</v>
      </c>
      <c r="AE36" s="61"/>
      <c r="AF36" s="57" t="s">
        <v>116</v>
      </c>
      <c r="AG36" s="61" t="s">
        <v>174</v>
      </c>
      <c r="AH36" s="57" t="s">
        <v>113</v>
      </c>
      <c r="AI36" s="61"/>
    </row>
    <row r="37" spans="1:43" x14ac:dyDescent="0.25">
      <c r="A37" s="26" t="s">
        <v>17</v>
      </c>
      <c r="B37" s="103" t="s">
        <v>177</v>
      </c>
      <c r="C37" s="103" t="s">
        <v>178</v>
      </c>
      <c r="D37" s="103" t="s">
        <v>175</v>
      </c>
      <c r="E37" s="103" t="s">
        <v>176</v>
      </c>
      <c r="F37" s="47"/>
      <c r="K37" s="39">
        <v>13</v>
      </c>
      <c r="L37" s="57"/>
      <c r="M37" s="61"/>
      <c r="N37" s="57"/>
      <c r="O37" s="61"/>
      <c r="P37" s="57"/>
      <c r="Q37" s="61"/>
      <c r="R37" s="57"/>
      <c r="S37" s="61"/>
      <c r="T37" s="57"/>
      <c r="U37" s="61"/>
      <c r="V37" s="57"/>
      <c r="W37" s="61"/>
      <c r="X37" s="57"/>
      <c r="Y37" s="61"/>
      <c r="Z37" s="57"/>
      <c r="AA37" s="61"/>
      <c r="AB37" s="57" t="s">
        <v>114</v>
      </c>
      <c r="AC37" s="61" t="s">
        <v>181</v>
      </c>
      <c r="AD37" s="57" t="s">
        <v>115</v>
      </c>
      <c r="AE37" s="61"/>
      <c r="AF37" s="57" t="s">
        <v>116</v>
      </c>
      <c r="AG37" s="61" t="s">
        <v>181</v>
      </c>
      <c r="AH37" s="57" t="s">
        <v>113</v>
      </c>
      <c r="AI37" s="61"/>
    </row>
    <row r="38" spans="1:43" ht="15.75" customHeight="1" x14ac:dyDescent="0.25">
      <c r="E38" s="47"/>
      <c r="F38" s="47"/>
      <c r="K38" s="39">
        <v>14</v>
      </c>
      <c r="L38" s="57"/>
      <c r="M38" s="61"/>
      <c r="N38" s="57"/>
      <c r="O38" s="61"/>
      <c r="P38" s="57"/>
      <c r="Q38" s="61"/>
      <c r="R38" s="57"/>
      <c r="S38" s="61"/>
      <c r="T38" s="57"/>
      <c r="U38" s="61"/>
      <c r="V38" s="57"/>
      <c r="W38" s="61"/>
      <c r="X38" s="57"/>
      <c r="Y38" s="61"/>
      <c r="Z38" s="57"/>
      <c r="AA38" s="61"/>
      <c r="AB38" s="57" t="s">
        <v>115</v>
      </c>
      <c r="AC38" s="61" t="s">
        <v>184</v>
      </c>
      <c r="AD38" s="57" t="s">
        <v>116</v>
      </c>
      <c r="AE38" s="61"/>
      <c r="AF38" s="57" t="s">
        <v>113</v>
      </c>
      <c r="AG38" s="61" t="s">
        <v>184</v>
      </c>
      <c r="AH38" s="57" t="s">
        <v>114</v>
      </c>
      <c r="AI38" s="61"/>
    </row>
    <row r="39" spans="1:43" ht="15.75" customHeight="1" x14ac:dyDescent="0.25">
      <c r="E39" s="47"/>
      <c r="F39" s="47"/>
      <c r="K39" s="39">
        <v>15</v>
      </c>
      <c r="L39" s="57"/>
      <c r="M39" s="61"/>
      <c r="N39" s="57"/>
      <c r="O39" s="61"/>
      <c r="P39" s="57"/>
      <c r="Q39" s="61"/>
      <c r="R39" s="57"/>
      <c r="S39" s="61"/>
      <c r="T39" s="57"/>
      <c r="U39" s="61"/>
      <c r="V39" s="57"/>
      <c r="W39" s="61"/>
      <c r="X39" s="57"/>
      <c r="Y39" s="61"/>
      <c r="Z39" s="57"/>
      <c r="AA39" s="61"/>
      <c r="AB39" s="57" t="s">
        <v>115</v>
      </c>
      <c r="AC39" s="61" t="s">
        <v>167</v>
      </c>
      <c r="AD39" s="57" t="s">
        <v>116</v>
      </c>
      <c r="AE39" s="63"/>
      <c r="AF39" s="57" t="s">
        <v>113</v>
      </c>
      <c r="AG39" s="61" t="s">
        <v>166</v>
      </c>
      <c r="AH39" s="57" t="s">
        <v>114</v>
      </c>
      <c r="AI39" s="63"/>
    </row>
    <row r="40" spans="1:43" x14ac:dyDescent="0.25">
      <c r="A40" s="73" t="s">
        <v>190</v>
      </c>
      <c r="B40"/>
      <c r="C40"/>
      <c r="D40"/>
      <c r="E40"/>
      <c r="F40" s="47"/>
      <c r="K40" s="39">
        <v>16</v>
      </c>
      <c r="L40" s="57"/>
      <c r="M40" s="61"/>
      <c r="N40" s="57"/>
      <c r="O40" s="61"/>
      <c r="P40" s="57"/>
      <c r="Q40" s="61"/>
      <c r="R40" s="57"/>
      <c r="S40" s="61"/>
      <c r="T40" s="57"/>
      <c r="U40" s="61"/>
      <c r="V40" s="57"/>
      <c r="W40" s="61"/>
      <c r="X40" s="57"/>
      <c r="Y40" s="61"/>
      <c r="Z40" s="57"/>
      <c r="AA40" s="61"/>
      <c r="AB40" s="57" t="s">
        <v>116</v>
      </c>
      <c r="AC40" s="61" t="s">
        <v>187</v>
      </c>
      <c r="AD40" s="57" t="s">
        <v>113</v>
      </c>
      <c r="AE40" s="61"/>
      <c r="AF40" s="57" t="s">
        <v>114</v>
      </c>
      <c r="AG40" s="61" t="s">
        <v>187</v>
      </c>
      <c r="AH40" s="57" t="s">
        <v>115</v>
      </c>
      <c r="AI40" s="61"/>
    </row>
    <row r="41" spans="1:43" x14ac:dyDescent="0.25">
      <c r="A41" s="98" t="s">
        <v>40</v>
      </c>
      <c r="B41"/>
      <c r="C41"/>
      <c r="D41"/>
      <c r="E41"/>
      <c r="F41" s="47"/>
      <c r="K41" s="39">
        <v>17</v>
      </c>
      <c r="L41" s="59"/>
      <c r="M41" s="58"/>
      <c r="N41" s="59"/>
      <c r="O41" s="58"/>
      <c r="P41" s="59"/>
      <c r="Q41" s="58"/>
      <c r="R41" s="59"/>
      <c r="S41" s="58"/>
      <c r="T41" s="59"/>
      <c r="U41" s="58"/>
      <c r="V41" s="59"/>
      <c r="W41" s="58"/>
      <c r="X41" s="59"/>
      <c r="Y41" s="58"/>
      <c r="Z41" s="59"/>
      <c r="AA41" s="58"/>
      <c r="AB41" s="59" t="s">
        <v>116</v>
      </c>
      <c r="AC41" s="64" t="s">
        <v>188</v>
      </c>
      <c r="AD41" s="59" t="s">
        <v>113</v>
      </c>
      <c r="AE41" s="58"/>
      <c r="AF41" s="59" t="s">
        <v>114</v>
      </c>
      <c r="AG41" s="64" t="s">
        <v>188</v>
      </c>
      <c r="AH41" s="59" t="s">
        <v>115</v>
      </c>
      <c r="AI41" s="58"/>
    </row>
    <row r="42" spans="1:43" x14ac:dyDescent="0.25">
      <c r="A42" s="96" t="s">
        <v>80</v>
      </c>
      <c r="B42"/>
      <c r="C42"/>
      <c r="D42"/>
      <c r="E42"/>
      <c r="F42"/>
      <c r="G42"/>
      <c r="K42"/>
      <c r="L42"/>
      <c r="M42"/>
      <c r="N42"/>
      <c r="O42"/>
      <c r="P42"/>
      <c r="Q42"/>
      <c r="R42"/>
      <c r="S42"/>
      <c r="T42"/>
      <c r="U42"/>
      <c r="V42"/>
      <c r="W42"/>
      <c r="X42"/>
      <c r="Y42"/>
      <c r="Z42"/>
      <c r="AA42"/>
      <c r="AB42"/>
      <c r="AC42"/>
      <c r="AD42"/>
      <c r="AE42"/>
      <c r="AF42"/>
      <c r="AG42"/>
      <c r="AH42"/>
      <c r="AI42"/>
    </row>
    <row r="43" spans="1:43" x14ac:dyDescent="0.25">
      <c r="A43" s="96" t="s">
        <v>94</v>
      </c>
      <c r="C43"/>
      <c r="F43"/>
      <c r="G43"/>
      <c r="K43"/>
      <c r="L43"/>
      <c r="M43"/>
      <c r="N43"/>
      <c r="O43"/>
      <c r="P43"/>
      <c r="Q43"/>
      <c r="R43"/>
      <c r="S43"/>
      <c r="T43"/>
      <c r="U43"/>
      <c r="V43"/>
      <c r="W43"/>
      <c r="X43"/>
      <c r="Y43"/>
      <c r="Z43"/>
      <c r="AA43"/>
      <c r="AB43"/>
      <c r="AC43"/>
      <c r="AD43"/>
      <c r="AE43"/>
      <c r="AF43"/>
      <c r="AG43"/>
      <c r="AH43"/>
      <c r="AI43"/>
    </row>
    <row r="44" spans="1:43" x14ac:dyDescent="0.25">
      <c r="A44" s="97" t="s">
        <v>109</v>
      </c>
      <c r="F44"/>
      <c r="J44" s="93" t="s">
        <v>191</v>
      </c>
      <c r="K44" s="35">
        <v>1</v>
      </c>
      <c r="L44" s="99"/>
      <c r="M44" s="100" t="s">
        <v>192</v>
      </c>
      <c r="N44" s="99"/>
      <c r="O44" s="100" t="s">
        <v>193</v>
      </c>
      <c r="P44" s="99"/>
      <c r="Q44" s="100" t="s">
        <v>194</v>
      </c>
      <c r="R44" s="99"/>
      <c r="S44" s="100" t="s">
        <v>195</v>
      </c>
      <c r="T44" s="99"/>
      <c r="U44" s="100" t="s">
        <v>196</v>
      </c>
      <c r="V44" s="99"/>
      <c r="W44" s="100" t="s">
        <v>197</v>
      </c>
      <c r="X44" s="99"/>
      <c r="Y44" s="100" t="s">
        <v>198</v>
      </c>
      <c r="Z44" s="99"/>
      <c r="AA44" s="100" t="s">
        <v>199</v>
      </c>
      <c r="AB44" s="37"/>
      <c r="AC44" s="36" t="s">
        <v>200</v>
      </c>
      <c r="AD44" s="37"/>
      <c r="AE44" s="36" t="s">
        <v>201</v>
      </c>
      <c r="AF44" s="37"/>
      <c r="AG44" s="36" t="s">
        <v>202</v>
      </c>
      <c r="AH44" s="37"/>
      <c r="AI44" s="36" t="s">
        <v>203</v>
      </c>
      <c r="AJ44" s="37"/>
      <c r="AK44" s="36" t="s">
        <v>204</v>
      </c>
      <c r="AL44" s="37"/>
      <c r="AM44" s="36" t="s">
        <v>205</v>
      </c>
      <c r="AN44" s="37"/>
      <c r="AO44" s="36" t="s">
        <v>206</v>
      </c>
      <c r="AP44" s="37"/>
      <c r="AQ44" s="36" t="s">
        <v>207</v>
      </c>
    </row>
    <row r="45" spans="1:43" x14ac:dyDescent="0.25">
      <c r="A45"/>
      <c r="K45" s="39">
        <v>2</v>
      </c>
      <c r="L45" s="56" t="s">
        <v>73</v>
      </c>
      <c r="M45" s="60" t="s">
        <v>208</v>
      </c>
      <c r="N45" s="56" t="s">
        <v>75</v>
      </c>
      <c r="O45" s="60" t="s">
        <v>76</v>
      </c>
      <c r="P45" s="56" t="s">
        <v>77</v>
      </c>
      <c r="Q45" s="60" t="s">
        <v>208</v>
      </c>
      <c r="R45" s="56" t="s">
        <v>78</v>
      </c>
      <c r="S45" s="60" t="s">
        <v>76</v>
      </c>
      <c r="T45" s="56" t="s">
        <v>73</v>
      </c>
      <c r="U45" s="60" t="s">
        <v>208</v>
      </c>
      <c r="V45" s="56" t="s">
        <v>75</v>
      </c>
      <c r="W45" s="60" t="s">
        <v>76</v>
      </c>
      <c r="X45" s="56" t="s">
        <v>77</v>
      </c>
      <c r="Y45" s="60" t="s">
        <v>208</v>
      </c>
      <c r="Z45" s="56" t="s">
        <v>78</v>
      </c>
      <c r="AA45" s="60" t="s">
        <v>76</v>
      </c>
      <c r="AB45" s="56" t="s">
        <v>73</v>
      </c>
      <c r="AC45" s="60" t="s">
        <v>208</v>
      </c>
      <c r="AD45" s="56" t="s">
        <v>75</v>
      </c>
      <c r="AE45" s="60" t="s">
        <v>76</v>
      </c>
      <c r="AF45" s="56" t="s">
        <v>77</v>
      </c>
      <c r="AG45" s="60" t="s">
        <v>208</v>
      </c>
      <c r="AH45" s="56" t="s">
        <v>78</v>
      </c>
      <c r="AI45" s="60" t="s">
        <v>76</v>
      </c>
      <c r="AJ45" s="56" t="s">
        <v>73</v>
      </c>
      <c r="AK45" s="60" t="s">
        <v>208</v>
      </c>
      <c r="AL45" s="56" t="s">
        <v>75</v>
      </c>
      <c r="AM45" s="60" t="s">
        <v>76</v>
      </c>
      <c r="AN45" s="56" t="s">
        <v>77</v>
      </c>
      <c r="AO45" s="60" t="s">
        <v>208</v>
      </c>
      <c r="AP45" s="56" t="s">
        <v>78</v>
      </c>
      <c r="AQ45" s="60" t="s">
        <v>76</v>
      </c>
    </row>
    <row r="46" spans="1:43" x14ac:dyDescent="0.25">
      <c r="A46" s="73" t="s">
        <v>521</v>
      </c>
      <c r="K46" s="39">
        <v>3</v>
      </c>
      <c r="L46" s="57" t="s">
        <v>73</v>
      </c>
      <c r="M46" s="61" t="s">
        <v>209</v>
      </c>
      <c r="N46" s="57" t="s">
        <v>75</v>
      </c>
      <c r="O46" s="61"/>
      <c r="P46" s="57" t="s">
        <v>77</v>
      </c>
      <c r="Q46" s="61" t="s">
        <v>209</v>
      </c>
      <c r="R46" s="57" t="s">
        <v>78</v>
      </c>
      <c r="S46" s="61"/>
      <c r="T46" s="57" t="s">
        <v>73</v>
      </c>
      <c r="U46" s="61" t="s">
        <v>210</v>
      </c>
      <c r="V46" s="57" t="s">
        <v>75</v>
      </c>
      <c r="W46" s="61"/>
      <c r="X46" s="57" t="s">
        <v>77</v>
      </c>
      <c r="Y46" s="61" t="s">
        <v>167</v>
      </c>
      <c r="Z46" s="57" t="s">
        <v>78</v>
      </c>
      <c r="AA46" s="61"/>
      <c r="AB46" s="57" t="s">
        <v>73</v>
      </c>
      <c r="AC46" s="61" t="s">
        <v>211</v>
      </c>
      <c r="AD46" s="57" t="s">
        <v>75</v>
      </c>
      <c r="AE46" s="61"/>
      <c r="AF46" s="57" t="s">
        <v>77</v>
      </c>
      <c r="AG46" s="61" t="s">
        <v>212</v>
      </c>
      <c r="AH46" s="57" t="s">
        <v>78</v>
      </c>
      <c r="AI46" s="61"/>
      <c r="AJ46" s="57" t="s">
        <v>73</v>
      </c>
      <c r="AK46" s="61" t="s">
        <v>213</v>
      </c>
      <c r="AL46" s="57" t="s">
        <v>75</v>
      </c>
      <c r="AM46" s="61"/>
      <c r="AN46" s="57" t="s">
        <v>77</v>
      </c>
      <c r="AO46" s="61" t="s">
        <v>214</v>
      </c>
      <c r="AP46" s="57" t="s">
        <v>78</v>
      </c>
      <c r="AQ46" s="61"/>
    </row>
    <row r="47" spans="1:43" x14ac:dyDescent="0.25">
      <c r="A47" s="2" t="s">
        <v>511</v>
      </c>
      <c r="B47" s="2" t="s">
        <v>465</v>
      </c>
      <c r="K47" s="39">
        <v>4</v>
      </c>
      <c r="L47" s="57" t="s">
        <v>75</v>
      </c>
      <c r="M47" s="61" t="s">
        <v>215</v>
      </c>
      <c r="N47" s="57" t="s">
        <v>77</v>
      </c>
      <c r="O47" s="61"/>
      <c r="P47" s="57" t="s">
        <v>78</v>
      </c>
      <c r="Q47" s="61" t="s">
        <v>215</v>
      </c>
      <c r="R47" s="57" t="s">
        <v>73</v>
      </c>
      <c r="S47" s="61"/>
      <c r="T47" s="57" t="s">
        <v>75</v>
      </c>
      <c r="U47" s="61" t="s">
        <v>215</v>
      </c>
      <c r="V47" s="57" t="s">
        <v>77</v>
      </c>
      <c r="W47" s="61"/>
      <c r="X47" s="57" t="s">
        <v>78</v>
      </c>
      <c r="Y47" s="61" t="s">
        <v>215</v>
      </c>
      <c r="Z47" s="57" t="s">
        <v>73</v>
      </c>
      <c r="AA47" s="61"/>
      <c r="AB47" s="57" t="s">
        <v>75</v>
      </c>
      <c r="AC47" s="61" t="s">
        <v>215</v>
      </c>
      <c r="AD47" s="57" t="s">
        <v>77</v>
      </c>
      <c r="AE47" s="61"/>
      <c r="AF47" s="57" t="s">
        <v>78</v>
      </c>
      <c r="AG47" s="61" t="s">
        <v>215</v>
      </c>
      <c r="AH47" s="57" t="s">
        <v>73</v>
      </c>
      <c r="AI47" s="61"/>
      <c r="AJ47" s="57" t="s">
        <v>75</v>
      </c>
      <c r="AK47" s="61" t="s">
        <v>215</v>
      </c>
      <c r="AL47" s="57" t="s">
        <v>77</v>
      </c>
      <c r="AM47" s="61"/>
      <c r="AN47" s="57" t="s">
        <v>78</v>
      </c>
      <c r="AO47" s="61" t="s">
        <v>215</v>
      </c>
      <c r="AP47" s="57" t="s">
        <v>73</v>
      </c>
      <c r="AQ47" s="61"/>
    </row>
    <row r="48" spans="1:43" x14ac:dyDescent="0.25">
      <c r="A48" s="2" t="s">
        <v>510</v>
      </c>
      <c r="B48" s="2" t="s">
        <v>515</v>
      </c>
      <c r="K48" s="39">
        <v>5</v>
      </c>
      <c r="L48" s="57" t="s">
        <v>75</v>
      </c>
      <c r="M48" s="61" t="s">
        <v>209</v>
      </c>
      <c r="N48" s="57" t="s">
        <v>77</v>
      </c>
      <c r="O48" s="61"/>
      <c r="P48" s="57" t="s">
        <v>78</v>
      </c>
      <c r="Q48" s="61" t="s">
        <v>209</v>
      </c>
      <c r="R48" s="57" t="s">
        <v>73</v>
      </c>
      <c r="S48" s="61"/>
      <c r="T48" s="57" t="s">
        <v>75</v>
      </c>
      <c r="U48" s="61" t="s">
        <v>216</v>
      </c>
      <c r="V48" s="57" t="s">
        <v>77</v>
      </c>
      <c r="W48" s="61"/>
      <c r="X48" s="57" t="s">
        <v>78</v>
      </c>
      <c r="Y48" s="61" t="s">
        <v>216</v>
      </c>
      <c r="Z48" s="57" t="s">
        <v>73</v>
      </c>
      <c r="AA48" s="61"/>
      <c r="AB48" s="57" t="s">
        <v>75</v>
      </c>
      <c r="AC48" s="61" t="s">
        <v>216</v>
      </c>
      <c r="AD48" s="57" t="s">
        <v>77</v>
      </c>
      <c r="AE48" s="61"/>
      <c r="AF48" s="57" t="s">
        <v>78</v>
      </c>
      <c r="AG48" s="61" t="s">
        <v>216</v>
      </c>
      <c r="AH48" s="57" t="s">
        <v>73</v>
      </c>
      <c r="AI48" s="61"/>
      <c r="AJ48" s="57" t="s">
        <v>75</v>
      </c>
      <c r="AK48" s="61" t="s">
        <v>216</v>
      </c>
      <c r="AL48" s="57" t="s">
        <v>77</v>
      </c>
      <c r="AM48" s="61"/>
      <c r="AN48" s="57" t="s">
        <v>78</v>
      </c>
      <c r="AO48" s="61" t="s">
        <v>216</v>
      </c>
      <c r="AP48" s="57" t="s">
        <v>73</v>
      </c>
      <c r="AQ48" s="61"/>
    </row>
    <row r="49" spans="1:43" x14ac:dyDescent="0.25">
      <c r="A49" s="2" t="s">
        <v>512</v>
      </c>
      <c r="B49" s="2" t="s">
        <v>516</v>
      </c>
      <c r="K49" s="39">
        <v>6</v>
      </c>
      <c r="L49" s="57" t="s">
        <v>77</v>
      </c>
      <c r="M49" s="61" t="s">
        <v>209</v>
      </c>
      <c r="N49" s="57" t="s">
        <v>78</v>
      </c>
      <c r="O49" s="61"/>
      <c r="P49" s="57" t="s">
        <v>73</v>
      </c>
      <c r="Q49" s="61" t="s">
        <v>209</v>
      </c>
      <c r="R49" s="57" t="s">
        <v>75</v>
      </c>
      <c r="S49" s="61"/>
      <c r="T49" s="57" t="s">
        <v>77</v>
      </c>
      <c r="U49" s="61" t="s">
        <v>184</v>
      </c>
      <c r="V49" s="57" t="s">
        <v>78</v>
      </c>
      <c r="W49" s="61"/>
      <c r="X49" s="57" t="s">
        <v>73</v>
      </c>
      <c r="Y49" s="61" t="s">
        <v>184</v>
      </c>
      <c r="Z49" s="57" t="s">
        <v>75</v>
      </c>
      <c r="AA49" s="61"/>
      <c r="AB49" s="57" t="s">
        <v>77</v>
      </c>
      <c r="AC49" s="61" t="s">
        <v>217</v>
      </c>
      <c r="AD49" s="57" t="s">
        <v>78</v>
      </c>
      <c r="AE49" s="61"/>
      <c r="AF49" s="57" t="s">
        <v>73</v>
      </c>
      <c r="AG49" s="61" t="s">
        <v>217</v>
      </c>
      <c r="AH49" s="57" t="s">
        <v>75</v>
      </c>
      <c r="AI49" s="61"/>
      <c r="AJ49" s="57" t="s">
        <v>77</v>
      </c>
      <c r="AK49" s="61" t="s">
        <v>217</v>
      </c>
      <c r="AL49" s="57" t="s">
        <v>78</v>
      </c>
      <c r="AM49" s="61"/>
      <c r="AN49" s="57" t="s">
        <v>73</v>
      </c>
      <c r="AO49" s="61" t="s">
        <v>217</v>
      </c>
      <c r="AP49" s="57" t="s">
        <v>75</v>
      </c>
      <c r="AQ49" s="61"/>
    </row>
    <row r="50" spans="1:43" x14ac:dyDescent="0.25">
      <c r="A50" s="2" t="s">
        <v>513</v>
      </c>
      <c r="B50" s="2" t="s">
        <v>517</v>
      </c>
      <c r="K50" s="39">
        <v>7</v>
      </c>
      <c r="L50" s="57" t="s">
        <v>77</v>
      </c>
      <c r="M50" s="61" t="s">
        <v>209</v>
      </c>
      <c r="N50" s="57" t="s">
        <v>78</v>
      </c>
      <c r="O50" s="63"/>
      <c r="P50" s="57" t="s">
        <v>73</v>
      </c>
      <c r="Q50" s="61" t="s">
        <v>209</v>
      </c>
      <c r="R50" s="57" t="s">
        <v>75</v>
      </c>
      <c r="S50" s="63"/>
      <c r="T50" s="57" t="s">
        <v>77</v>
      </c>
      <c r="U50" s="61" t="s">
        <v>167</v>
      </c>
      <c r="V50" s="57" t="s">
        <v>78</v>
      </c>
      <c r="W50" s="63"/>
      <c r="X50" s="57" t="s">
        <v>73</v>
      </c>
      <c r="Y50" s="61" t="s">
        <v>210</v>
      </c>
      <c r="Z50" s="57" t="s">
        <v>75</v>
      </c>
      <c r="AA50" s="63"/>
      <c r="AB50" s="57" t="s">
        <v>77</v>
      </c>
      <c r="AC50" s="61" t="s">
        <v>212</v>
      </c>
      <c r="AD50" s="57" t="s">
        <v>78</v>
      </c>
      <c r="AE50" s="63"/>
      <c r="AF50" s="57" t="s">
        <v>73</v>
      </c>
      <c r="AG50" s="61" t="s">
        <v>211</v>
      </c>
      <c r="AH50" s="57" t="s">
        <v>75</v>
      </c>
      <c r="AI50" s="63"/>
      <c r="AJ50" s="57" t="s">
        <v>77</v>
      </c>
      <c r="AK50" s="61" t="s">
        <v>214</v>
      </c>
      <c r="AL50" s="57" t="s">
        <v>78</v>
      </c>
      <c r="AM50" s="63"/>
      <c r="AN50" s="57" t="s">
        <v>73</v>
      </c>
      <c r="AO50" s="61" t="s">
        <v>213</v>
      </c>
      <c r="AP50" s="57" t="s">
        <v>75</v>
      </c>
      <c r="AQ50" s="63"/>
    </row>
    <row r="51" spans="1:43" x14ac:dyDescent="0.25">
      <c r="A51" s="2" t="s">
        <v>514</v>
      </c>
      <c r="B51" s="2" t="s">
        <v>518</v>
      </c>
      <c r="K51" s="39">
        <v>8</v>
      </c>
      <c r="L51" s="57" t="s">
        <v>78</v>
      </c>
      <c r="M51" s="61" t="s">
        <v>187</v>
      </c>
      <c r="N51" s="57" t="s">
        <v>73</v>
      </c>
      <c r="O51" s="61"/>
      <c r="P51" s="57" t="s">
        <v>75</v>
      </c>
      <c r="Q51" s="61" t="s">
        <v>187</v>
      </c>
      <c r="R51" s="57" t="s">
        <v>77</v>
      </c>
      <c r="S51" s="61"/>
      <c r="T51" s="57" t="s">
        <v>78</v>
      </c>
      <c r="U51" s="61" t="s">
        <v>187</v>
      </c>
      <c r="V51" s="57" t="s">
        <v>73</v>
      </c>
      <c r="W51" s="61"/>
      <c r="X51" s="57" t="s">
        <v>75</v>
      </c>
      <c r="Y51" s="61" t="s">
        <v>187</v>
      </c>
      <c r="Z51" s="57" t="s">
        <v>77</v>
      </c>
      <c r="AA51" s="61"/>
      <c r="AB51" s="57" t="s">
        <v>78</v>
      </c>
      <c r="AC51" s="61" t="s">
        <v>187</v>
      </c>
      <c r="AD51" s="57" t="s">
        <v>73</v>
      </c>
      <c r="AE51" s="61"/>
      <c r="AF51" s="57" t="s">
        <v>75</v>
      </c>
      <c r="AG51" s="61" t="s">
        <v>187</v>
      </c>
      <c r="AH51" s="57" t="s">
        <v>77</v>
      </c>
      <c r="AI51" s="61"/>
      <c r="AJ51" s="57" t="s">
        <v>78</v>
      </c>
      <c r="AK51" s="61" t="s">
        <v>187</v>
      </c>
      <c r="AL51" s="57" t="s">
        <v>73</v>
      </c>
      <c r="AM51" s="61"/>
      <c r="AN51" s="57" t="s">
        <v>75</v>
      </c>
      <c r="AO51" s="61" t="s">
        <v>187</v>
      </c>
      <c r="AP51" s="57" t="s">
        <v>77</v>
      </c>
      <c r="AQ51" s="61"/>
    </row>
    <row r="52" spans="1:43" x14ac:dyDescent="0.25">
      <c r="A52"/>
      <c r="K52" s="39">
        <v>9</v>
      </c>
      <c r="L52" s="59" t="s">
        <v>78</v>
      </c>
      <c r="M52" s="64" t="s">
        <v>188</v>
      </c>
      <c r="N52" s="59" t="s">
        <v>73</v>
      </c>
      <c r="O52" s="58"/>
      <c r="P52" s="59" t="s">
        <v>75</v>
      </c>
      <c r="Q52" s="64" t="s">
        <v>188</v>
      </c>
      <c r="R52" s="59" t="s">
        <v>77</v>
      </c>
      <c r="S52" s="58"/>
      <c r="T52" s="59" t="s">
        <v>78</v>
      </c>
      <c r="U52" s="64" t="s">
        <v>188</v>
      </c>
      <c r="V52" s="59" t="s">
        <v>73</v>
      </c>
      <c r="W52" s="58"/>
      <c r="X52" s="59" t="s">
        <v>75</v>
      </c>
      <c r="Y52" s="64" t="s">
        <v>188</v>
      </c>
      <c r="Z52" s="59" t="s">
        <v>77</v>
      </c>
      <c r="AA52" s="58"/>
      <c r="AB52" s="59" t="s">
        <v>78</v>
      </c>
      <c r="AC52" s="64" t="s">
        <v>188</v>
      </c>
      <c r="AD52" s="59" t="s">
        <v>73</v>
      </c>
      <c r="AE52" s="58"/>
      <c r="AF52" s="59" t="s">
        <v>75</v>
      </c>
      <c r="AG52" s="64" t="s">
        <v>188</v>
      </c>
      <c r="AH52" s="59" t="s">
        <v>77</v>
      </c>
      <c r="AI52" s="58"/>
      <c r="AJ52" s="59" t="s">
        <v>78</v>
      </c>
      <c r="AK52" s="64" t="s">
        <v>188</v>
      </c>
      <c r="AL52" s="59" t="s">
        <v>73</v>
      </c>
      <c r="AM52" s="58"/>
      <c r="AN52" s="59" t="s">
        <v>75</v>
      </c>
      <c r="AO52" s="64" t="s">
        <v>188</v>
      </c>
      <c r="AP52" s="59" t="s">
        <v>77</v>
      </c>
      <c r="AQ52" s="58"/>
    </row>
    <row r="53" spans="1:43" x14ac:dyDescent="0.25">
      <c r="K53" s="39">
        <v>10</v>
      </c>
      <c r="L53" s="56" t="s">
        <v>220</v>
      </c>
      <c r="M53" s="60" t="s">
        <v>167</v>
      </c>
      <c r="N53" s="56"/>
      <c r="O53" s="60"/>
      <c r="P53" s="56" t="s">
        <v>220</v>
      </c>
      <c r="Q53" s="60" t="s">
        <v>167</v>
      </c>
      <c r="R53" s="56" t="s">
        <v>220</v>
      </c>
      <c r="S53" s="60"/>
      <c r="T53" s="56"/>
      <c r="U53" s="101" t="s">
        <v>136</v>
      </c>
      <c r="V53" s="56"/>
      <c r="W53" s="101"/>
      <c r="X53" s="56"/>
      <c r="Y53" s="101" t="s">
        <v>136</v>
      </c>
      <c r="Z53" s="56"/>
      <c r="AA53" s="101"/>
      <c r="AB53" s="56"/>
      <c r="AC53" s="101" t="s">
        <v>136</v>
      </c>
      <c r="AD53" s="56"/>
      <c r="AE53" s="101"/>
      <c r="AF53" s="56"/>
      <c r="AG53" s="101" t="s">
        <v>136</v>
      </c>
      <c r="AH53" s="56"/>
      <c r="AI53" s="101"/>
      <c r="AJ53" s="56"/>
      <c r="AK53" s="101" t="s">
        <v>136</v>
      </c>
      <c r="AL53" s="56"/>
      <c r="AM53" s="101"/>
      <c r="AN53" s="56"/>
      <c r="AO53" s="101" t="s">
        <v>136</v>
      </c>
      <c r="AP53" s="56"/>
      <c r="AQ53" s="101"/>
    </row>
    <row r="54" spans="1:43" x14ac:dyDescent="0.25">
      <c r="K54" s="39">
        <v>11</v>
      </c>
      <c r="L54" s="57" t="s">
        <v>222</v>
      </c>
      <c r="M54" s="61" t="s">
        <v>214</v>
      </c>
      <c r="N54" s="57"/>
      <c r="O54" s="61"/>
      <c r="P54" s="57" t="s">
        <v>222</v>
      </c>
      <c r="Q54" s="61" t="s">
        <v>214</v>
      </c>
      <c r="R54" s="57" t="s">
        <v>222</v>
      </c>
      <c r="S54" s="61"/>
      <c r="T54" s="57"/>
      <c r="U54" s="61"/>
      <c r="V54" s="57"/>
      <c r="W54" s="61"/>
      <c r="X54" s="57"/>
      <c r="Y54" s="61"/>
      <c r="Z54" s="57"/>
      <c r="AA54" s="61"/>
      <c r="AB54" s="57"/>
      <c r="AC54" s="61"/>
      <c r="AD54" s="57"/>
      <c r="AE54" s="61"/>
      <c r="AF54" s="57"/>
      <c r="AG54" s="61"/>
      <c r="AH54" s="57"/>
      <c r="AI54" s="61"/>
      <c r="AJ54" s="57"/>
      <c r="AK54" s="61"/>
      <c r="AL54" s="57"/>
      <c r="AM54" s="61"/>
      <c r="AN54" s="57"/>
      <c r="AO54" s="61"/>
      <c r="AP54" s="57"/>
      <c r="AQ54" s="61"/>
    </row>
    <row r="55" spans="1:43" x14ac:dyDescent="0.25">
      <c r="A55" s="29" t="s">
        <v>218</v>
      </c>
      <c r="B55" s="42">
        <v>45548</v>
      </c>
      <c r="K55" s="39">
        <v>12</v>
      </c>
      <c r="L55" s="57" t="s">
        <v>224</v>
      </c>
      <c r="M55" s="61" t="s">
        <v>217</v>
      </c>
      <c r="N55" s="57"/>
      <c r="O55" s="61"/>
      <c r="P55" s="57" t="s">
        <v>224</v>
      </c>
      <c r="Q55" s="61" t="s">
        <v>217</v>
      </c>
      <c r="R55" s="57" t="s">
        <v>224</v>
      </c>
      <c r="S55" s="61"/>
      <c r="T55" s="57"/>
      <c r="U55" s="61"/>
      <c r="V55" s="57"/>
      <c r="W55" s="61"/>
      <c r="X55" s="57"/>
      <c r="Y55" s="61"/>
      <c r="Z55" s="57"/>
      <c r="AA55" s="61"/>
      <c r="AB55" s="57"/>
      <c r="AC55" s="61"/>
      <c r="AD55" s="57"/>
      <c r="AE55" s="61"/>
      <c r="AF55" s="57"/>
      <c r="AG55" s="61"/>
      <c r="AH55" s="57"/>
      <c r="AI55" s="61"/>
      <c r="AJ55" s="57"/>
      <c r="AK55" s="61"/>
      <c r="AL55" s="57"/>
      <c r="AM55" s="61"/>
      <c r="AN55" s="57"/>
      <c r="AO55" s="61"/>
      <c r="AP55" s="57"/>
      <c r="AQ55" s="61"/>
    </row>
    <row r="56" spans="1:43" x14ac:dyDescent="0.25">
      <c r="A56" s="29" t="s">
        <v>219</v>
      </c>
      <c r="B56" s="42">
        <v>45548</v>
      </c>
      <c r="K56" s="39">
        <v>13</v>
      </c>
      <c r="L56" s="57" t="s">
        <v>226</v>
      </c>
      <c r="M56" s="61" t="s">
        <v>216</v>
      </c>
      <c r="N56" s="57"/>
      <c r="O56" s="61"/>
      <c r="P56" s="57" t="s">
        <v>226</v>
      </c>
      <c r="Q56" s="61" t="s">
        <v>216</v>
      </c>
      <c r="R56" s="57" t="s">
        <v>226</v>
      </c>
      <c r="S56" s="61"/>
      <c r="T56" s="57"/>
      <c r="U56" s="61"/>
      <c r="V56" s="57"/>
      <c r="W56" s="61"/>
      <c r="X56" s="57"/>
      <c r="Y56" s="61"/>
      <c r="Z56" s="57"/>
      <c r="AA56" s="61"/>
      <c r="AB56" s="57"/>
      <c r="AC56" s="61"/>
      <c r="AD56" s="57"/>
      <c r="AE56" s="61"/>
      <c r="AF56" s="57"/>
      <c r="AG56" s="61"/>
      <c r="AH56" s="57"/>
      <c r="AI56" s="61"/>
      <c r="AJ56" s="57"/>
      <c r="AK56" s="61"/>
      <c r="AL56" s="57"/>
      <c r="AM56" s="61"/>
      <c r="AN56" s="57"/>
      <c r="AO56" s="61"/>
      <c r="AP56" s="57"/>
      <c r="AQ56" s="61"/>
    </row>
    <row r="57" spans="1:43" x14ac:dyDescent="0.25">
      <c r="A57" s="29" t="s">
        <v>221</v>
      </c>
      <c r="B57" s="42">
        <v>45548</v>
      </c>
      <c r="K57" s="39">
        <v>14</v>
      </c>
      <c r="L57" s="57" t="s">
        <v>228</v>
      </c>
      <c r="M57" s="61" t="s">
        <v>211</v>
      </c>
      <c r="N57" s="57"/>
      <c r="O57" s="61"/>
      <c r="P57" s="57" t="s">
        <v>228</v>
      </c>
      <c r="Q57" s="61" t="s">
        <v>211</v>
      </c>
      <c r="R57" s="57" t="s">
        <v>228</v>
      </c>
      <c r="S57" s="61"/>
      <c r="T57" s="57"/>
      <c r="U57" s="61"/>
      <c r="V57" s="57"/>
      <c r="W57" s="61"/>
      <c r="X57" s="57"/>
      <c r="Y57" s="61"/>
      <c r="Z57" s="57"/>
      <c r="AA57" s="61"/>
      <c r="AB57" s="57"/>
      <c r="AC57" s="61"/>
      <c r="AD57" s="57"/>
      <c r="AE57" s="61"/>
      <c r="AF57" s="57"/>
      <c r="AG57" s="61"/>
      <c r="AH57" s="57"/>
      <c r="AI57" s="61"/>
      <c r="AJ57" s="57"/>
      <c r="AK57" s="61"/>
      <c r="AL57" s="57"/>
      <c r="AM57" s="61"/>
      <c r="AN57" s="57"/>
      <c r="AO57" s="61"/>
      <c r="AP57" s="57"/>
      <c r="AQ57" s="61"/>
    </row>
    <row r="58" spans="1:43" x14ac:dyDescent="0.25">
      <c r="A58" s="29" t="s">
        <v>223</v>
      </c>
      <c r="B58" s="42">
        <v>45548</v>
      </c>
      <c r="K58" s="39">
        <v>15</v>
      </c>
      <c r="L58" s="57" t="s">
        <v>231</v>
      </c>
      <c r="M58" s="61" t="s">
        <v>210</v>
      </c>
      <c r="N58" s="57"/>
      <c r="O58" s="61"/>
      <c r="P58" s="57" t="s">
        <v>231</v>
      </c>
      <c r="Q58" s="61" t="s">
        <v>210</v>
      </c>
      <c r="R58" s="57" t="s">
        <v>231</v>
      </c>
      <c r="S58" s="61"/>
      <c r="T58" s="57"/>
      <c r="U58" s="61"/>
      <c r="V58" s="57"/>
      <c r="W58" s="63"/>
      <c r="X58" s="57"/>
      <c r="Y58" s="61"/>
      <c r="Z58" s="57"/>
      <c r="AA58" s="61"/>
      <c r="AB58" s="57"/>
      <c r="AC58" s="61"/>
      <c r="AD58" s="57"/>
      <c r="AE58" s="63"/>
      <c r="AF58" s="57"/>
      <c r="AG58" s="61"/>
      <c r="AH58" s="57"/>
      <c r="AI58" s="63"/>
      <c r="AJ58" s="57"/>
      <c r="AK58" s="61"/>
      <c r="AL58" s="57"/>
      <c r="AM58" s="61"/>
      <c r="AN58" s="57"/>
      <c r="AO58" s="61"/>
      <c r="AP58" s="57"/>
      <c r="AQ58" s="61"/>
    </row>
    <row r="59" spans="1:43" x14ac:dyDescent="0.25">
      <c r="A59" s="29" t="s">
        <v>225</v>
      </c>
      <c r="B59" s="42">
        <v>45603</v>
      </c>
      <c r="K59" s="39">
        <v>16</v>
      </c>
      <c r="L59" s="57" t="s">
        <v>233</v>
      </c>
      <c r="M59" s="61" t="s">
        <v>212</v>
      </c>
      <c r="N59" s="57"/>
      <c r="O59" s="61"/>
      <c r="P59" s="57" t="s">
        <v>233</v>
      </c>
      <c r="Q59" s="61" t="s">
        <v>212</v>
      </c>
      <c r="R59" s="57" t="s">
        <v>233</v>
      </c>
      <c r="S59" s="61"/>
      <c r="T59" s="57"/>
      <c r="U59" s="61"/>
      <c r="V59" s="57"/>
      <c r="W59" s="63"/>
      <c r="X59" s="57"/>
      <c r="Y59" s="61"/>
      <c r="Z59" s="57"/>
      <c r="AA59" s="61"/>
      <c r="AB59" s="57"/>
      <c r="AC59" s="61"/>
      <c r="AD59" s="57"/>
      <c r="AE59" s="63"/>
      <c r="AF59" s="57"/>
      <c r="AG59" s="61"/>
      <c r="AH59" s="57"/>
      <c r="AI59" s="63"/>
      <c r="AJ59" s="57"/>
      <c r="AK59" s="61"/>
      <c r="AL59" s="57"/>
      <c r="AM59" s="61"/>
      <c r="AN59" s="57"/>
      <c r="AO59" s="61"/>
      <c r="AP59" s="57"/>
      <c r="AQ59" s="61"/>
    </row>
    <row r="60" spans="1:43" x14ac:dyDescent="0.25">
      <c r="A60" s="29" t="s">
        <v>227</v>
      </c>
      <c r="B60" s="42">
        <v>45604</v>
      </c>
      <c r="K60" s="39">
        <v>17</v>
      </c>
      <c r="L60" s="57" t="s">
        <v>235</v>
      </c>
      <c r="M60" s="61" t="s">
        <v>213</v>
      </c>
      <c r="N60" s="57"/>
      <c r="O60" s="61"/>
      <c r="P60" s="57"/>
      <c r="Q60" s="61" t="s">
        <v>213</v>
      </c>
      <c r="R60" s="57"/>
      <c r="S60" s="61"/>
      <c r="T60" s="57"/>
      <c r="U60" s="61"/>
      <c r="V60" s="57"/>
      <c r="W60" s="63"/>
      <c r="X60" s="57"/>
      <c r="Y60" s="61"/>
      <c r="Z60" s="57"/>
      <c r="AA60" s="61"/>
      <c r="AB60" s="57"/>
      <c r="AC60" s="61"/>
      <c r="AD60" s="57"/>
      <c r="AE60" s="63"/>
      <c r="AF60" s="57"/>
      <c r="AG60" s="61"/>
      <c r="AH60" s="57"/>
      <c r="AI60" s="63"/>
      <c r="AJ60" s="57"/>
      <c r="AK60" s="61"/>
      <c r="AL60" s="57"/>
      <c r="AM60" s="61"/>
      <c r="AN60" s="57"/>
      <c r="AO60" s="61"/>
      <c r="AP60" s="57"/>
      <c r="AQ60" s="61"/>
    </row>
    <row r="61" spans="1:43" x14ac:dyDescent="0.25">
      <c r="A61" s="29" t="s">
        <v>229</v>
      </c>
      <c r="B61" s="42">
        <v>45604</v>
      </c>
      <c r="C61" s="26" t="s">
        <v>230</v>
      </c>
      <c r="K61" s="39">
        <v>18</v>
      </c>
      <c r="L61" s="57" t="s">
        <v>237</v>
      </c>
      <c r="M61" s="61" t="s">
        <v>238</v>
      </c>
      <c r="N61" s="57"/>
      <c r="O61" s="61"/>
      <c r="P61" s="57" t="s">
        <v>235</v>
      </c>
      <c r="Q61" s="61" t="s">
        <v>238</v>
      </c>
      <c r="R61" s="57" t="s">
        <v>235</v>
      </c>
      <c r="S61" s="61"/>
      <c r="T61" s="57"/>
      <c r="U61" s="61"/>
      <c r="V61" s="57"/>
      <c r="W61" s="61"/>
      <c r="X61" s="57"/>
      <c r="Y61" s="61"/>
      <c r="Z61" s="57"/>
      <c r="AA61" s="61"/>
      <c r="AB61" s="57"/>
      <c r="AC61" s="61"/>
      <c r="AD61" s="57"/>
      <c r="AE61" s="61"/>
      <c r="AF61" s="57"/>
      <c r="AG61" s="61"/>
      <c r="AH61" s="57"/>
      <c r="AI61" s="61"/>
      <c r="AJ61" s="57"/>
      <c r="AK61" s="61"/>
      <c r="AL61" s="57"/>
      <c r="AM61" s="61"/>
      <c r="AN61" s="57"/>
      <c r="AO61" s="61"/>
      <c r="AP61" s="57"/>
      <c r="AQ61" s="61"/>
    </row>
    <row r="62" spans="1:43" x14ac:dyDescent="0.25">
      <c r="A62" s="29" t="s">
        <v>232</v>
      </c>
      <c r="B62" s="42">
        <v>45604</v>
      </c>
      <c r="K62" s="39">
        <v>19</v>
      </c>
      <c r="L62" s="59" t="s">
        <v>239</v>
      </c>
      <c r="M62" s="64" t="s">
        <v>184</v>
      </c>
      <c r="N62" s="59"/>
      <c r="O62" s="64"/>
      <c r="P62" s="59" t="s">
        <v>237</v>
      </c>
      <c r="Q62" s="64" t="s">
        <v>184</v>
      </c>
      <c r="R62" s="59" t="s">
        <v>237</v>
      </c>
      <c r="S62" s="64"/>
      <c r="T62" s="59"/>
      <c r="U62" s="64"/>
      <c r="V62" s="59"/>
      <c r="W62" s="58"/>
      <c r="X62" s="59"/>
      <c r="Y62" s="64"/>
      <c r="Z62" s="59"/>
      <c r="AA62" s="58"/>
      <c r="AB62" s="59"/>
      <c r="AC62" s="64"/>
      <c r="AD62" s="59"/>
      <c r="AE62" s="58"/>
      <c r="AF62" s="59"/>
      <c r="AG62" s="64"/>
      <c r="AH62" s="59"/>
      <c r="AI62" s="58"/>
      <c r="AJ62" s="59"/>
      <c r="AK62" s="58"/>
      <c r="AL62" s="59"/>
      <c r="AM62" s="58"/>
      <c r="AN62" s="59"/>
      <c r="AO62" s="58"/>
      <c r="AP62" s="59"/>
      <c r="AQ62" s="58"/>
    </row>
    <row r="63" spans="1:43" x14ac:dyDescent="0.25">
      <c r="A63" s="29" t="s">
        <v>234</v>
      </c>
      <c r="B63" s="42">
        <v>45604</v>
      </c>
    </row>
    <row r="64" spans="1:43" x14ac:dyDescent="0.25">
      <c r="A64" s="29" t="s">
        <v>236</v>
      </c>
      <c r="B64" s="42">
        <v>45611</v>
      </c>
      <c r="M64"/>
      <c r="N64"/>
      <c r="O64"/>
      <c r="P64"/>
      <c r="Q64"/>
      <c r="R64"/>
      <c r="S64"/>
    </row>
    <row r="65" spans="1:35" x14ac:dyDescent="0.25">
      <c r="A65" s="29" t="s">
        <v>533</v>
      </c>
      <c r="B65" s="42">
        <v>45664</v>
      </c>
      <c r="J65" s="93" t="s">
        <v>240</v>
      </c>
      <c r="K65" s="35">
        <v>1</v>
      </c>
      <c r="L65" s="37"/>
      <c r="M65" s="36" t="s">
        <v>241</v>
      </c>
      <c r="N65" s="37"/>
      <c r="O65" s="36" t="s">
        <v>242</v>
      </c>
      <c r="P65" s="37"/>
      <c r="Q65" s="36" t="s">
        <v>243</v>
      </c>
      <c r="R65" s="37"/>
      <c r="S65" s="36" t="s">
        <v>244</v>
      </c>
      <c r="T65" s="37"/>
      <c r="U65" s="36" t="s">
        <v>519</v>
      </c>
      <c r="V65" s="37"/>
      <c r="W65" s="36" t="s">
        <v>520</v>
      </c>
      <c r="X65" s="37"/>
      <c r="Y65" s="36" t="s">
        <v>522</v>
      </c>
      <c r="Z65" s="37"/>
      <c r="AA65" s="36" t="s">
        <v>523</v>
      </c>
      <c r="AB65" s="37"/>
      <c r="AC65" s="36" t="s">
        <v>524</v>
      </c>
      <c r="AD65" s="37"/>
      <c r="AE65" s="36" t="s">
        <v>525</v>
      </c>
      <c r="AF65" s="37"/>
      <c r="AG65" s="36" t="s">
        <v>526</v>
      </c>
      <c r="AH65" s="37"/>
      <c r="AI65" s="36" t="s">
        <v>527</v>
      </c>
    </row>
    <row r="66" spans="1:35" x14ac:dyDescent="0.25">
      <c r="K66" s="39">
        <v>2</v>
      </c>
      <c r="L66" s="56" t="s">
        <v>73</v>
      </c>
      <c r="M66" s="60" t="s">
        <v>245</v>
      </c>
      <c r="N66" s="56" t="s">
        <v>75</v>
      </c>
      <c r="O66" s="60" t="s">
        <v>246</v>
      </c>
      <c r="P66" s="56" t="s">
        <v>77</v>
      </c>
      <c r="Q66" s="60" t="s">
        <v>245</v>
      </c>
      <c r="R66" s="56" t="s">
        <v>78</v>
      </c>
      <c r="S66" s="60" t="s">
        <v>246</v>
      </c>
      <c r="T66" s="56" t="s">
        <v>73</v>
      </c>
      <c r="U66" s="60" t="s">
        <v>74</v>
      </c>
      <c r="V66" s="56" t="s">
        <v>77</v>
      </c>
      <c r="W66" s="60" t="s">
        <v>74</v>
      </c>
      <c r="X66" s="56" t="s">
        <v>73</v>
      </c>
      <c r="Y66" s="60" t="s">
        <v>74</v>
      </c>
      <c r="Z66" s="56" t="s">
        <v>77</v>
      </c>
      <c r="AA66" s="60" t="s">
        <v>74</v>
      </c>
      <c r="AB66" s="56" t="s">
        <v>73</v>
      </c>
      <c r="AC66" s="60" t="s">
        <v>74</v>
      </c>
      <c r="AD66" s="56" t="s">
        <v>77</v>
      </c>
      <c r="AE66" s="60" t="s">
        <v>74</v>
      </c>
      <c r="AF66" s="56" t="s">
        <v>73</v>
      </c>
      <c r="AG66" s="60" t="s">
        <v>247</v>
      </c>
      <c r="AH66" s="56" t="s">
        <v>77</v>
      </c>
      <c r="AI66" s="60" t="s">
        <v>247</v>
      </c>
    </row>
    <row r="67" spans="1:35" x14ac:dyDescent="0.25">
      <c r="K67" s="39">
        <v>3</v>
      </c>
      <c r="L67" s="57" t="s">
        <v>73</v>
      </c>
      <c r="M67" s="61" t="s">
        <v>248</v>
      </c>
      <c r="N67" s="57" t="s">
        <v>75</v>
      </c>
      <c r="O67" s="61" t="s">
        <v>249</v>
      </c>
      <c r="P67" s="57" t="s">
        <v>77</v>
      </c>
      <c r="Q67" s="61" t="s">
        <v>248</v>
      </c>
      <c r="R67" s="57" t="s">
        <v>78</v>
      </c>
      <c r="S67" s="61" t="s">
        <v>249</v>
      </c>
      <c r="T67" s="57" t="s">
        <v>73</v>
      </c>
      <c r="U67" s="61" t="s">
        <v>247</v>
      </c>
      <c r="V67" s="57" t="s">
        <v>77</v>
      </c>
      <c r="W67" s="61" t="s">
        <v>247</v>
      </c>
      <c r="X67" s="57" t="s">
        <v>73</v>
      </c>
      <c r="Y67" s="61" t="s">
        <v>247</v>
      </c>
      <c r="Z67" s="57" t="s">
        <v>77</v>
      </c>
      <c r="AA67" s="61" t="s">
        <v>247</v>
      </c>
      <c r="AB67" s="57" t="s">
        <v>73</v>
      </c>
      <c r="AC67" s="61" t="s">
        <v>247</v>
      </c>
      <c r="AD67" s="57" t="s">
        <v>77</v>
      </c>
      <c r="AE67" s="61" t="s">
        <v>247</v>
      </c>
      <c r="AF67" s="57" t="s">
        <v>73</v>
      </c>
      <c r="AG67" s="61" t="s">
        <v>247</v>
      </c>
      <c r="AH67" s="57" t="s">
        <v>77</v>
      </c>
      <c r="AI67" s="61" t="s">
        <v>247</v>
      </c>
    </row>
    <row r="68" spans="1:35" x14ac:dyDescent="0.25">
      <c r="K68" s="39">
        <v>4</v>
      </c>
      <c r="L68" s="57" t="s">
        <v>75</v>
      </c>
      <c r="M68" s="61" t="s">
        <v>246</v>
      </c>
      <c r="N68" s="57" t="s">
        <v>77</v>
      </c>
      <c r="O68" s="61" t="s">
        <v>245</v>
      </c>
      <c r="P68" s="57" t="s">
        <v>78</v>
      </c>
      <c r="Q68" s="61" t="s">
        <v>246</v>
      </c>
      <c r="R68" s="57" t="s">
        <v>73</v>
      </c>
      <c r="S68" s="61" t="s">
        <v>245</v>
      </c>
      <c r="T68" s="57" t="s">
        <v>75</v>
      </c>
      <c r="U68" s="61" t="s">
        <v>247</v>
      </c>
      <c r="V68" s="57" t="s">
        <v>78</v>
      </c>
      <c r="W68" s="61" t="s">
        <v>247</v>
      </c>
      <c r="X68" s="57" t="s">
        <v>75</v>
      </c>
      <c r="Y68" s="61" t="s">
        <v>88</v>
      </c>
      <c r="Z68" s="57" t="s">
        <v>78</v>
      </c>
      <c r="AA68" s="61" t="s">
        <v>88</v>
      </c>
      <c r="AB68" s="57" t="s">
        <v>75</v>
      </c>
      <c r="AC68" s="61" t="s">
        <v>88</v>
      </c>
      <c r="AD68" s="57" t="s">
        <v>78</v>
      </c>
      <c r="AE68" s="61" t="s">
        <v>88</v>
      </c>
      <c r="AF68" s="57" t="s">
        <v>75</v>
      </c>
      <c r="AG68" s="61" t="s">
        <v>247</v>
      </c>
      <c r="AH68" s="57" t="s">
        <v>78</v>
      </c>
      <c r="AI68" s="61" t="s">
        <v>247</v>
      </c>
    </row>
    <row r="69" spans="1:35" x14ac:dyDescent="0.25">
      <c r="K69" s="39">
        <v>5</v>
      </c>
      <c r="L69" s="59" t="s">
        <v>75</v>
      </c>
      <c r="M69" s="58" t="s">
        <v>249</v>
      </c>
      <c r="N69" s="59" t="s">
        <v>77</v>
      </c>
      <c r="O69" s="58" t="s">
        <v>248</v>
      </c>
      <c r="P69" s="59" t="s">
        <v>78</v>
      </c>
      <c r="Q69" s="58" t="s">
        <v>249</v>
      </c>
      <c r="R69" s="59" t="s">
        <v>73</v>
      </c>
      <c r="S69" s="58" t="s">
        <v>248</v>
      </c>
      <c r="T69" s="59" t="s">
        <v>75</v>
      </c>
      <c r="U69" s="58" t="s">
        <v>247</v>
      </c>
      <c r="V69" s="59" t="s">
        <v>78</v>
      </c>
      <c r="W69" s="58" t="s">
        <v>247</v>
      </c>
      <c r="X69" s="59" t="s">
        <v>75</v>
      </c>
      <c r="Y69" s="58" t="s">
        <v>247</v>
      </c>
      <c r="Z69" s="59" t="s">
        <v>78</v>
      </c>
      <c r="AA69" s="58" t="s">
        <v>247</v>
      </c>
      <c r="AB69" s="59" t="s">
        <v>75</v>
      </c>
      <c r="AC69" s="58" t="s">
        <v>247</v>
      </c>
      <c r="AD69" s="59" t="s">
        <v>78</v>
      </c>
      <c r="AE69" s="58" t="s">
        <v>247</v>
      </c>
      <c r="AF69" s="59" t="s">
        <v>75</v>
      </c>
      <c r="AG69" s="58" t="s">
        <v>247</v>
      </c>
      <c r="AH69" s="59" t="s">
        <v>78</v>
      </c>
      <c r="AI69" s="58" t="s">
        <v>247</v>
      </c>
    </row>
    <row r="70" spans="1:35" x14ac:dyDescent="0.25">
      <c r="K70" s="39">
        <v>6</v>
      </c>
      <c r="L70" s="56"/>
      <c r="M70" s="101"/>
      <c r="N70" s="56"/>
      <c r="O70" s="101"/>
      <c r="P70" s="56"/>
      <c r="Q70" s="101"/>
      <c r="R70" s="56"/>
      <c r="S70" s="101"/>
      <c r="T70" s="56"/>
      <c r="U70" s="60" t="s">
        <v>185</v>
      </c>
      <c r="V70" s="56"/>
      <c r="W70" s="101" t="s">
        <v>185</v>
      </c>
      <c r="X70" s="56"/>
      <c r="Y70" s="60" t="s">
        <v>83</v>
      </c>
      <c r="Z70" s="56"/>
      <c r="AA70" s="101" t="s">
        <v>83</v>
      </c>
      <c r="AB70" s="56"/>
      <c r="AC70" s="60" t="s">
        <v>89</v>
      </c>
      <c r="AD70" s="56"/>
      <c r="AE70" s="101" t="s">
        <v>89</v>
      </c>
      <c r="AF70" s="56"/>
      <c r="AG70" s="60" t="s">
        <v>83</v>
      </c>
      <c r="AH70" s="56"/>
      <c r="AI70" s="60" t="s">
        <v>83</v>
      </c>
    </row>
    <row r="71" spans="1:35" x14ac:dyDescent="0.25">
      <c r="K71" s="39">
        <v>7</v>
      </c>
      <c r="L71" s="57"/>
      <c r="M71" s="61"/>
      <c r="N71" s="57"/>
      <c r="O71" s="61"/>
      <c r="P71" s="57"/>
      <c r="Q71" s="61"/>
      <c r="R71" s="57"/>
      <c r="S71" s="61"/>
      <c r="T71" s="57"/>
      <c r="U71" s="63" t="s">
        <v>97</v>
      </c>
      <c r="V71" s="57"/>
      <c r="W71" s="61" t="s">
        <v>97</v>
      </c>
      <c r="X71" s="57"/>
      <c r="Y71" s="61" t="s">
        <v>111</v>
      </c>
      <c r="Z71" s="57"/>
      <c r="AA71" s="61" t="s">
        <v>111</v>
      </c>
      <c r="AB71" s="57"/>
      <c r="AC71" s="63" t="s">
        <v>112</v>
      </c>
      <c r="AD71" s="57"/>
      <c r="AE71" s="61" t="s">
        <v>112</v>
      </c>
      <c r="AF71" s="57"/>
      <c r="AG71" s="63" t="s">
        <v>111</v>
      </c>
      <c r="AH71" s="57"/>
      <c r="AI71" s="63" t="s">
        <v>111</v>
      </c>
    </row>
    <row r="72" spans="1:35" x14ac:dyDescent="0.25">
      <c r="K72" s="39">
        <v>8</v>
      </c>
      <c r="L72" s="57"/>
      <c r="M72" s="61"/>
      <c r="N72" s="57"/>
      <c r="O72" s="61"/>
      <c r="P72" s="57"/>
      <c r="Q72" s="61"/>
      <c r="R72" s="57"/>
      <c r="S72" s="61"/>
      <c r="T72" s="57"/>
      <c r="U72" s="61" t="s">
        <v>98</v>
      </c>
      <c r="V72" s="57"/>
      <c r="W72" s="61" t="s">
        <v>98</v>
      </c>
      <c r="X72" s="57"/>
      <c r="Y72" s="61" t="s">
        <v>119</v>
      </c>
      <c r="Z72" s="57"/>
      <c r="AA72" s="61" t="s">
        <v>119</v>
      </c>
      <c r="AB72" s="57"/>
      <c r="AC72" s="61" t="s">
        <v>108</v>
      </c>
      <c r="AD72" s="57"/>
      <c r="AE72" s="61" t="s">
        <v>108</v>
      </c>
      <c r="AF72" s="57"/>
      <c r="AG72" s="61" t="s">
        <v>119</v>
      </c>
      <c r="AH72" s="57"/>
      <c r="AI72" s="61" t="s">
        <v>119</v>
      </c>
    </row>
    <row r="73" spans="1:35" x14ac:dyDescent="0.25">
      <c r="K73" s="39">
        <v>9</v>
      </c>
      <c r="L73" s="57"/>
      <c r="M73" s="61"/>
      <c r="N73" s="57"/>
      <c r="O73" s="61"/>
      <c r="P73" s="57"/>
      <c r="Q73" s="61"/>
      <c r="R73" s="57"/>
      <c r="S73" s="61"/>
      <c r="T73" s="57"/>
      <c r="U73" s="61" t="s">
        <v>182</v>
      </c>
      <c r="V73" s="57"/>
      <c r="W73" s="61" t="s">
        <v>182</v>
      </c>
      <c r="X73" s="57"/>
      <c r="Y73" s="63" t="s">
        <v>97</v>
      </c>
      <c r="Z73" s="57"/>
      <c r="AA73" s="61" t="s">
        <v>97</v>
      </c>
      <c r="AB73" s="57"/>
      <c r="AC73" s="61" t="s">
        <v>117</v>
      </c>
      <c r="AD73" s="57"/>
      <c r="AE73" s="61" t="s">
        <v>117</v>
      </c>
      <c r="AF73" s="57"/>
      <c r="AG73" s="61" t="s">
        <v>89</v>
      </c>
      <c r="AH73" s="57"/>
      <c r="AI73" s="61" t="s">
        <v>89</v>
      </c>
    </row>
    <row r="74" spans="1:35" x14ac:dyDescent="0.25">
      <c r="K74" s="39">
        <v>10</v>
      </c>
      <c r="L74" s="57"/>
      <c r="M74" s="61"/>
      <c r="N74" s="57"/>
      <c r="O74" s="61"/>
      <c r="P74" s="57"/>
      <c r="Q74" s="61"/>
      <c r="R74" s="57"/>
      <c r="S74" s="61"/>
      <c r="T74" s="57"/>
      <c r="U74" s="61"/>
      <c r="V74" s="57"/>
      <c r="W74" s="61"/>
      <c r="X74" s="57"/>
      <c r="Y74" s="61"/>
      <c r="Z74" s="57"/>
      <c r="AA74" s="61"/>
      <c r="AB74" s="57"/>
      <c r="AC74" s="61" t="s">
        <v>97</v>
      </c>
      <c r="AD74" s="57"/>
      <c r="AE74" s="61" t="s">
        <v>97</v>
      </c>
      <c r="AF74" s="57"/>
      <c r="AG74" s="61" t="s">
        <v>112</v>
      </c>
      <c r="AH74" s="57"/>
      <c r="AI74" s="61" t="s">
        <v>112</v>
      </c>
    </row>
    <row r="75" spans="1:35" x14ac:dyDescent="0.25">
      <c r="K75" s="39">
        <v>11</v>
      </c>
      <c r="L75" s="57"/>
      <c r="M75" s="61"/>
      <c r="N75" s="57"/>
      <c r="O75" s="63"/>
      <c r="P75" s="57"/>
      <c r="Q75" s="61"/>
      <c r="R75" s="57"/>
      <c r="S75" s="61"/>
      <c r="T75" s="57"/>
      <c r="U75" s="61"/>
      <c r="V75" s="57"/>
      <c r="W75" s="63"/>
      <c r="X75" s="57"/>
      <c r="Y75" s="61"/>
      <c r="Z75" s="57"/>
      <c r="AA75" s="63"/>
      <c r="AB75" s="57"/>
      <c r="AC75" s="61" t="s">
        <v>98</v>
      </c>
      <c r="AD75" s="57"/>
      <c r="AE75" s="63" t="s">
        <v>98</v>
      </c>
      <c r="AF75" s="57"/>
      <c r="AG75" s="61" t="s">
        <v>108</v>
      </c>
      <c r="AH75" s="57"/>
      <c r="AI75" s="61" t="s">
        <v>108</v>
      </c>
    </row>
    <row r="76" spans="1:35" x14ac:dyDescent="0.25">
      <c r="K76" s="39">
        <v>12</v>
      </c>
      <c r="L76" s="57"/>
      <c r="M76" s="61"/>
      <c r="N76" s="57"/>
      <c r="O76" s="63"/>
      <c r="P76" s="57"/>
      <c r="Q76" s="61"/>
      <c r="R76" s="57"/>
      <c r="S76" s="61"/>
      <c r="T76" s="57"/>
      <c r="U76" s="61"/>
      <c r="V76" s="57"/>
      <c r="W76" s="63"/>
      <c r="X76" s="57"/>
      <c r="Y76" s="61"/>
      <c r="Z76" s="57"/>
      <c r="AA76" s="63"/>
      <c r="AB76" s="57"/>
      <c r="AC76" s="61"/>
      <c r="AD76" s="57"/>
      <c r="AE76" s="63"/>
      <c r="AF76" s="57"/>
      <c r="AG76" s="61" t="s">
        <v>117</v>
      </c>
      <c r="AH76" s="57"/>
      <c r="AI76" s="61" t="s">
        <v>117</v>
      </c>
    </row>
    <row r="77" spans="1:35" x14ac:dyDescent="0.25">
      <c r="K77" s="39">
        <v>13</v>
      </c>
      <c r="L77" s="57"/>
      <c r="M77" s="61"/>
      <c r="N77" s="57"/>
      <c r="O77" s="63"/>
      <c r="P77" s="57"/>
      <c r="Q77" s="61"/>
      <c r="R77" s="57"/>
      <c r="S77" s="61"/>
      <c r="T77" s="57"/>
      <c r="U77" s="61"/>
      <c r="V77" s="57"/>
      <c r="W77" s="63"/>
      <c r="X77" s="57"/>
      <c r="Y77" s="61"/>
      <c r="Z77" s="57"/>
      <c r="AA77" s="63"/>
      <c r="AB77" s="57"/>
      <c r="AC77" s="61"/>
      <c r="AD77" s="57"/>
      <c r="AE77" s="63"/>
      <c r="AF77" s="57"/>
      <c r="AG77" s="61" t="s">
        <v>185</v>
      </c>
      <c r="AH77" s="57"/>
      <c r="AI77" s="61" t="s">
        <v>185</v>
      </c>
    </row>
    <row r="78" spans="1:35" x14ac:dyDescent="0.25">
      <c r="K78" s="39">
        <v>14</v>
      </c>
      <c r="L78" s="57"/>
      <c r="M78" s="61"/>
      <c r="N78" s="57"/>
      <c r="O78" s="63"/>
      <c r="P78" s="57"/>
      <c r="Q78" s="61"/>
      <c r="R78" s="57"/>
      <c r="S78" s="61"/>
      <c r="T78" s="57"/>
      <c r="U78" s="61"/>
      <c r="V78" s="57"/>
      <c r="W78" s="63"/>
      <c r="X78" s="57"/>
      <c r="Y78" s="61"/>
      <c r="Z78" s="57"/>
      <c r="AA78" s="63"/>
      <c r="AB78" s="57"/>
      <c r="AC78" s="61"/>
      <c r="AD78" s="57"/>
      <c r="AE78" s="63"/>
      <c r="AF78" s="57"/>
      <c r="AG78" s="61" t="s">
        <v>74</v>
      </c>
      <c r="AH78" s="57"/>
      <c r="AI78" s="61" t="s">
        <v>74</v>
      </c>
    </row>
    <row r="79" spans="1:35" x14ac:dyDescent="0.25">
      <c r="K79" s="39">
        <v>15</v>
      </c>
      <c r="L79" s="57"/>
      <c r="M79" s="61"/>
      <c r="N79" s="57"/>
      <c r="O79" s="63"/>
      <c r="P79" s="57"/>
      <c r="Q79" s="61"/>
      <c r="R79" s="57"/>
      <c r="S79" s="61"/>
      <c r="T79" s="57"/>
      <c r="U79" s="61"/>
      <c r="V79" s="57"/>
      <c r="W79" s="63"/>
      <c r="X79" s="57"/>
      <c r="Y79" s="61"/>
      <c r="Z79" s="57"/>
      <c r="AA79" s="63"/>
      <c r="AB79" s="57"/>
      <c r="AC79" s="61"/>
      <c r="AD79" s="57"/>
      <c r="AE79" s="63"/>
      <c r="AF79" s="57"/>
      <c r="AG79" s="61" t="s">
        <v>97</v>
      </c>
      <c r="AH79" s="57"/>
      <c r="AI79" s="61" t="s">
        <v>97</v>
      </c>
    </row>
    <row r="80" spans="1:35" x14ac:dyDescent="0.25">
      <c r="K80" s="39">
        <v>16</v>
      </c>
      <c r="L80" s="57"/>
      <c r="M80" s="61"/>
      <c r="N80" s="57"/>
      <c r="O80" s="63"/>
      <c r="P80" s="57"/>
      <c r="Q80" s="61"/>
      <c r="R80" s="57"/>
      <c r="S80" s="61"/>
      <c r="T80" s="57"/>
      <c r="U80" s="61"/>
      <c r="V80" s="57"/>
      <c r="W80" s="63"/>
      <c r="X80" s="57"/>
      <c r="Y80" s="61"/>
      <c r="Z80" s="57"/>
      <c r="AA80" s="63"/>
      <c r="AB80" s="57"/>
      <c r="AC80" s="61"/>
      <c r="AD80" s="57"/>
      <c r="AE80" s="63"/>
      <c r="AF80" s="57"/>
      <c r="AG80" s="61" t="s">
        <v>98</v>
      </c>
      <c r="AH80" s="57"/>
      <c r="AI80" s="61" t="s">
        <v>98</v>
      </c>
    </row>
    <row r="81" spans="10:35" x14ac:dyDescent="0.25">
      <c r="K81" s="39">
        <v>19</v>
      </c>
      <c r="L81" s="57"/>
      <c r="M81" s="61"/>
      <c r="N81" s="57"/>
      <c r="O81" s="61"/>
      <c r="P81" s="57"/>
      <c r="Q81" s="61"/>
      <c r="R81" s="57"/>
      <c r="S81" s="61"/>
      <c r="T81" s="57"/>
      <c r="U81" s="61"/>
      <c r="V81" s="57"/>
      <c r="W81" s="61"/>
      <c r="X81" s="57"/>
      <c r="Y81" s="61"/>
      <c r="Z81" s="57"/>
      <c r="AA81" s="61"/>
      <c r="AB81" s="57"/>
      <c r="AC81" s="61"/>
      <c r="AD81" s="57"/>
      <c r="AE81" s="61"/>
      <c r="AF81" s="57"/>
      <c r="AG81" s="61" t="s">
        <v>88</v>
      </c>
      <c r="AH81" s="57"/>
      <c r="AI81" s="61" t="s">
        <v>88</v>
      </c>
    </row>
    <row r="82" spans="10:35" x14ac:dyDescent="0.25">
      <c r="K82" s="39">
        <v>20</v>
      </c>
      <c r="L82" s="59"/>
      <c r="M82" s="64"/>
      <c r="N82" s="59"/>
      <c r="O82" s="58"/>
      <c r="P82" s="59"/>
      <c r="Q82" s="64"/>
      <c r="R82" s="59"/>
      <c r="S82" s="58"/>
      <c r="T82" s="59"/>
      <c r="U82" s="64"/>
      <c r="V82" s="59"/>
      <c r="W82" s="58"/>
      <c r="X82" s="59"/>
      <c r="Y82" s="64"/>
      <c r="Z82" s="59"/>
      <c r="AA82" s="58"/>
      <c r="AB82" s="59"/>
      <c r="AC82" s="64"/>
      <c r="AD82" s="59"/>
      <c r="AE82" s="58"/>
      <c r="AF82" s="59"/>
      <c r="AG82" s="64" t="s">
        <v>182</v>
      </c>
      <c r="AH82" s="59"/>
      <c r="AI82" s="58" t="s">
        <v>182</v>
      </c>
    </row>
    <row r="85" spans="10:35" x14ac:dyDescent="0.25">
      <c r="J85" s="93" t="s">
        <v>528</v>
      </c>
      <c r="L85" s="278" t="s">
        <v>515</v>
      </c>
      <c r="M85" s="279" t="s">
        <v>529</v>
      </c>
    </row>
    <row r="86" spans="10:35" x14ac:dyDescent="0.25">
      <c r="L86" s="280" t="s">
        <v>516</v>
      </c>
      <c r="M86" s="282" t="s">
        <v>531</v>
      </c>
    </row>
    <row r="87" spans="10:35" x14ac:dyDescent="0.25">
      <c r="L87" s="280" t="s">
        <v>517</v>
      </c>
      <c r="M87" s="282" t="s">
        <v>532</v>
      </c>
    </row>
    <row r="88" spans="10:35" x14ac:dyDescent="0.25">
      <c r="L88" s="281" t="s">
        <v>518</v>
      </c>
      <c r="M88" s="283" t="s">
        <v>530</v>
      </c>
    </row>
  </sheetData>
  <sortState xmlns:xlrd2="http://schemas.microsoft.com/office/spreadsheetml/2017/richdata2" ref="AG70:AG80">
    <sortCondition ref="AG70:AG80"/>
  </sortState>
  <pageMargins left="0.7" right="0.7" top="0.75" bottom="0.75" header="0.3" footer="0.3"/>
  <pageSetup paperSize="9" orientation="portrait" r:id="rId1"/>
  <tableParts count="6">
    <tablePart r:id="rId2"/>
    <tablePart r:id="rId3"/>
    <tablePart r:id="rId4"/>
    <tablePart r:id="rId5"/>
    <tablePart r:id="rId6"/>
    <tablePart r:id="rId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AA24"/>
  <sheetViews>
    <sheetView showGridLines="0" topLeftCell="A3" workbookViewId="0">
      <selection activeCell="J85" sqref="J85:M88"/>
    </sheetView>
  </sheetViews>
  <sheetFormatPr defaultColWidth="9" defaultRowHeight="15" x14ac:dyDescent="0.25"/>
  <cols>
    <col min="1" max="1" width="8.5" style="9" customWidth="1"/>
    <col min="2" max="2" width="3.25" style="9" customWidth="1"/>
    <col min="3" max="3" width="3.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88" t="s">
        <v>8</v>
      </c>
      <c r="B3" s="288"/>
      <c r="C3" s="288"/>
      <c r="D3" s="288"/>
      <c r="E3" s="118"/>
      <c r="F3" s="118"/>
      <c r="G3" s="118"/>
      <c r="H3" s="118"/>
      <c r="I3" s="118"/>
      <c r="J3" s="118"/>
      <c r="K3" s="118"/>
      <c r="L3" s="118"/>
      <c r="M3" s="118"/>
      <c r="N3" s="118"/>
      <c r="O3" s="118"/>
      <c r="P3" s="118"/>
      <c r="Q3" s="88"/>
    </row>
    <row r="4" spans="1:20" ht="26.25" x14ac:dyDescent="0.25">
      <c r="A4" s="244"/>
      <c r="B4" s="244"/>
      <c r="C4" s="244"/>
      <c r="D4" s="245"/>
      <c r="E4" s="246" t="s">
        <v>9</v>
      </c>
      <c r="F4" s="244"/>
      <c r="G4" s="247"/>
      <c r="H4" s="247"/>
      <c r="I4" s="247"/>
      <c r="J4" s="247"/>
      <c r="K4" s="247"/>
      <c r="L4" s="247"/>
      <c r="M4" s="247"/>
      <c r="N4" s="247"/>
      <c r="O4" s="247"/>
      <c r="P4" s="247"/>
      <c r="Q4" s="88"/>
    </row>
    <row r="5" spans="1:20" ht="19.5" customHeight="1" x14ac:dyDescent="0.25">
      <c r="A5" s="119"/>
      <c r="B5" s="119"/>
      <c r="C5" s="120" t="s">
        <v>10</v>
      </c>
      <c r="D5" s="121" t="s">
        <v>84</v>
      </c>
      <c r="E5" s="122"/>
      <c r="F5" s="120" t="s">
        <v>12</v>
      </c>
      <c r="G5" s="127" t="str">
        <f>IFERROR(CONCATENATE(VLOOKUP(D5,TableCourses[],2,FALSE)," ",VLOOKUP(D5,TableCourses[],3,FALSE)),"")</f>
        <v>GD-EDUC v.1</v>
      </c>
      <c r="H5" s="167"/>
      <c r="I5" s="122"/>
      <c r="J5" s="122"/>
      <c r="K5" s="122"/>
      <c r="L5" s="122"/>
      <c r="M5" s="122"/>
      <c r="N5" s="122"/>
      <c r="O5" s="122"/>
      <c r="P5" s="168"/>
      <c r="Q5" s="88"/>
    </row>
    <row r="6" spans="1:20" ht="19.5" customHeight="1" x14ac:dyDescent="0.25">
      <c r="B6" s="119"/>
      <c r="C6" s="120" t="s">
        <v>13</v>
      </c>
      <c r="D6" s="125" t="s">
        <v>250</v>
      </c>
      <c r="E6" s="122"/>
      <c r="F6" s="120" t="s">
        <v>15</v>
      </c>
      <c r="G6" s="127" t="str">
        <f>IFERROR(CONCATENATE(VLOOKUP(D6,TableMajorsGDEDUC[],2,FALSE)," ",VLOOKUP(D6,TableMajorsGDEDUC[],3,FALSE)),"")</f>
        <v>MJRP-EDUPR v.1</v>
      </c>
      <c r="H6" s="167"/>
      <c r="I6" s="122"/>
      <c r="J6" s="122"/>
      <c r="K6" s="122"/>
      <c r="L6" s="122"/>
      <c r="M6" s="122"/>
      <c r="N6" s="122"/>
      <c r="O6" s="122"/>
      <c r="P6" s="169" t="str">
        <f>CONCATENATE(VLOOKUP(D6,TableMajorsGDEDUC[],2,FALSE),VLOOKUP(D7,TableStudyPeriods[],2,FALSE))</f>
        <v>MJRP-EDUPRSSP1</v>
      </c>
      <c r="Q6" s="88"/>
    </row>
    <row r="7" spans="1:20" ht="19.5" customHeight="1" x14ac:dyDescent="0.25">
      <c r="A7" s="127"/>
      <c r="B7" s="128"/>
      <c r="C7" s="120" t="s">
        <v>16</v>
      </c>
      <c r="D7" s="129" t="s">
        <v>39</v>
      </c>
      <c r="E7" s="130"/>
      <c r="F7" s="120" t="s">
        <v>18</v>
      </c>
      <c r="G7" s="122" t="str">
        <f>IFERROR(VLOOKUP($D$5,TableCourses[],7,FALSE),"")</f>
        <v>200 credit points required</v>
      </c>
      <c r="H7" s="131"/>
      <c r="I7" s="131"/>
      <c r="J7" s="131"/>
      <c r="K7" s="131"/>
      <c r="L7" s="131"/>
      <c r="M7" s="131"/>
      <c r="N7" s="131"/>
      <c r="O7" s="131"/>
      <c r="P7" s="169"/>
      <c r="Q7" s="88"/>
    </row>
    <row r="8" spans="1:20" s="12" customFormat="1" ht="14.1" customHeight="1" x14ac:dyDescent="0.25">
      <c r="A8" s="133"/>
      <c r="B8" s="133"/>
      <c r="C8" s="133"/>
      <c r="D8" s="134"/>
      <c r="E8" s="135"/>
      <c r="F8" s="133"/>
      <c r="G8" s="133"/>
      <c r="H8" s="136" t="s">
        <v>19</v>
      </c>
      <c r="I8" s="137"/>
      <c r="J8" s="137"/>
      <c r="K8" s="137"/>
      <c r="L8" s="137"/>
      <c r="M8" s="137"/>
      <c r="N8" s="137"/>
      <c r="O8" s="138"/>
      <c r="P8" s="135"/>
      <c r="Q8" s="157"/>
      <c r="R8" s="139"/>
      <c r="S8" s="139"/>
    </row>
    <row r="9" spans="1:20" s="12" customFormat="1" ht="31.5" x14ac:dyDescent="0.25">
      <c r="A9" s="133" t="s">
        <v>20</v>
      </c>
      <c r="B9" s="133"/>
      <c r="C9" s="133"/>
      <c r="D9" s="134" t="s">
        <v>3</v>
      </c>
      <c r="E9" s="140" t="s">
        <v>21</v>
      </c>
      <c r="F9" s="133" t="s">
        <v>22</v>
      </c>
      <c r="G9" s="133" t="s">
        <v>23</v>
      </c>
      <c r="H9" s="141" t="s">
        <v>24</v>
      </c>
      <c r="I9" s="142" t="s">
        <v>25</v>
      </c>
      <c r="J9" s="141" t="s">
        <v>26</v>
      </c>
      <c r="K9" s="142" t="s">
        <v>27</v>
      </c>
      <c r="L9" s="141" t="s">
        <v>28</v>
      </c>
      <c r="M9" s="142" t="s">
        <v>29</v>
      </c>
      <c r="N9" s="141" t="s">
        <v>30</v>
      </c>
      <c r="O9" s="142" t="s">
        <v>31</v>
      </c>
      <c r="P9" s="133" t="s">
        <v>32</v>
      </c>
      <c r="Q9" s="157"/>
      <c r="R9" s="139"/>
      <c r="S9" s="139"/>
    </row>
    <row r="10" spans="1:20" s="14" customFormat="1" ht="21" customHeight="1" x14ac:dyDescent="0.15">
      <c r="A10" s="143" t="str">
        <f>IFERROR(IF(HLOOKUP($P$6,RangeUnitsetsGDEDUC,Q10,FALSE)=0,"",HLOOKUP($P$6,RangeUnitsetsGDEDUC,Q10,FALSE)),"")</f>
        <v>EDUC5005</v>
      </c>
      <c r="B10" s="144">
        <f>IFERROR(IF(VLOOKUP($A10,TableHandbook[],2,FALSE)=0,"",VLOOKUP($A10,TableHandbook[],2,FALSE)),"")</f>
        <v>2</v>
      </c>
      <c r="C10" s="144" t="str">
        <f>IFERROR(IF(VLOOKUP($A10,TableHandbook[],3,FALSE)=0,"",VLOOKUP($A10,TableHandbook[],3,FALSE)),"")</f>
        <v/>
      </c>
      <c r="D10" s="145" t="str">
        <f>IFERROR(IF(VLOOKUP($A10,TableHandbook[],4,FALSE)=0,"",VLOOKUP($A10,TableHandbook[],4,FALSE)),"")</f>
        <v>Theories of Development and Learning</v>
      </c>
      <c r="E10" s="144" t="str">
        <f>IF(OR(A10="",A10="--"),"",VLOOKUP($D$7,TableStudyPeriods[],2,FALSE))</f>
        <v>SSP1</v>
      </c>
      <c r="F10" s="146" t="str">
        <f>IFERROR(IF(VLOOKUP($A10,TableHandbook[],6,FALSE)=0,"",VLOOKUP($A10,TableHandbook[],6,FALSE)),"")</f>
        <v>Nil</v>
      </c>
      <c r="G10" s="144">
        <f>IFERROR(IF(VLOOKUP($A10,TableHandbook[],5,FALSE)=0,"",VLOOKUP($A10,TableHandbook[],5,FALSE)),"")</f>
        <v>25</v>
      </c>
      <c r="H10" s="147" t="str">
        <f>IFERROR(VLOOKUP($A10,TableHandbook[],H$2,FALSE),"")</f>
        <v>Y</v>
      </c>
      <c r="I10" s="148" t="str">
        <f>IFERROR(VLOOKUP($A10,TableHandbook[],I$2,FALSE),"")</f>
        <v>Y</v>
      </c>
      <c r="J10" s="147" t="str">
        <f>IFERROR(VLOOKUP($A10,TableHandbook[],J$2,FALSE),"")</f>
        <v/>
      </c>
      <c r="K10" s="148" t="str">
        <f>IFERROR(VLOOKUP($A10,TableHandbook[],K$2,FALSE),"")</f>
        <v/>
      </c>
      <c r="L10" s="147" t="str">
        <f>IFERROR(VLOOKUP($A10,TableHandbook[],L$2,FALSE),"")</f>
        <v>Y</v>
      </c>
      <c r="M10" s="148" t="str">
        <f>IFERROR(VLOOKUP($A10,TableHandbook[],M$2,FALSE),"")</f>
        <v>Y</v>
      </c>
      <c r="N10" s="147" t="str">
        <f>IFERROR(VLOOKUP($A10,TableHandbook[],N$2,FALSE),"")</f>
        <v/>
      </c>
      <c r="O10" s="148" t="str">
        <f>IFERROR(VLOOKUP($A10,TableHandbook[],O$2,FALSE),"")</f>
        <v/>
      </c>
      <c r="P10" s="23"/>
      <c r="Q10" s="149">
        <v>2</v>
      </c>
      <c r="R10" s="150"/>
      <c r="S10" s="150"/>
    </row>
    <row r="11" spans="1:20" s="14" customFormat="1" ht="21" customHeight="1" x14ac:dyDescent="0.15">
      <c r="A11" s="170" t="str">
        <f>IFERROR(IF(HLOOKUP($P$6,RangeUnitsetsGDEDUC,Q11,FALSE)=0,"",HLOOKUP($P$6,RangeUnitsetsGDEDUC,Q11,FALSE)),"")</f>
        <v>EDPR5000</v>
      </c>
      <c r="B11" s="144">
        <f>IFERROR(IF(VLOOKUP($A11,TableHandbook[],2,FALSE)=0,"",VLOOKUP($A11,TableHandbook[],2,FALSE)),"")</f>
        <v>2</v>
      </c>
      <c r="C11" s="144" t="str">
        <f>IFERROR(IF(VLOOKUP($A11,TableHandbook[],3,FALSE)=0,"",VLOOKUP($A11,TableHandbook[],3,FALSE)),"")</f>
        <v/>
      </c>
      <c r="D11" s="145" t="str">
        <f>IFERROR(IF(VLOOKUP($A11,TableHandbook[],4,FALSE)=0,"",VLOOKUP($A11,TableHandbook[],4,FALSE)),"")</f>
        <v>Primary Professional Experience 1: Planning for Writing</v>
      </c>
      <c r="E11" s="144" t="str">
        <f>IF(A11="","",E10)</f>
        <v>SSP1</v>
      </c>
      <c r="F11" s="146" t="str">
        <f>IFERROR(IF(VLOOKUP($A11,TableHandbook[],6,FALSE)=0,"",VLOOKUP($A11,TableHandbook[],6,FALSE)),"")</f>
        <v>Nil</v>
      </c>
      <c r="G11" s="144">
        <f>IFERROR(IF(VLOOKUP($A11,TableHandbook[],5,FALSE)=0,"",VLOOKUP($A11,TableHandbook[],5,FALSE)),"")</f>
        <v>25</v>
      </c>
      <c r="H11" s="147" t="str">
        <f>IFERROR(VLOOKUP($A11,TableHandbook[],H$2,FALSE),"")</f>
        <v>Y</v>
      </c>
      <c r="I11" s="148" t="str">
        <f>IFERROR(VLOOKUP($A11,TableHandbook[],I$2,FALSE),"")</f>
        <v>Y</v>
      </c>
      <c r="J11" s="147" t="str">
        <f>IFERROR(VLOOKUP($A11,TableHandbook[],J$2,FALSE),"")</f>
        <v>Y</v>
      </c>
      <c r="K11" s="148" t="str">
        <f>IFERROR(VLOOKUP($A11,TableHandbook[],K$2,FALSE),"")</f>
        <v>Y</v>
      </c>
      <c r="L11" s="147" t="str">
        <f>IFERROR(VLOOKUP($A11,TableHandbook[],L$2,FALSE),"")</f>
        <v/>
      </c>
      <c r="M11" s="148" t="str">
        <f>IFERROR(VLOOKUP($A11,TableHandbook[],M$2,FALSE),"")</f>
        <v/>
      </c>
      <c r="N11" s="147" t="str">
        <f>IFERROR(VLOOKUP($A11,TableHandbook[],N$2,FALSE),"")</f>
        <v/>
      </c>
      <c r="O11" s="148" t="str">
        <f>IFERROR(VLOOKUP($A11,TableHandbook[],O$2,FALSE),"")</f>
        <v/>
      </c>
      <c r="P11" s="23"/>
      <c r="Q11" s="149">
        <v>3</v>
      </c>
      <c r="R11" s="150"/>
      <c r="S11" s="150"/>
    </row>
    <row r="12" spans="1:20" s="14" customFormat="1" ht="6" customHeight="1" x14ac:dyDescent="0.15">
      <c r="A12" s="171"/>
      <c r="B12" s="172"/>
      <c r="C12" s="172"/>
      <c r="D12" s="173"/>
      <c r="E12" s="172"/>
      <c r="F12" s="174"/>
      <c r="G12" s="172"/>
      <c r="H12" s="175"/>
      <c r="I12" s="176"/>
      <c r="J12" s="175"/>
      <c r="K12" s="176"/>
      <c r="L12" s="175"/>
      <c r="M12" s="176"/>
      <c r="N12" s="175"/>
      <c r="O12" s="176"/>
      <c r="P12" s="106"/>
      <c r="Q12" s="149"/>
      <c r="R12" s="150"/>
      <c r="S12" s="150"/>
      <c r="T12" s="150"/>
    </row>
    <row r="13" spans="1:20" s="14" customFormat="1" ht="21" customHeight="1" x14ac:dyDescent="0.15">
      <c r="A13" s="143" t="str">
        <f>IFERROR(IF(HLOOKUP($P$6,RangeUnitsetsGDEDUC,Q13,FALSE)=0,"",HLOOKUP($P$6,RangeUnitsetsGDEDUC,Q13,FALSE)),"")</f>
        <v>EDPR5005</v>
      </c>
      <c r="B13" s="144">
        <f>IFERROR(IF(VLOOKUP($A13,TableHandbook[],2,FALSE)=0,"",VLOOKUP($A13,TableHandbook[],2,FALSE)),"")</f>
        <v>1</v>
      </c>
      <c r="C13" s="144" t="str">
        <f>IFERROR(IF(VLOOKUP($A13,TableHandbook[],3,FALSE)=0,"",VLOOKUP($A13,TableHandbook[],3,FALSE)),"")</f>
        <v/>
      </c>
      <c r="D13" s="145" t="str">
        <f>IFERROR(IF(VLOOKUP($A13,TableHandbook[],4,FALSE)=0,"",VLOOKUP($A13,TableHandbook[],4,FALSE)),"")</f>
        <v>Teaching Science in the Primary Years</v>
      </c>
      <c r="E13" s="144" t="str">
        <f>IF(OR(A13="",A13="--"),"",VLOOKUP($D$7,TableStudyPeriods[],3,FALSE))</f>
        <v>SSP2</v>
      </c>
      <c r="F13" s="146" t="str">
        <f>IFERROR(IF(VLOOKUP($A13,TableHandbook[],6,FALSE)=0,"",VLOOKUP($A13,TableHandbook[],6,FALSE)),"")</f>
        <v>Nil</v>
      </c>
      <c r="G13" s="144">
        <f>IFERROR(IF(VLOOKUP($A13,TableHandbook[],5,FALSE)=0,"",VLOOKUP($A13,TableHandbook[],5,FALSE)),"")</f>
        <v>25</v>
      </c>
      <c r="H13" s="147" t="str">
        <f>IFERROR(VLOOKUP($A13,TableHandbook[],H$2,FALSE),"")</f>
        <v/>
      </c>
      <c r="I13" s="148" t="str">
        <f>IFERROR(VLOOKUP($A13,TableHandbook[],I$2,FALSE),"")</f>
        <v/>
      </c>
      <c r="J13" s="147" t="str">
        <f>IFERROR(VLOOKUP($A13,TableHandbook[],J$2,FALSE),"")</f>
        <v>Y</v>
      </c>
      <c r="K13" s="148" t="str">
        <f>IFERROR(VLOOKUP($A13,TableHandbook[],K$2,FALSE),"")</f>
        <v>Y</v>
      </c>
      <c r="L13" s="147" t="str">
        <f>IFERROR(VLOOKUP($A13,TableHandbook[],L$2,FALSE),"")</f>
        <v/>
      </c>
      <c r="M13" s="148" t="str">
        <f>IFERROR(VLOOKUP($A13,TableHandbook[],M$2,FALSE),"")</f>
        <v/>
      </c>
      <c r="N13" s="147" t="str">
        <f>IFERROR(VLOOKUP($A13,TableHandbook[],N$2,FALSE),"")</f>
        <v/>
      </c>
      <c r="O13" s="148" t="str">
        <f>IFERROR(VLOOKUP($A13,TableHandbook[],O$2,FALSE),"")</f>
        <v/>
      </c>
      <c r="P13" s="24"/>
      <c r="Q13" s="149">
        <v>4</v>
      </c>
      <c r="R13" s="150"/>
      <c r="S13" s="150"/>
    </row>
    <row r="14" spans="1:20" s="14" customFormat="1" ht="21" customHeight="1" x14ac:dyDescent="0.15">
      <c r="A14" s="143" t="str">
        <f>IFERROR(IF(HLOOKUP($P$6,RangeUnitsetsGDEDUC,Q14,FALSE)=0,"",HLOOKUP($P$6,RangeUnitsetsGDEDUC,Q14,FALSE)),"")</f>
        <v>EDPR5001</v>
      </c>
      <c r="B14" s="144">
        <f>IFERROR(IF(VLOOKUP($A14,TableHandbook[],2,FALSE)=0,"",VLOOKUP($A14,TableHandbook[],2,FALSE)),"")</f>
        <v>1</v>
      </c>
      <c r="C14" s="144" t="str">
        <f>IFERROR(IF(VLOOKUP($A14,TableHandbook[],3,FALSE)=0,"",VLOOKUP($A14,TableHandbook[],3,FALSE)),"")</f>
        <v/>
      </c>
      <c r="D14" s="145" t="str">
        <f>IFERROR(IF(VLOOKUP($A14,TableHandbook[],4,FALSE)=0,"",VLOOKUP($A14,TableHandbook[],4,FALSE)),"")</f>
        <v>Primary Professional Experience 2: Assessment and Reporting</v>
      </c>
      <c r="E14" s="144" t="str">
        <f>IF(A14="","",E13)</f>
        <v>SSP2</v>
      </c>
      <c r="F14" s="146" t="str">
        <f>IFERROR(IF(VLOOKUP($A14,TableHandbook[],6,FALSE)=0,"",VLOOKUP($A14,TableHandbook[],6,FALSE)),"")</f>
        <v>EDPR5000</v>
      </c>
      <c r="G14" s="144">
        <f>IFERROR(IF(VLOOKUP($A14,TableHandbook[],5,FALSE)=0,"",VLOOKUP($A14,TableHandbook[],5,FALSE)),"")</f>
        <v>25</v>
      </c>
      <c r="H14" s="147" t="str">
        <f>IFERROR(VLOOKUP($A14,TableHandbook[],H$2,FALSE),"")</f>
        <v/>
      </c>
      <c r="I14" s="148" t="str">
        <f>IFERROR(VLOOKUP($A14,TableHandbook[],I$2,FALSE),"")</f>
        <v/>
      </c>
      <c r="J14" s="147" t="str">
        <f>IFERROR(VLOOKUP($A14,TableHandbook[],J$2,FALSE),"")</f>
        <v>Y</v>
      </c>
      <c r="K14" s="148" t="str">
        <f>IFERROR(VLOOKUP($A14,TableHandbook[],K$2,FALSE),"")</f>
        <v>Y</v>
      </c>
      <c r="L14" s="147" t="str">
        <f>IFERROR(VLOOKUP($A14,TableHandbook[],L$2,FALSE),"")</f>
        <v>Y</v>
      </c>
      <c r="M14" s="148" t="str">
        <f>IFERROR(VLOOKUP($A14,TableHandbook[],M$2,FALSE),"")</f>
        <v>Y</v>
      </c>
      <c r="N14" s="147" t="str">
        <f>IFERROR(VLOOKUP($A14,TableHandbook[],N$2,FALSE),"")</f>
        <v/>
      </c>
      <c r="O14" s="148" t="str">
        <f>IFERROR(VLOOKUP($A14,TableHandbook[],O$2,FALSE),"")</f>
        <v/>
      </c>
      <c r="P14" s="23"/>
      <c r="Q14" s="149">
        <v>5</v>
      </c>
      <c r="R14" s="150"/>
      <c r="S14" s="150"/>
    </row>
    <row r="15" spans="1:20" s="14" customFormat="1" ht="6" customHeight="1" x14ac:dyDescent="0.15">
      <c r="A15" s="171"/>
      <c r="B15" s="172"/>
      <c r="C15" s="172"/>
      <c r="D15" s="173"/>
      <c r="E15" s="172"/>
      <c r="F15" s="174"/>
      <c r="G15" s="172"/>
      <c r="H15" s="175"/>
      <c r="I15" s="176"/>
      <c r="J15" s="175"/>
      <c r="K15" s="176"/>
      <c r="L15" s="175"/>
      <c r="M15" s="176"/>
      <c r="N15" s="175"/>
      <c r="O15" s="176"/>
      <c r="P15" s="106"/>
      <c r="Q15" s="149"/>
      <c r="R15" s="150"/>
      <c r="S15" s="150"/>
      <c r="T15" s="150"/>
    </row>
    <row r="16" spans="1:20" s="14" customFormat="1" ht="21" customHeight="1" x14ac:dyDescent="0.15">
      <c r="A16" s="143" t="str">
        <f>IFERROR(IF(HLOOKUP($P$6,RangeUnitsetsGDEDUC,Q16,FALSE)=0,"",HLOOKUP($P$6,RangeUnitsetsGDEDUC,Q16,FALSE)),"")</f>
        <v>EDUC6062</v>
      </c>
      <c r="B16" s="151">
        <f>IFERROR(IF(VLOOKUP($A16,TableHandbook[],2,FALSE)=0,"",VLOOKUP($A16,TableHandbook[],2,FALSE)),"")</f>
        <v>1</v>
      </c>
      <c r="C16" s="151" t="str">
        <f>IFERROR(IF(VLOOKUP($A16,TableHandbook[],3,FALSE)=0,"",VLOOKUP($A16,TableHandbook[],3,FALSE)),"")</f>
        <v/>
      </c>
      <c r="D16" s="145" t="str">
        <f>IFERROR(IF(VLOOKUP($A16,TableHandbook[],4,FALSE)=0,"",VLOOKUP($A16,TableHandbook[],4,FALSE)),"")</f>
        <v>Professional Experience 3: Using Data to Inform Teaching and Learning</v>
      </c>
      <c r="E16" s="144" t="str">
        <f>IF(OR(A16="",A16="--"),"",VLOOKUP($D$7,TableStudyPeriods[],4,FALSE))</f>
        <v>SSP3</v>
      </c>
      <c r="F16" s="146" t="str">
        <f>IFERROR(IF(VLOOKUP($A16,TableHandbook[],6,FALSE)=0,"",VLOOKUP($A16,TableHandbook[],6,FALSE)),"")</f>
        <v>EDEC5001 or EDPR5001 or EDSC5029</v>
      </c>
      <c r="G16" s="151">
        <f>IFERROR(IF(VLOOKUP($A16,TableHandbook[],5,FALSE)=0,"",VLOOKUP($A16,TableHandbook[],5,FALSE)),"")</f>
        <v>25</v>
      </c>
      <c r="H16" s="152" t="str">
        <f>IFERROR(VLOOKUP($A16,TableHandbook[],H$2,FALSE),"")</f>
        <v>Y</v>
      </c>
      <c r="I16" s="153" t="str">
        <f>IFERROR(VLOOKUP($A16,TableHandbook[],I$2,FALSE),"")</f>
        <v>Y</v>
      </c>
      <c r="J16" s="152" t="str">
        <f>IFERROR(VLOOKUP($A16,TableHandbook[],J$2,FALSE),"")</f>
        <v/>
      </c>
      <c r="K16" s="153" t="str">
        <f>IFERROR(VLOOKUP($A16,TableHandbook[],K$2,FALSE),"")</f>
        <v/>
      </c>
      <c r="L16" s="152" t="str">
        <f>IFERROR(VLOOKUP($A16,TableHandbook[],L$2,FALSE),"")</f>
        <v>Y</v>
      </c>
      <c r="M16" s="153" t="str">
        <f>IFERROR(VLOOKUP($A16,TableHandbook[],M$2,FALSE),"")</f>
        <v>Y</v>
      </c>
      <c r="N16" s="152" t="str">
        <f>IFERROR(VLOOKUP($A16,TableHandbook[],N$2,FALSE),"")</f>
        <v/>
      </c>
      <c r="O16" s="153" t="str">
        <f>IFERROR(VLOOKUP($A16,TableHandbook[],O$2,FALSE),"")</f>
        <v/>
      </c>
      <c r="P16" s="24"/>
      <c r="Q16" s="149">
        <v>6</v>
      </c>
      <c r="R16" s="150"/>
      <c r="S16" s="150"/>
    </row>
    <row r="17" spans="1:27" s="16" customFormat="1" ht="21" customHeight="1" x14ac:dyDescent="0.15">
      <c r="A17" s="143" t="str">
        <f>IFERROR(IF(HLOOKUP($P$6,RangeUnitsetsGDEDUC,Q17,FALSE)=0,"",HLOOKUP($P$6,RangeUnitsetsGDEDUC,Q17,FALSE)),"")</f>
        <v>EDUC5031</v>
      </c>
      <c r="B17" s="151">
        <f>IFERROR(IF(VLOOKUP($A17,TableHandbook[],2,FALSE)=0,"",VLOOKUP($A17,TableHandbook[],2,FALSE)),"")</f>
        <v>1</v>
      </c>
      <c r="C17" s="151" t="str">
        <f>IFERROR(IF(VLOOKUP($A17,TableHandbook[],3,FALSE)=0,"",VLOOKUP($A17,TableHandbook[],3,FALSE)),"")</f>
        <v/>
      </c>
      <c r="D17" s="145" t="str">
        <f>IFERROR(IF(VLOOKUP($A17,TableHandbook[],4,FALSE)=0,"",VLOOKUP($A17,TableHandbook[],4,FALSE)),"")</f>
        <v>Introduction to English: Reading</v>
      </c>
      <c r="E17" s="144" t="str">
        <f>IF(A17="","",E16)</f>
        <v>SSP3</v>
      </c>
      <c r="F17" s="146" t="str">
        <f>IFERROR(IF(VLOOKUP($A17,TableHandbook[],6,FALSE)=0,"",VLOOKUP($A17,TableHandbook[],6,FALSE)),"")</f>
        <v>Nil</v>
      </c>
      <c r="G17" s="151">
        <f>IFERROR(IF(VLOOKUP($A17,TableHandbook[],5,FALSE)=0,"",VLOOKUP($A17,TableHandbook[],5,FALSE)),"")</f>
        <v>25</v>
      </c>
      <c r="H17" s="152" t="str">
        <f>IFERROR(VLOOKUP($A17,TableHandbook[],H$2,FALSE),"")</f>
        <v>Y</v>
      </c>
      <c r="I17" s="153" t="str">
        <f>IFERROR(VLOOKUP($A17,TableHandbook[],I$2,FALSE),"")</f>
        <v>Y</v>
      </c>
      <c r="J17" s="152" t="str">
        <f>IFERROR(VLOOKUP($A17,TableHandbook[],J$2,FALSE),"")</f>
        <v/>
      </c>
      <c r="K17" s="153" t="str">
        <f>IFERROR(VLOOKUP($A17,TableHandbook[],K$2,FALSE),"")</f>
        <v/>
      </c>
      <c r="L17" s="152" t="str">
        <f>IFERROR(VLOOKUP($A17,TableHandbook[],L$2,FALSE),"")</f>
        <v>Y</v>
      </c>
      <c r="M17" s="153" t="str">
        <f>IFERROR(VLOOKUP($A17,TableHandbook[],M$2,FALSE),"")</f>
        <v>Y</v>
      </c>
      <c r="N17" s="152" t="str">
        <f>IFERROR(VLOOKUP($A17,TableHandbook[],N$2,FALSE),"")</f>
        <v/>
      </c>
      <c r="O17" s="153" t="str">
        <f>IFERROR(VLOOKUP($A17,TableHandbook[],O$2,FALSE),"")</f>
        <v/>
      </c>
      <c r="P17" s="24"/>
      <c r="Q17" s="149">
        <v>7</v>
      </c>
      <c r="R17" s="154"/>
      <c r="S17" s="154"/>
    </row>
    <row r="18" spans="1:27" s="14" customFormat="1" ht="6" customHeight="1" x14ac:dyDescent="0.15">
      <c r="A18" s="171"/>
      <c r="B18" s="172"/>
      <c r="C18" s="172"/>
      <c r="D18" s="173"/>
      <c r="E18" s="172"/>
      <c r="F18" s="174"/>
      <c r="G18" s="172"/>
      <c r="H18" s="175"/>
      <c r="I18" s="176"/>
      <c r="J18" s="175"/>
      <c r="K18" s="176"/>
      <c r="L18" s="175"/>
      <c r="M18" s="176"/>
      <c r="N18" s="175"/>
      <c r="O18" s="176"/>
      <c r="P18" s="106"/>
      <c r="Q18" s="149"/>
      <c r="R18" s="150"/>
      <c r="S18" s="150"/>
      <c r="T18" s="150"/>
    </row>
    <row r="19" spans="1:27" s="16" customFormat="1" ht="21" customHeight="1" x14ac:dyDescent="0.15">
      <c r="A19" s="143" t="str">
        <f>IFERROR(IF(HLOOKUP($P$6,RangeUnitsetsGDEDUC,Q19,FALSE)=0,"",HLOOKUP($P$6,RangeUnitsetsGDEDUC,Q19,FALSE)),"")</f>
        <v>EDPR5003</v>
      </c>
      <c r="B19" s="151">
        <f>IFERROR(IF(VLOOKUP($A19,TableHandbook[],2,FALSE)=0,"",VLOOKUP($A19,TableHandbook[],2,FALSE)),"")</f>
        <v>1</v>
      </c>
      <c r="C19" s="151" t="str">
        <f>IFERROR(IF(VLOOKUP($A19,TableHandbook[],3,FALSE)=0,"",VLOOKUP($A19,TableHandbook[],3,FALSE)),"")</f>
        <v/>
      </c>
      <c r="D19" s="145" t="str">
        <f>IFERROR(IF(VLOOKUP($A19,TableHandbook[],4,FALSE)=0,"",VLOOKUP($A19,TableHandbook[],4,FALSE)),"")</f>
        <v>Teaching Number, Algebra and Probability in the Primary Years</v>
      </c>
      <c r="E19" s="144" t="str">
        <f>IF(OR(A19="",A19="--"),"",VLOOKUP($D$7,TableStudyPeriods[],5,FALSE))</f>
        <v>SSP4</v>
      </c>
      <c r="F19" s="146" t="str">
        <f>IFERROR(IF(VLOOKUP($A19,TableHandbook[],6,FALSE)=0,"",VLOOKUP($A19,TableHandbook[],6,FALSE)),"")</f>
        <v>Nil</v>
      </c>
      <c r="G19" s="151">
        <f>IFERROR(IF(VLOOKUP($A19,TableHandbook[],5,FALSE)=0,"",VLOOKUP($A19,TableHandbook[],5,FALSE)),"")</f>
        <v>25</v>
      </c>
      <c r="H19" s="152" t="str">
        <f>IFERROR(VLOOKUP($A19,TableHandbook[],H$2,FALSE),"")</f>
        <v/>
      </c>
      <c r="I19" s="153" t="str">
        <f>IFERROR(VLOOKUP($A19,TableHandbook[],I$2,FALSE),"")</f>
        <v/>
      </c>
      <c r="J19" s="152" t="str">
        <f>IFERROR(VLOOKUP($A19,TableHandbook[],J$2,FALSE),"")</f>
        <v/>
      </c>
      <c r="K19" s="153" t="str">
        <f>IFERROR(VLOOKUP($A19,TableHandbook[],K$2,FALSE),"")</f>
        <v/>
      </c>
      <c r="L19" s="152" t="str">
        <f>IFERROR(VLOOKUP($A19,TableHandbook[],L$2,FALSE),"")</f>
        <v/>
      </c>
      <c r="M19" s="153" t="str">
        <f>IFERROR(VLOOKUP($A19,TableHandbook[],M$2,FALSE),"")</f>
        <v/>
      </c>
      <c r="N19" s="152" t="str">
        <f>IFERROR(VLOOKUP($A19,TableHandbook[],N$2,FALSE),"")</f>
        <v>Y</v>
      </c>
      <c r="O19" s="153" t="str">
        <f>IFERROR(VLOOKUP($A19,TableHandbook[],O$2,FALSE),"")</f>
        <v>Y</v>
      </c>
      <c r="P19" s="24"/>
      <c r="Q19" s="149">
        <v>8</v>
      </c>
      <c r="R19" s="154"/>
      <c r="S19" s="154"/>
    </row>
    <row r="20" spans="1:27" s="16" customFormat="1" ht="21" customHeight="1" x14ac:dyDescent="0.15">
      <c r="A20" s="143" t="str">
        <f>IFERROR(IF(HLOOKUP($P$6,RangeUnitsetsGDEDUC,Q20,FALSE)=0,"",HLOOKUP($P$6,RangeUnitsetsGDEDUC,Q20,FALSE)),"")</f>
        <v>EDUC5006</v>
      </c>
      <c r="B20" s="151">
        <f>IFERROR(IF(VLOOKUP($A20,TableHandbook[],2,FALSE)=0,"",VLOOKUP($A20,TableHandbook[],2,FALSE)),"")</f>
        <v>1</v>
      </c>
      <c r="C20" s="151" t="str">
        <f>IFERROR(IF(VLOOKUP($A20,TableHandbook[],3,FALSE)=0,"",VLOOKUP($A20,TableHandbook[],3,FALSE)),"")</f>
        <v/>
      </c>
      <c r="D20" s="177" t="str">
        <f>IFERROR(IF(VLOOKUP($A20,TableHandbook[],4,FALSE)=0,"",VLOOKUP($A20,TableHandbook[],4,FALSE)),"")</f>
        <v>Creative Technologies</v>
      </c>
      <c r="E20" s="151" t="str">
        <f>IF(A20="","",E19)</f>
        <v>SSP4</v>
      </c>
      <c r="F20" s="146" t="str">
        <f>IFERROR(IF(VLOOKUP($A20,TableHandbook[],6,FALSE)=0,"",VLOOKUP($A20,TableHandbook[],6,FALSE)),"")</f>
        <v>Nil</v>
      </c>
      <c r="G20" s="151">
        <f>IFERROR(IF(VLOOKUP($A20,TableHandbook[],5,FALSE)=0,"",VLOOKUP($A20,TableHandbook[],5,FALSE)),"")</f>
        <v>25</v>
      </c>
      <c r="H20" s="152" t="str">
        <f>IFERROR(VLOOKUP($A20,TableHandbook[],H$2,FALSE),"")</f>
        <v/>
      </c>
      <c r="I20" s="153" t="str">
        <f>IFERROR(VLOOKUP($A20,TableHandbook[],I$2,FALSE),"")</f>
        <v/>
      </c>
      <c r="J20" s="152" t="str">
        <f>IFERROR(VLOOKUP($A20,TableHandbook[],J$2,FALSE),"")</f>
        <v>Y</v>
      </c>
      <c r="K20" s="153" t="str">
        <f>IFERROR(VLOOKUP($A20,TableHandbook[],K$2,FALSE),"")</f>
        <v>Y</v>
      </c>
      <c r="L20" s="152" t="str">
        <f>IFERROR(VLOOKUP($A20,TableHandbook[],L$2,FALSE),"")</f>
        <v>Y</v>
      </c>
      <c r="M20" s="153" t="str">
        <f>IFERROR(VLOOKUP($A20,TableHandbook[],M$2,FALSE),"")</f>
        <v>Y</v>
      </c>
      <c r="N20" s="152" t="str">
        <f>IFERROR(VLOOKUP($A20,TableHandbook[],N$2,FALSE),"")</f>
        <v>Y</v>
      </c>
      <c r="O20" s="153" t="str">
        <f>IFERROR(VLOOKUP($A20,TableHandbook[],O$2,FALSE),"")</f>
        <v>Y</v>
      </c>
      <c r="P20" s="24"/>
      <c r="Q20" s="149">
        <v>9</v>
      </c>
      <c r="R20" s="154"/>
      <c r="S20" s="154"/>
    </row>
    <row r="21" spans="1:27" ht="16.5" customHeight="1" x14ac:dyDescent="0.25">
      <c r="A21" s="159"/>
      <c r="B21" s="159"/>
      <c r="C21" s="159"/>
      <c r="D21" s="160"/>
      <c r="E21" s="160"/>
      <c r="F21" s="161"/>
      <c r="G21" s="161"/>
      <c r="H21" s="161"/>
      <c r="I21" s="161"/>
      <c r="J21" s="161"/>
      <c r="K21" s="161"/>
      <c r="L21" s="161"/>
      <c r="M21" s="161"/>
      <c r="N21" s="161"/>
      <c r="O21" s="161"/>
      <c r="P21" s="161"/>
      <c r="Q21" s="88"/>
    </row>
    <row r="22" spans="1:27" s="10" customFormat="1" ht="18" x14ac:dyDescent="0.25">
      <c r="A22" s="198" t="s">
        <v>34</v>
      </c>
      <c r="B22" s="198"/>
      <c r="C22" s="198"/>
      <c r="D22" s="198"/>
      <c r="E22" s="198"/>
      <c r="F22" s="198"/>
      <c r="G22" s="198"/>
      <c r="H22" s="198"/>
      <c r="I22" s="198"/>
      <c r="J22" s="198"/>
      <c r="K22" s="198"/>
      <c r="L22" s="198"/>
      <c r="M22" s="198"/>
      <c r="N22" s="198"/>
      <c r="O22" s="198"/>
      <c r="P22" s="198"/>
      <c r="Q22" s="88"/>
      <c r="R22" s="8"/>
      <c r="S22" s="8"/>
      <c r="T22" s="8"/>
      <c r="U22" s="8"/>
      <c r="V22" s="8"/>
      <c r="W22" s="8"/>
      <c r="X22" s="8"/>
      <c r="Y22" s="8"/>
      <c r="Z22" s="8"/>
      <c r="AA22" s="8"/>
    </row>
    <row r="23" spans="1:27" s="18" customFormat="1" ht="17.25" x14ac:dyDescent="0.2">
      <c r="A23" s="66" t="s">
        <v>35</v>
      </c>
      <c r="B23" s="66"/>
      <c r="C23" s="66"/>
      <c r="D23" s="67"/>
      <c r="E23" s="67"/>
      <c r="F23" s="67"/>
      <c r="G23" s="67"/>
      <c r="H23" s="67"/>
      <c r="I23" s="67"/>
      <c r="J23" s="67"/>
      <c r="K23" s="67"/>
      <c r="L23" s="67"/>
      <c r="M23" s="67"/>
      <c r="N23" s="67"/>
      <c r="O23" s="67"/>
      <c r="P23" s="67"/>
      <c r="Q23" s="162"/>
      <c r="R23" s="162"/>
      <c r="S23" s="162"/>
    </row>
    <row r="24" spans="1:27" x14ac:dyDescent="0.25">
      <c r="A24" s="163" t="s">
        <v>36</v>
      </c>
      <c r="B24" s="163"/>
      <c r="C24" s="163"/>
      <c r="D24" s="163"/>
      <c r="E24" s="164"/>
      <c r="F24" s="161"/>
      <c r="G24" s="165"/>
      <c r="H24" s="165"/>
      <c r="I24" s="165"/>
      <c r="J24" s="165"/>
      <c r="K24" s="165"/>
      <c r="L24" s="165"/>
      <c r="M24" s="165"/>
      <c r="N24" s="165"/>
      <c r="O24" s="165"/>
      <c r="P24" s="165" t="s">
        <v>37</v>
      </c>
    </row>
  </sheetData>
  <sheetProtection formatCells="0"/>
  <mergeCells count="1">
    <mergeCell ref="A3:D3"/>
  </mergeCells>
  <conditionalFormatting sqref="D5:D7">
    <cfRule type="containsText" dxfId="103" priority="3" operator="containsText" text="Choose">
      <formula>NOT(ISERROR(SEARCH("Choose",D5)))</formula>
    </cfRule>
  </conditionalFormatting>
  <conditionalFormatting sqref="H10:O20">
    <cfRule type="expression" dxfId="102" priority="1">
      <formula>$E10=LEFT(H$9,4)</formula>
    </cfRule>
  </conditionalFormatting>
  <dataValidations count="1">
    <dataValidation type="list" allowBlank="1" showInputMessage="1" showErrorMessage="1" sqref="P15 P12 P18" xr:uid="{00000000-0002-0000-0500-000000000000}"/>
  </dataValidations>
  <hyperlinks>
    <hyperlink ref="A23:P23"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20" max="10" man="1"/>
  </row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AA31"/>
  <sheetViews>
    <sheetView showGridLines="0" topLeftCell="A3" workbookViewId="0">
      <selection activeCell="A11" sqref="A11"/>
    </sheetView>
  </sheetViews>
  <sheetFormatPr defaultColWidth="9" defaultRowHeight="15" x14ac:dyDescent="0.25"/>
  <cols>
    <col min="1" max="1" width="8.5" style="9" customWidth="1"/>
    <col min="2" max="2" width="3.25" style="9" customWidth="1"/>
    <col min="3" max="3" width="5.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88" t="s">
        <v>8</v>
      </c>
      <c r="B3" s="288"/>
      <c r="C3" s="288"/>
      <c r="D3" s="288"/>
      <c r="E3" s="118"/>
      <c r="F3" s="118"/>
      <c r="G3" s="118"/>
      <c r="H3" s="118"/>
      <c r="I3" s="118"/>
      <c r="J3" s="118"/>
      <c r="K3" s="118"/>
      <c r="L3" s="118"/>
      <c r="M3" s="118"/>
      <c r="N3" s="118"/>
      <c r="O3" s="118"/>
      <c r="P3" s="118"/>
      <c r="Q3" s="88"/>
    </row>
    <row r="4" spans="1:20" ht="26.25" x14ac:dyDescent="0.25">
      <c r="A4" s="244"/>
      <c r="B4" s="244"/>
      <c r="C4" s="244"/>
      <c r="D4" s="245"/>
      <c r="E4" s="246" t="s">
        <v>9</v>
      </c>
      <c r="F4" s="244"/>
      <c r="G4" s="247"/>
      <c r="H4" s="247"/>
      <c r="I4" s="247"/>
      <c r="J4" s="247"/>
      <c r="K4" s="247"/>
      <c r="L4" s="247"/>
      <c r="M4" s="247"/>
      <c r="N4" s="247"/>
      <c r="O4" s="247"/>
      <c r="P4" s="247"/>
      <c r="Q4" s="88"/>
    </row>
    <row r="5" spans="1:20" ht="20.100000000000001" customHeight="1" x14ac:dyDescent="0.25">
      <c r="A5" s="119"/>
      <c r="B5" s="119"/>
      <c r="C5" s="120" t="s">
        <v>10</v>
      </c>
      <c r="D5" s="121" t="s">
        <v>84</v>
      </c>
      <c r="E5" s="122"/>
      <c r="F5" s="120" t="s">
        <v>12</v>
      </c>
      <c r="G5" s="127" t="str">
        <f>IFERROR(CONCATENATE(VLOOKUP(D5,TableCourses[],2,FALSE)," ",VLOOKUP(D5,TableCourses[],3,FALSE)),"")</f>
        <v>GD-EDUC v.1</v>
      </c>
      <c r="H5" s="167"/>
      <c r="I5" s="122"/>
      <c r="J5" s="122"/>
      <c r="K5" s="122"/>
      <c r="L5" s="122"/>
      <c r="M5" s="122"/>
      <c r="N5" s="122"/>
      <c r="O5" s="122"/>
      <c r="P5" s="168"/>
      <c r="Q5" s="88"/>
    </row>
    <row r="6" spans="1:20" ht="20.100000000000001" customHeight="1" x14ac:dyDescent="0.25">
      <c r="B6" s="119"/>
      <c r="C6" s="120" t="s">
        <v>13</v>
      </c>
      <c r="D6" s="125" t="s">
        <v>251</v>
      </c>
      <c r="E6" s="122"/>
      <c r="F6" s="120" t="s">
        <v>15</v>
      </c>
      <c r="G6" s="127" t="str">
        <f>IFERROR(CONCATENATE(VLOOKUP(D6,TableMajorsGDEDUC[],2,FALSE)," ",VLOOKUP(D6,TableMajorsGDEDUC[],3,FALSE)),"")</f>
        <v>MJRP-EDUSC v.1</v>
      </c>
      <c r="H6" s="167"/>
      <c r="I6" s="122"/>
      <c r="J6" s="122"/>
      <c r="K6" s="122"/>
      <c r="L6" s="122"/>
      <c r="M6" s="122"/>
      <c r="N6" s="122"/>
      <c r="O6" s="122"/>
      <c r="P6" s="169" t="str">
        <f>CONCATENATE(VLOOKUP(D6,TableMajorsGDEDUC[],2,FALSE),VLOOKUP(D8,TableStudyPeriods[],2,FALSE))</f>
        <v>MJRP-EDUSCSSP1</v>
      </c>
      <c r="Q6" s="88"/>
    </row>
    <row r="7" spans="1:20" ht="20.100000000000001" customHeight="1" x14ac:dyDescent="0.25">
      <c r="B7" s="119"/>
      <c r="C7" s="120" t="s">
        <v>252</v>
      </c>
      <c r="D7" s="201" t="s">
        <v>253</v>
      </c>
      <c r="E7" s="122"/>
      <c r="F7" s="120" t="s">
        <v>254</v>
      </c>
      <c r="G7" s="127" t="str">
        <f>IFERROR(CONCATENATE(VLOOKUP(D7,TableTeachingArea1[],2,FALSE)," ",VLOOKUP(D7,TableTeachingArea1[],3,FALSE)),"")</f>
        <v/>
      </c>
      <c r="H7" s="167"/>
      <c r="I7" s="122"/>
      <c r="J7" s="122"/>
      <c r="K7" s="122"/>
      <c r="L7" s="122"/>
      <c r="M7" s="122"/>
      <c r="N7" s="122"/>
      <c r="O7" s="122"/>
      <c r="P7" s="169" t="e">
        <f>VLOOKUP(D7,TableTeachingArea1[],2,FALSE)</f>
        <v>#N/A</v>
      </c>
      <c r="Q7" s="88"/>
    </row>
    <row r="8" spans="1:20" ht="20.100000000000001" customHeight="1" x14ac:dyDescent="0.25">
      <c r="A8" s="127"/>
      <c r="B8" s="128"/>
      <c r="C8" s="120" t="s">
        <v>16</v>
      </c>
      <c r="D8" s="129" t="s">
        <v>39</v>
      </c>
      <c r="E8" s="130"/>
      <c r="F8" s="120" t="s">
        <v>18</v>
      </c>
      <c r="G8" s="122" t="str">
        <f>IFERROR(VLOOKUP($D$5,TableCourses[],7,FALSE),"")</f>
        <v>200 credit points required</v>
      </c>
      <c r="H8" s="131"/>
      <c r="I8" s="131"/>
      <c r="J8" s="131"/>
      <c r="K8" s="131"/>
      <c r="L8" s="131"/>
      <c r="M8" s="131"/>
      <c r="N8" s="131"/>
      <c r="O8" s="131"/>
      <c r="P8" s="169" t="str">
        <f>IFERROR(CONCATENATE("DDGD",MID(G6,6,5)),"")</f>
        <v>DDGDEDUSC</v>
      </c>
      <c r="Q8" s="88"/>
    </row>
    <row r="9" spans="1:20" s="12" customFormat="1" ht="14.1" customHeight="1" x14ac:dyDescent="0.25">
      <c r="A9" s="133"/>
      <c r="B9" s="133"/>
      <c r="C9" s="133"/>
      <c r="D9" s="134"/>
      <c r="E9" s="135"/>
      <c r="F9" s="133"/>
      <c r="G9" s="133"/>
      <c r="H9" s="136" t="s">
        <v>19</v>
      </c>
      <c r="I9" s="137"/>
      <c r="J9" s="137"/>
      <c r="K9" s="137"/>
      <c r="L9" s="137"/>
      <c r="M9" s="137"/>
      <c r="N9" s="137"/>
      <c r="O9" s="138"/>
      <c r="P9" s="135"/>
      <c r="Q9" s="157"/>
      <c r="R9" s="139"/>
      <c r="S9" s="139"/>
    </row>
    <row r="10" spans="1:20" s="12" customFormat="1" ht="31.5" x14ac:dyDescent="0.25">
      <c r="A10" s="133" t="s">
        <v>20</v>
      </c>
      <c r="B10" s="133"/>
      <c r="C10" s="133"/>
      <c r="D10" s="134" t="s">
        <v>3</v>
      </c>
      <c r="E10" s="140" t="s">
        <v>21</v>
      </c>
      <c r="F10" s="133" t="s">
        <v>22</v>
      </c>
      <c r="G10" s="133" t="s">
        <v>23</v>
      </c>
      <c r="H10" s="141" t="s">
        <v>24</v>
      </c>
      <c r="I10" s="142" t="s">
        <v>25</v>
      </c>
      <c r="J10" s="141" t="s">
        <v>26</v>
      </c>
      <c r="K10" s="142" t="s">
        <v>27</v>
      </c>
      <c r="L10" s="141" t="s">
        <v>28</v>
      </c>
      <c r="M10" s="142" t="s">
        <v>29</v>
      </c>
      <c r="N10" s="141" t="s">
        <v>30</v>
      </c>
      <c r="O10" s="142" t="s">
        <v>31</v>
      </c>
      <c r="P10" s="133" t="s">
        <v>32</v>
      </c>
      <c r="Q10" s="157"/>
      <c r="R10" s="139"/>
      <c r="S10" s="139"/>
    </row>
    <row r="11" spans="1:20" s="14" customFormat="1" ht="21" customHeight="1" x14ac:dyDescent="0.15">
      <c r="A11" s="143" t="str">
        <f>IFERROR(IF(HLOOKUP($P$6,RangeUnitsetsGDEDUC,Q11,FALSE)=0,"",HLOOKUP($P$6,RangeUnitsetsGDEDUC,Q11,FALSE)),"")</f>
        <v>EDSC5035</v>
      </c>
      <c r="B11" s="144">
        <f>IFERROR(IF(VLOOKUP($A11,TableHandbook[],2,FALSE)=0,"",VLOOKUP($A11,TableHandbook[],2,FALSE)),"")</f>
        <v>1</v>
      </c>
      <c r="C11" s="144" t="str">
        <f>IFERROR(IF(VLOOKUP($A11,TableHandbook[],3,FALSE)=0,"",VLOOKUP($A11,TableHandbook[],3,FALSE)),"")</f>
        <v/>
      </c>
      <c r="D11" s="145" t="str">
        <f>IFERROR(IF(VLOOKUP($A11,TableHandbook[],4,FALSE)=0,"",VLOOKUP($A11,TableHandbook[],4,FALSE)),"")</f>
        <v>Teaching in the Secondary School</v>
      </c>
      <c r="E11" s="144" t="str">
        <f>IF(OR(A11="",A11="--"),"",VLOOKUP($D$8,TableStudyPeriods[],2,FALSE))</f>
        <v>SSP1</v>
      </c>
      <c r="F11" s="146" t="str">
        <f>IFERROR(IF(VLOOKUP($A11,TableHandbook[],6,FALSE)=0,"",VLOOKUP($A11,TableHandbook[],6,FALSE)),"")</f>
        <v>Nil</v>
      </c>
      <c r="G11" s="144">
        <f>IFERROR(IF(VLOOKUP($A11,TableHandbook[],5,FALSE)=0,"",VLOOKUP($A11,TableHandbook[],5,FALSE)),"")</f>
        <v>25</v>
      </c>
      <c r="H11" s="147" t="str">
        <f>IFERROR(VLOOKUP($A11,TableHandbook[],H$2,FALSE),"")</f>
        <v>Y</v>
      </c>
      <c r="I11" s="148" t="str">
        <f>IFERROR(VLOOKUP($A11,TableHandbook[],I$2,FALSE),"")</f>
        <v>Y</v>
      </c>
      <c r="J11" s="147" t="str">
        <f>IFERROR(VLOOKUP($A11,TableHandbook[],J$2,FALSE),"")</f>
        <v>Y</v>
      </c>
      <c r="K11" s="148" t="str">
        <f>IFERROR(VLOOKUP($A11,TableHandbook[],K$2,FALSE),"")</f>
        <v>Y</v>
      </c>
      <c r="L11" s="147" t="str">
        <f>IFERROR(VLOOKUP($A11,TableHandbook[],L$2,FALSE),"")</f>
        <v/>
      </c>
      <c r="M11" s="148" t="str">
        <f>IFERROR(VLOOKUP($A11,TableHandbook[],M$2,FALSE),"")</f>
        <v/>
      </c>
      <c r="N11" s="147" t="str">
        <f>IFERROR(VLOOKUP($A11,TableHandbook[],N$2,FALSE),"")</f>
        <v/>
      </c>
      <c r="O11" s="148" t="str">
        <f>IFERROR(VLOOKUP($A11,TableHandbook[],O$2,FALSE),"")</f>
        <v/>
      </c>
      <c r="P11" s="23"/>
      <c r="Q11" s="149">
        <v>2</v>
      </c>
      <c r="R11" s="150"/>
      <c r="S11" s="150"/>
    </row>
    <row r="12" spans="1:20" s="14" customFormat="1" ht="21" customHeight="1" x14ac:dyDescent="0.15">
      <c r="A12" s="170" t="str">
        <f>IFERROR(IF(HLOOKUP($P$6,RangeUnitsetsGDEDUC,Q12,FALSE)=0,"",HLOOKUP($P$6,RangeUnitsetsGDEDUC,Q12,FALSE)),"")</f>
        <v>EDSC5028</v>
      </c>
      <c r="B12" s="144">
        <f>IFERROR(IF(VLOOKUP($A12,TableHandbook[],2,FALSE)=0,"",VLOOKUP($A12,TableHandbook[],2,FALSE)),"")</f>
        <v>1</v>
      </c>
      <c r="C12" s="144" t="str">
        <f>IFERROR(IF(VLOOKUP($A12,TableHandbook[],3,FALSE)=0,"",VLOOKUP($A12,TableHandbook[],3,FALSE)),"")</f>
        <v/>
      </c>
      <c r="D12" s="145" t="str">
        <f>IFERROR(IF(VLOOKUP($A12,TableHandbook[],4,FALSE)=0,"",VLOOKUP($A12,TableHandbook[],4,FALSE)),"")</f>
        <v>Secondary Professional Experience 1: Planning</v>
      </c>
      <c r="E12" s="144" t="str">
        <f>IF(A12="","",E11)</f>
        <v>SSP1</v>
      </c>
      <c r="F12" s="146" t="str">
        <f>IFERROR(IF(VLOOKUP($A12,TableHandbook[],6,FALSE)=0,"",VLOOKUP($A12,TableHandbook[],6,FALSE)),"")</f>
        <v>Nil</v>
      </c>
      <c r="G12" s="144">
        <f>IFERROR(IF(VLOOKUP($A12,TableHandbook[],5,FALSE)=0,"",VLOOKUP($A12,TableHandbook[],5,FALSE)),"")</f>
        <v>25</v>
      </c>
      <c r="H12" s="147" t="str">
        <f>IFERROR(VLOOKUP($A12,TableHandbook[],H$2,FALSE),"")</f>
        <v>Y</v>
      </c>
      <c r="I12" s="148" t="str">
        <f>IFERROR(VLOOKUP($A12,TableHandbook[],I$2,FALSE),"")</f>
        <v>Y</v>
      </c>
      <c r="J12" s="147" t="str">
        <f>IFERROR(VLOOKUP($A12,TableHandbook[],J$2,FALSE),"")</f>
        <v>Y</v>
      </c>
      <c r="K12" s="148" t="str">
        <f>IFERROR(VLOOKUP($A12,TableHandbook[],K$2,FALSE),"")</f>
        <v>Y</v>
      </c>
      <c r="L12" s="147" t="str">
        <f>IFERROR(VLOOKUP($A12,TableHandbook[],L$2,FALSE),"")</f>
        <v/>
      </c>
      <c r="M12" s="148" t="str">
        <f>IFERROR(VLOOKUP($A12,TableHandbook[],M$2,FALSE),"")</f>
        <v/>
      </c>
      <c r="N12" s="147" t="str">
        <f>IFERROR(VLOOKUP($A12,TableHandbook[],N$2,FALSE),"")</f>
        <v/>
      </c>
      <c r="O12" s="148" t="str">
        <f>IFERROR(VLOOKUP($A12,TableHandbook[],O$2,FALSE),"")</f>
        <v/>
      </c>
      <c r="P12" s="23"/>
      <c r="Q12" s="149">
        <v>3</v>
      </c>
      <c r="R12" s="150"/>
      <c r="S12" s="150"/>
    </row>
    <row r="13" spans="1:20" s="14" customFormat="1" ht="6" customHeight="1" x14ac:dyDescent="0.15">
      <c r="A13" s="171"/>
      <c r="B13" s="172"/>
      <c r="C13" s="172"/>
      <c r="D13" s="173"/>
      <c r="E13" s="172"/>
      <c r="F13" s="174"/>
      <c r="G13" s="172"/>
      <c r="H13" s="175"/>
      <c r="I13" s="176"/>
      <c r="J13" s="175"/>
      <c r="K13" s="176"/>
      <c r="L13" s="175"/>
      <c r="M13" s="176"/>
      <c r="N13" s="175"/>
      <c r="O13" s="176"/>
      <c r="P13" s="106"/>
      <c r="Q13" s="149"/>
      <c r="R13" s="150"/>
      <c r="S13" s="150"/>
      <c r="T13" s="150"/>
    </row>
    <row r="14" spans="1:20" s="14" customFormat="1" ht="21" customHeight="1" x14ac:dyDescent="0.15">
      <c r="A14" s="143" t="str">
        <f>IFERROR(IF(HLOOKUP($P$6,RangeUnitsetsGDEDUC,Q14,FALSE)=0,"",HLOOKUP($P$6,RangeUnitsetsGDEDUC,Q14,FALSE)),"")</f>
        <v>EDSC5029</v>
      </c>
      <c r="B14" s="144">
        <f>IFERROR(IF(VLOOKUP($A14,TableHandbook[],2,FALSE)=0,"",VLOOKUP($A14,TableHandbook[],2,FALSE)),"")</f>
        <v>1</v>
      </c>
      <c r="C14" s="144" t="str">
        <f>IFERROR(IF(VLOOKUP($A14,TableHandbook[],3,FALSE)=0,"",VLOOKUP($A14,TableHandbook[],3,FALSE)),"")</f>
        <v/>
      </c>
      <c r="D14" s="145" t="str">
        <f>IFERROR(IF(VLOOKUP($A14,TableHandbook[],4,FALSE)=0,"",VLOOKUP($A14,TableHandbook[],4,FALSE)),"")</f>
        <v>Secondary Professional Experience 2: Assessment and Reporting</v>
      </c>
      <c r="E14" s="144" t="str">
        <f>IF(OR(A14="",A14="--"),"",VLOOKUP($D$8,TableStudyPeriods[],3,FALSE))</f>
        <v>SSP2</v>
      </c>
      <c r="F14" s="146" t="str">
        <f>IFERROR(IF(VLOOKUP($A14,TableHandbook[],6,FALSE)=0,"",VLOOKUP($A14,TableHandbook[],6,FALSE)),"")</f>
        <v>EDSC5028</v>
      </c>
      <c r="G14" s="144">
        <f>IFERROR(IF(VLOOKUP($A14,TableHandbook[],5,FALSE)=0,"",VLOOKUP($A14,TableHandbook[],5,FALSE)),"")</f>
        <v>25</v>
      </c>
      <c r="H14" s="147" t="str">
        <f>IFERROR(VLOOKUP($A14,TableHandbook[],H$2,FALSE),"")</f>
        <v/>
      </c>
      <c r="I14" s="148" t="str">
        <f>IFERROR(VLOOKUP($A14,TableHandbook[],I$2,FALSE),"")</f>
        <v/>
      </c>
      <c r="J14" s="147" t="str">
        <f>IFERROR(VLOOKUP($A14,TableHandbook[],J$2,FALSE),"")</f>
        <v>Y</v>
      </c>
      <c r="K14" s="148" t="str">
        <f>IFERROR(VLOOKUP($A14,TableHandbook[],K$2,FALSE),"")</f>
        <v>Y</v>
      </c>
      <c r="L14" s="147" t="str">
        <f>IFERROR(VLOOKUP($A14,TableHandbook[],L$2,FALSE),"")</f>
        <v>Y</v>
      </c>
      <c r="M14" s="148" t="str">
        <f>IFERROR(VLOOKUP($A14,TableHandbook[],M$2,FALSE),"")</f>
        <v>Y</v>
      </c>
      <c r="N14" s="147" t="str">
        <f>IFERROR(VLOOKUP($A14,TableHandbook[],N$2,FALSE),"")</f>
        <v/>
      </c>
      <c r="O14" s="148" t="str">
        <f>IFERROR(VLOOKUP($A14,TableHandbook[],O$2,FALSE),"")</f>
        <v/>
      </c>
      <c r="P14" s="24"/>
      <c r="Q14" s="149">
        <v>4</v>
      </c>
      <c r="R14" s="150"/>
      <c r="S14" s="150"/>
    </row>
    <row r="15" spans="1:20" s="14" customFormat="1" ht="21" customHeight="1" x14ac:dyDescent="0.15">
      <c r="A15" s="143" t="str">
        <f>IFERROR(IF(HLOOKUP($P$6,RangeUnitsetsGDEDUC,Q15,FALSE)=0,"",HLOOKUP($P$6,RangeUnitsetsGDEDUC,Q15,FALSE)),"")</f>
        <v>GDTAL</v>
      </c>
      <c r="B15" s="144" t="str">
        <f>IFERROR(IF(VLOOKUP($A15,TableHandbook[],2,FALSE)=0,"",VLOOKUP($A15,TableHandbook[],2,FALSE)),"")</f>
        <v/>
      </c>
      <c r="C15" s="144" t="str">
        <f>IFERROR(IF(VLOOKUP($A15,TableHandbook[],3,FALSE)=0,"",VLOOKUP($A15,TableHandbook[],3,FALSE)),"")</f>
        <v/>
      </c>
      <c r="D15" s="145" t="str">
        <f>IFERROR(IF(VLOOKUP($A15,TableHandbook[],4,FALSE)=0,"",VLOOKUP($A15,TableHandbook[],4,FALSE)),"")</f>
        <v>Teaching Area LOWER subject (see below)</v>
      </c>
      <c r="E15" s="144" t="str">
        <f>IF(A15="","",E14)</f>
        <v>SSP2</v>
      </c>
      <c r="F15" s="146" t="str">
        <f>IFERROR(IF(VLOOKUP($A15,TableHandbook[],6,FALSE)=0,"",VLOOKUP($A15,TableHandbook[],6,FALSE)),"")</f>
        <v>See below</v>
      </c>
      <c r="G15" s="144">
        <f>IFERROR(IF(VLOOKUP($A15,TableHandbook[],5,FALSE)=0,"",VLOOKUP($A15,TableHandbook[],5,FALSE)),"")</f>
        <v>25</v>
      </c>
      <c r="H15" s="147" t="str">
        <f>IFERROR(VLOOKUP($A15,TableHandbook[],H$2,FALSE),"")</f>
        <v/>
      </c>
      <c r="I15" s="148" t="str">
        <f>IFERROR(VLOOKUP($A15,TableHandbook[],I$2,FALSE),"")</f>
        <v/>
      </c>
      <c r="J15" s="147" t="str">
        <f>IFERROR(VLOOKUP($A15,TableHandbook[],J$2,FALSE),"")</f>
        <v/>
      </c>
      <c r="K15" s="148" t="str">
        <f>IFERROR(VLOOKUP($A15,TableHandbook[],K$2,FALSE),"")</f>
        <v/>
      </c>
      <c r="L15" s="147" t="str">
        <f>IFERROR(VLOOKUP($A15,TableHandbook[],L$2,FALSE),"")</f>
        <v/>
      </c>
      <c r="M15" s="148" t="str">
        <f>IFERROR(VLOOKUP($A15,TableHandbook[],M$2,FALSE),"")</f>
        <v/>
      </c>
      <c r="N15" s="147" t="str">
        <f>IFERROR(VLOOKUP($A15,TableHandbook[],N$2,FALSE),"")</f>
        <v/>
      </c>
      <c r="O15" s="148" t="str">
        <f>IFERROR(VLOOKUP($A15,TableHandbook[],O$2,FALSE),"")</f>
        <v/>
      </c>
      <c r="P15" s="23"/>
      <c r="Q15" s="149">
        <v>5</v>
      </c>
      <c r="R15" s="150"/>
      <c r="S15" s="150"/>
    </row>
    <row r="16" spans="1:20" s="14" customFormat="1" ht="6" customHeight="1" x14ac:dyDescent="0.15">
      <c r="A16" s="171"/>
      <c r="B16" s="172"/>
      <c r="C16" s="172"/>
      <c r="D16" s="173"/>
      <c r="E16" s="172"/>
      <c r="F16" s="174"/>
      <c r="G16" s="172"/>
      <c r="H16" s="175"/>
      <c r="I16" s="176"/>
      <c r="J16" s="175"/>
      <c r="K16" s="176"/>
      <c r="L16" s="175"/>
      <c r="M16" s="176"/>
      <c r="N16" s="175"/>
      <c r="O16" s="176"/>
      <c r="P16" s="106"/>
      <c r="Q16" s="149"/>
      <c r="R16" s="150"/>
      <c r="S16" s="150"/>
      <c r="T16" s="150"/>
    </row>
    <row r="17" spans="1:27" s="14" customFormat="1" ht="21" customHeight="1" x14ac:dyDescent="0.15">
      <c r="A17" s="143" t="str">
        <f>IFERROR(IF(HLOOKUP($P$6,RangeUnitsetsGDEDUC,Q17,FALSE)=0,"",HLOOKUP($P$6,RangeUnitsetsGDEDUC,Q17,FALSE)),"")</f>
        <v>EDUC5009</v>
      </c>
      <c r="B17" s="151">
        <f>IFERROR(IF(VLOOKUP($A17,TableHandbook[],2,FALSE)=0,"",VLOOKUP($A17,TableHandbook[],2,FALSE)),"")</f>
        <v>1</v>
      </c>
      <c r="C17" s="151" t="str">
        <f>IFERROR(IF(VLOOKUP($A17,TableHandbook[],3,FALSE)=0,"",VLOOKUP($A17,TableHandbook[],3,FALSE)),"")</f>
        <v/>
      </c>
      <c r="D17" s="145" t="str">
        <f>IFERROR(IF(VLOOKUP($A17,TableHandbook[],4,FALSE)=0,"",VLOOKUP($A17,TableHandbook[],4,FALSE)),"")</f>
        <v>Pedagogies for Diversity</v>
      </c>
      <c r="E17" s="144" t="str">
        <f>IF(OR(A17="",A17="--"),"",VLOOKUP($D$8,TableStudyPeriods[],4,FALSE))</f>
        <v>SSP3</v>
      </c>
      <c r="F17" s="146" t="str">
        <f>IFERROR(IF(VLOOKUP($A17,TableHandbook[],6,FALSE)=0,"",VLOOKUP($A17,TableHandbook[],6,FALSE)),"")</f>
        <v>Nil</v>
      </c>
      <c r="G17" s="151">
        <f>IFERROR(IF(VLOOKUP($A17,TableHandbook[],5,FALSE)=0,"",VLOOKUP($A17,TableHandbook[],5,FALSE)),"")</f>
        <v>25</v>
      </c>
      <c r="H17" s="152" t="str">
        <f>IFERROR(VLOOKUP($A17,TableHandbook[],H$2,FALSE),"")</f>
        <v>Y</v>
      </c>
      <c r="I17" s="153" t="str">
        <f>IFERROR(VLOOKUP($A17,TableHandbook[],I$2,FALSE),"")</f>
        <v>Y</v>
      </c>
      <c r="J17" s="152" t="str">
        <f>IFERROR(VLOOKUP($A17,TableHandbook[],J$2,FALSE),"")</f>
        <v/>
      </c>
      <c r="K17" s="153" t="str">
        <f>IFERROR(VLOOKUP($A17,TableHandbook[],K$2,FALSE),"")</f>
        <v/>
      </c>
      <c r="L17" s="152" t="str">
        <f>IFERROR(VLOOKUP($A17,TableHandbook[],L$2,FALSE),"")</f>
        <v>Y</v>
      </c>
      <c r="M17" s="153" t="str">
        <f>IFERROR(VLOOKUP($A17,TableHandbook[],M$2,FALSE),"")</f>
        <v>Y</v>
      </c>
      <c r="N17" s="152" t="str">
        <f>IFERROR(VLOOKUP($A17,TableHandbook[],N$2,FALSE),"")</f>
        <v/>
      </c>
      <c r="O17" s="153" t="str">
        <f>IFERROR(VLOOKUP($A17,TableHandbook[],O$2,FALSE),"")</f>
        <v/>
      </c>
      <c r="P17" s="24"/>
      <c r="Q17" s="149">
        <v>6</v>
      </c>
      <c r="R17" s="150"/>
      <c r="S17" s="150"/>
    </row>
    <row r="18" spans="1:27" s="16" customFormat="1" ht="21" customHeight="1" x14ac:dyDescent="0.15">
      <c r="A18" s="143" t="str">
        <f>IFERROR(IF(HLOOKUP($P$6,RangeUnitsetsGDEDUC,Q18,FALSE)=0,"",HLOOKUP($P$6,RangeUnitsetsGDEDUC,Q18,FALSE)),"")</f>
        <v>EDUC6062</v>
      </c>
      <c r="B18" s="151">
        <f>IFERROR(IF(VLOOKUP($A18,TableHandbook[],2,FALSE)=0,"",VLOOKUP($A18,TableHandbook[],2,FALSE)),"")</f>
        <v>1</v>
      </c>
      <c r="C18" s="151" t="str">
        <f>IFERROR(IF(VLOOKUP($A18,TableHandbook[],3,FALSE)=0,"",VLOOKUP($A18,TableHandbook[],3,FALSE)),"")</f>
        <v/>
      </c>
      <c r="D18" s="145" t="str">
        <f>IFERROR(IF(VLOOKUP($A18,TableHandbook[],4,FALSE)=0,"",VLOOKUP($A18,TableHandbook[],4,FALSE)),"")</f>
        <v>Professional Experience 3: Using Data to Inform Teaching and Learning</v>
      </c>
      <c r="E18" s="144" t="str">
        <f>IF(A18="","",E17)</f>
        <v>SSP3</v>
      </c>
      <c r="F18" s="146" t="str">
        <f>IFERROR(IF(VLOOKUP($A18,TableHandbook[],6,FALSE)=0,"",VLOOKUP($A18,TableHandbook[],6,FALSE)),"")</f>
        <v>EDEC5001 or EDPR5001 or EDSC5029</v>
      </c>
      <c r="G18" s="151">
        <f>IFERROR(IF(VLOOKUP($A18,TableHandbook[],5,FALSE)=0,"",VLOOKUP($A18,TableHandbook[],5,FALSE)),"")</f>
        <v>25</v>
      </c>
      <c r="H18" s="152" t="str">
        <f>IFERROR(VLOOKUP($A18,TableHandbook[],H$2,FALSE),"")</f>
        <v>Y</v>
      </c>
      <c r="I18" s="153" t="str">
        <f>IFERROR(VLOOKUP($A18,TableHandbook[],I$2,FALSE),"")</f>
        <v>Y</v>
      </c>
      <c r="J18" s="152" t="str">
        <f>IFERROR(VLOOKUP($A18,TableHandbook[],J$2,FALSE),"")</f>
        <v/>
      </c>
      <c r="K18" s="153" t="str">
        <f>IFERROR(VLOOKUP($A18,TableHandbook[],K$2,FALSE),"")</f>
        <v/>
      </c>
      <c r="L18" s="152" t="str">
        <f>IFERROR(VLOOKUP($A18,TableHandbook[],L$2,FALSE),"")</f>
        <v>Y</v>
      </c>
      <c r="M18" s="153" t="str">
        <f>IFERROR(VLOOKUP($A18,TableHandbook[],M$2,FALSE),"")</f>
        <v>Y</v>
      </c>
      <c r="N18" s="152" t="str">
        <f>IFERROR(VLOOKUP($A18,TableHandbook[],N$2,FALSE),"")</f>
        <v/>
      </c>
      <c r="O18" s="153" t="str">
        <f>IFERROR(VLOOKUP($A18,TableHandbook[],O$2,FALSE),"")</f>
        <v/>
      </c>
      <c r="P18" s="24"/>
      <c r="Q18" s="149">
        <v>7</v>
      </c>
      <c r="R18" s="154"/>
      <c r="S18" s="154"/>
    </row>
    <row r="19" spans="1:27" s="14" customFormat="1" ht="6" customHeight="1" x14ac:dyDescent="0.15">
      <c r="A19" s="171"/>
      <c r="B19" s="172"/>
      <c r="C19" s="172"/>
      <c r="D19" s="173"/>
      <c r="E19" s="172"/>
      <c r="F19" s="174"/>
      <c r="G19" s="172"/>
      <c r="H19" s="175"/>
      <c r="I19" s="176"/>
      <c r="J19" s="175"/>
      <c r="K19" s="176"/>
      <c r="L19" s="175"/>
      <c r="M19" s="176"/>
      <c r="N19" s="175"/>
      <c r="O19" s="176"/>
      <c r="P19" s="106"/>
      <c r="Q19" s="149"/>
      <c r="R19" s="150"/>
      <c r="S19" s="150"/>
      <c r="T19" s="150"/>
    </row>
    <row r="20" spans="1:27" s="16" customFormat="1" ht="21" customHeight="1" x14ac:dyDescent="0.15">
      <c r="A20" s="143" t="str">
        <f>IFERROR(IF(HLOOKUP($P$6,RangeUnitsetsGDEDUC,Q20,FALSE)=0,"",HLOOKUP($P$6,RangeUnitsetsGDEDUC,Q20,FALSE)),"")</f>
        <v>EDUC5006</v>
      </c>
      <c r="B20" s="151">
        <f>IFERROR(IF(VLOOKUP($A20,TableHandbook[],2,FALSE)=0,"",VLOOKUP($A20,TableHandbook[],2,FALSE)),"")</f>
        <v>1</v>
      </c>
      <c r="C20" s="151" t="str">
        <f>IFERROR(IF(VLOOKUP($A20,TableHandbook[],3,FALSE)=0,"",VLOOKUP($A20,TableHandbook[],3,FALSE)),"")</f>
        <v/>
      </c>
      <c r="D20" s="145" t="str">
        <f>IFERROR(IF(VLOOKUP($A20,TableHandbook[],4,FALSE)=0,"",VLOOKUP($A20,TableHandbook[],4,FALSE)),"")</f>
        <v>Creative Technologies</v>
      </c>
      <c r="E20" s="144" t="str">
        <f>IF(OR(A20="",A20="--"),"",VLOOKUP($D$8,TableStudyPeriods[],5,FALSE))</f>
        <v>SSP4</v>
      </c>
      <c r="F20" s="146" t="str">
        <f>IFERROR(IF(VLOOKUP($A20,TableHandbook[],6,FALSE)=0,"",VLOOKUP($A20,TableHandbook[],6,FALSE)),"")</f>
        <v>Nil</v>
      </c>
      <c r="G20" s="151">
        <f>IFERROR(IF(VLOOKUP($A20,TableHandbook[],5,FALSE)=0,"",VLOOKUP($A20,TableHandbook[],5,FALSE)),"")</f>
        <v>25</v>
      </c>
      <c r="H20" s="152" t="str">
        <f>IFERROR(VLOOKUP($A20,TableHandbook[],H$2,FALSE),"")</f>
        <v/>
      </c>
      <c r="I20" s="153" t="str">
        <f>IFERROR(VLOOKUP($A20,TableHandbook[],I$2,FALSE),"")</f>
        <v/>
      </c>
      <c r="J20" s="152" t="str">
        <f>IFERROR(VLOOKUP($A20,TableHandbook[],J$2,FALSE),"")</f>
        <v>Y</v>
      </c>
      <c r="K20" s="153" t="str">
        <f>IFERROR(VLOOKUP($A20,TableHandbook[],K$2,FALSE),"")</f>
        <v>Y</v>
      </c>
      <c r="L20" s="152" t="str">
        <f>IFERROR(VLOOKUP($A20,TableHandbook[],L$2,FALSE),"")</f>
        <v>Y</v>
      </c>
      <c r="M20" s="153" t="str">
        <f>IFERROR(VLOOKUP($A20,TableHandbook[],M$2,FALSE),"")</f>
        <v>Y</v>
      </c>
      <c r="N20" s="152" t="str">
        <f>IFERROR(VLOOKUP($A20,TableHandbook[],N$2,FALSE),"")</f>
        <v>Y</v>
      </c>
      <c r="O20" s="153" t="str">
        <f>IFERROR(VLOOKUP($A20,TableHandbook[],O$2,FALSE),"")</f>
        <v>Y</v>
      </c>
      <c r="P20" s="24"/>
      <c r="Q20" s="149">
        <v>8</v>
      </c>
      <c r="R20" s="154"/>
      <c r="S20" s="154"/>
    </row>
    <row r="21" spans="1:27" s="16" customFormat="1" ht="21" customHeight="1" x14ac:dyDescent="0.15">
      <c r="A21" s="143" t="str">
        <f>IFERROR(IF(HLOOKUP($P$6,RangeUnitsetsGDEDUC,Q21,FALSE)=0,"",HLOOKUP($P$6,RangeUnitsetsGDEDUC,Q21,FALSE)),"")</f>
        <v>GDTAS</v>
      </c>
      <c r="B21" s="151" t="str">
        <f>IFERROR(IF(VLOOKUP($A21,TableHandbook[],2,FALSE)=0,"",VLOOKUP($A21,TableHandbook[],2,FALSE)),"")</f>
        <v/>
      </c>
      <c r="C21" s="151" t="str">
        <f>IFERROR(IF(VLOOKUP($A21,TableHandbook[],3,FALSE)=0,"",VLOOKUP($A21,TableHandbook[],3,FALSE)),"")</f>
        <v/>
      </c>
      <c r="D21" s="177" t="str">
        <f>IFERROR(IF(VLOOKUP($A21,TableHandbook[],4,FALSE)=0,"",VLOOKUP($A21,TableHandbook[],4,FALSE)),"")</f>
        <v>Teaching Area SENIOR subject (see below)</v>
      </c>
      <c r="E21" s="151" t="str">
        <f>IF(A21="","",E20)</f>
        <v>SSP4</v>
      </c>
      <c r="F21" s="146" t="str">
        <f>IFERROR(IF(VLOOKUP($A21,TableHandbook[],6,FALSE)=0,"",VLOOKUP($A21,TableHandbook[],6,FALSE)),"")</f>
        <v>See below</v>
      </c>
      <c r="G21" s="151">
        <f>IFERROR(IF(VLOOKUP($A21,TableHandbook[],5,FALSE)=0,"",VLOOKUP($A21,TableHandbook[],5,FALSE)),"")</f>
        <v>25</v>
      </c>
      <c r="H21" s="152" t="str">
        <f>IFERROR(VLOOKUP($A21,TableHandbook[],H$2,FALSE),"")</f>
        <v/>
      </c>
      <c r="I21" s="153" t="str">
        <f>IFERROR(VLOOKUP($A21,TableHandbook[],I$2,FALSE),"")</f>
        <v/>
      </c>
      <c r="J21" s="152" t="str">
        <f>IFERROR(VLOOKUP($A21,TableHandbook[],J$2,FALSE),"")</f>
        <v/>
      </c>
      <c r="K21" s="153" t="str">
        <f>IFERROR(VLOOKUP($A21,TableHandbook[],K$2,FALSE),"")</f>
        <v/>
      </c>
      <c r="L21" s="152" t="str">
        <f>IFERROR(VLOOKUP($A21,TableHandbook[],L$2,FALSE),"")</f>
        <v/>
      </c>
      <c r="M21" s="153" t="str">
        <f>IFERROR(VLOOKUP($A21,TableHandbook[],M$2,FALSE),"")</f>
        <v/>
      </c>
      <c r="N21" s="152" t="str">
        <f>IFERROR(VLOOKUP($A21,TableHandbook[],N$2,FALSE),"")</f>
        <v/>
      </c>
      <c r="O21" s="153" t="str">
        <f>IFERROR(VLOOKUP($A21,TableHandbook[],O$2,FALSE),"")</f>
        <v/>
      </c>
      <c r="P21" s="24"/>
      <c r="Q21" s="149">
        <v>9</v>
      </c>
      <c r="R21" s="154"/>
      <c r="S21" s="154"/>
    </row>
    <row r="22" spans="1:27" ht="16.5" customHeight="1" x14ac:dyDescent="0.25">
      <c r="A22" s="159"/>
      <c r="B22" s="159"/>
      <c r="C22" s="159"/>
      <c r="D22" s="160"/>
      <c r="E22" s="160"/>
      <c r="F22" s="161"/>
      <c r="G22" s="161"/>
      <c r="H22" s="161"/>
      <c r="I22" s="161"/>
      <c r="J22" s="161"/>
      <c r="K22" s="161"/>
      <c r="L22" s="161"/>
      <c r="M22" s="161"/>
      <c r="N22" s="161"/>
      <c r="O22" s="161"/>
      <c r="P22" s="161"/>
      <c r="Q22" s="88"/>
    </row>
    <row r="23" spans="1:27" s="20" customFormat="1" ht="20.25" x14ac:dyDescent="0.25">
      <c r="A23" s="248" t="s">
        <v>255</v>
      </c>
      <c r="B23" s="179"/>
      <c r="C23" s="179"/>
      <c r="D23" s="180"/>
      <c r="E23" s="181"/>
      <c r="F23" s="181"/>
      <c r="G23" s="181"/>
      <c r="H23" s="182" t="str">
        <f>H9</f>
        <v>2025 Availabilities</v>
      </c>
      <c r="I23" s="183"/>
      <c r="J23" s="183"/>
      <c r="K23" s="183"/>
      <c r="L23" s="183"/>
      <c r="M23" s="183"/>
      <c r="N23" s="184"/>
      <c r="O23" s="185"/>
      <c r="P23" s="186"/>
      <c r="Q23" s="88"/>
    </row>
    <row r="24" spans="1:27" ht="31.5" x14ac:dyDescent="0.25">
      <c r="A24" s="133"/>
      <c r="B24" s="133"/>
      <c r="C24" s="133"/>
      <c r="D24" s="134" t="s">
        <v>3</v>
      </c>
      <c r="E24" s="140" t="s">
        <v>21</v>
      </c>
      <c r="F24" s="133" t="s">
        <v>45</v>
      </c>
      <c r="G24" s="133" t="s">
        <v>23</v>
      </c>
      <c r="H24" s="141" t="str">
        <f>H10</f>
        <v>SSP1 BEN</v>
      </c>
      <c r="I24" s="142" t="str">
        <f t="shared" ref="I24:P24" si="0">I10</f>
        <v>SSP1 FO</v>
      </c>
      <c r="J24" s="141" t="str">
        <f t="shared" si="0"/>
        <v>SSP2 BEN</v>
      </c>
      <c r="K24" s="142" t="str">
        <f t="shared" si="0"/>
        <v>SSP2 FO</v>
      </c>
      <c r="L24" s="141" t="str">
        <f t="shared" si="0"/>
        <v>SSP3 BEN</v>
      </c>
      <c r="M24" s="142" t="str">
        <f t="shared" si="0"/>
        <v>SSP3 FO</v>
      </c>
      <c r="N24" s="141" t="str">
        <f t="shared" si="0"/>
        <v>SSP4 BEN</v>
      </c>
      <c r="O24" s="142" t="str">
        <f t="shared" si="0"/>
        <v>SSP4 FO</v>
      </c>
      <c r="P24" s="133" t="str">
        <f t="shared" si="0"/>
        <v>Notes / Progress</v>
      </c>
      <c r="Q24" s="149"/>
    </row>
    <row r="25" spans="1:27" x14ac:dyDescent="0.25">
      <c r="A25" s="187" t="str">
        <f>IFERROR(IF(HLOOKUP($P$6,RangeUnitsetsGDEDUC,Q25,FALSE)=0,"",HLOOKUP($P$6,RangeUnitsetsGDEDUC,Q25,FALSE)),"")</f>
        <v>GDTA</v>
      </c>
      <c r="B25" s="188" t="str">
        <f>IFERROR(IF(VLOOKUP($A25,TableHandbook[],2,FALSE)=0,"",VLOOKUP($A25,TableHandbook[],2,FALSE)),"")</f>
        <v/>
      </c>
      <c r="C25" s="189" t="str">
        <f>IFERROR(IF(VLOOKUP($A25,TableHandbook[],3,FALSE)=0,"",VLOOKUP($A25,TableHandbook[],3,FALSE)),"")</f>
        <v/>
      </c>
      <c r="D25" s="189" t="str">
        <f>IFERROR(IF(VLOOKUP($A25,TableHandbook[],4,FALSE)=0,"",VLOOKUP($A25,TableHandbook[],4,FALSE)),"")</f>
        <v>Teaching Area (study Lower before Senior)</v>
      </c>
      <c r="E25" s="190"/>
      <c r="F25" s="191" t="str">
        <f>IFERROR(IF(VLOOKUP($A25,TableHandbook[],6,FALSE)=0,"",VLOOKUP($A25,TableHandbook[],6,FALSE)),"")</f>
        <v/>
      </c>
      <c r="G25" s="191" t="str">
        <f>IFERROR(IF(VLOOKUP($A25,TableHandbook[],5,FALSE)=0,"",VLOOKUP($A25,TableHandbook[],5,FALSE)),"")</f>
        <v/>
      </c>
      <c r="H25" s="152" t="str">
        <f>IFERROR(VLOOKUP($A25,TableHandbook[],H$2,FALSE),"")</f>
        <v/>
      </c>
      <c r="I25" s="153" t="str">
        <f>IFERROR(VLOOKUP($A25,TableHandbook[],I$2,FALSE),"")</f>
        <v/>
      </c>
      <c r="J25" s="151" t="str">
        <f>IFERROR(VLOOKUP($A25,TableHandbook[],J$2,FALSE),"")</f>
        <v/>
      </c>
      <c r="K25" s="153" t="str">
        <f>IFERROR(VLOOKUP($A25,TableHandbook[],K$2,FALSE),"")</f>
        <v/>
      </c>
      <c r="L25" s="151" t="str">
        <f>IFERROR(VLOOKUP($A25,TableHandbook[],L$2,FALSE),"")</f>
        <v/>
      </c>
      <c r="M25" s="153" t="str">
        <f>IFERROR(VLOOKUP($A25,TableHandbook[],M$2,FALSE),"")</f>
        <v/>
      </c>
      <c r="N25" s="151" t="str">
        <f>IFERROR(VLOOKUP($A25,TableHandbook[],N$2,FALSE),"")</f>
        <v/>
      </c>
      <c r="O25" s="153" t="str">
        <f>IFERROR(VLOOKUP($A25,TableHandbook[],O$2,FALSE),"")</f>
        <v/>
      </c>
      <c r="P25" s="24"/>
      <c r="Q25" s="149">
        <v>10</v>
      </c>
    </row>
    <row r="26" spans="1:27" x14ac:dyDescent="0.25">
      <c r="A26" s="187" t="str">
        <f>IFERROR(IF(HLOOKUP($P$7,RangeTeachingAreas,Q26,FALSE)=0,"",HLOOKUP($P$7,RangeTeachingAreas,Q26,FALSE)),"")</f>
        <v/>
      </c>
      <c r="B26" s="188" t="str">
        <f>IFERROR(IF(VLOOKUP($A26,TableHandbook[],2,FALSE)=0,"",VLOOKUP($A26,TableHandbook[],2,FALSE)),"")</f>
        <v/>
      </c>
      <c r="C26" s="189" t="str">
        <f>IFERROR(IF(VLOOKUP($A26,TableHandbook[],3,FALSE)=0,"",VLOOKUP($A26,TableHandbook[],3,FALSE)),"")</f>
        <v/>
      </c>
      <c r="D26" s="189" t="str">
        <f>IFERROR(IF(VLOOKUP($A26,TableHandbook[],4,FALSE)=0,"",VLOOKUP($A26,TableHandbook[],4,FALSE)),"")</f>
        <v/>
      </c>
      <c r="E26" s="190"/>
      <c r="F26" s="191" t="str">
        <f>IFERROR(IF(VLOOKUP($A26,TableHandbook[],6,FALSE)=0,"",VLOOKUP($A26,TableHandbook[],6,FALSE)),"")</f>
        <v/>
      </c>
      <c r="G26" s="191" t="str">
        <f>IFERROR(IF(VLOOKUP($A26,TableHandbook[],5,FALSE)=0,"",VLOOKUP($A26,TableHandbook[],5,FALSE)),"")</f>
        <v/>
      </c>
      <c r="H26" s="147" t="str">
        <f>IFERROR(VLOOKUP($A26,TableHandbook[],H$2,FALSE),"")</f>
        <v/>
      </c>
      <c r="I26" s="148" t="str">
        <f>IFERROR(VLOOKUP($A26,TableHandbook[],I$2,FALSE),"")</f>
        <v/>
      </c>
      <c r="J26" s="144" t="str">
        <f>IFERROR(VLOOKUP($A26,TableHandbook[],J$2,FALSE),"")</f>
        <v/>
      </c>
      <c r="K26" s="148" t="str">
        <f>IFERROR(VLOOKUP($A26,TableHandbook[],K$2,FALSE),"")</f>
        <v/>
      </c>
      <c r="L26" s="144" t="str">
        <f>IFERROR(VLOOKUP($A26,TableHandbook[],L$2,FALSE),"")</f>
        <v/>
      </c>
      <c r="M26" s="148" t="str">
        <f>IFERROR(VLOOKUP($A26,TableHandbook[],M$2,FALSE),"")</f>
        <v/>
      </c>
      <c r="N26" s="144" t="str">
        <f>IFERROR(VLOOKUP($A26,TableHandbook[],N$2,FALSE),"")</f>
        <v/>
      </c>
      <c r="O26" s="148" t="str">
        <f>IFERROR(VLOOKUP($A26,TableHandbook[],O$2,FALSE),"")</f>
        <v/>
      </c>
      <c r="P26" s="24"/>
      <c r="Q26" s="149">
        <v>3</v>
      </c>
    </row>
    <row r="27" spans="1:27" x14ac:dyDescent="0.25">
      <c r="A27" s="187" t="str">
        <f>IFERROR(IF(HLOOKUP($P$7,RangeTeachingAreas,Q27,FALSE)=0,"",HLOOKUP($P$7,RangeTeachingAreas,Q27,FALSE)),"")</f>
        <v/>
      </c>
      <c r="B27" s="188" t="str">
        <f>IFERROR(IF(VLOOKUP($A27,TableHandbook[],2,FALSE)=0,"",VLOOKUP($A27,TableHandbook[],2,FALSE)),"")</f>
        <v/>
      </c>
      <c r="C27" s="189" t="str">
        <f>IFERROR(IF(VLOOKUP($A27,TableHandbook[],3,FALSE)=0,"",VLOOKUP($A27,TableHandbook[],3,FALSE)),"")</f>
        <v/>
      </c>
      <c r="D27" s="189" t="str">
        <f>IFERROR(IF(VLOOKUP($A27,TableHandbook[],4,FALSE)=0,"",VLOOKUP($A27,TableHandbook[],4,FALSE)),"")</f>
        <v/>
      </c>
      <c r="E27" s="190"/>
      <c r="F27" s="191" t="str">
        <f>IFERROR(IF(VLOOKUP($A27,TableHandbook[],6,FALSE)=0,"",VLOOKUP($A27,TableHandbook[],6,FALSE)),"")</f>
        <v/>
      </c>
      <c r="G27" s="191" t="str">
        <f>IFERROR(IF(VLOOKUP($A27,TableHandbook[],5,FALSE)=0,"",VLOOKUP($A27,TableHandbook[],5,FALSE)),"")</f>
        <v/>
      </c>
      <c r="H27" s="147" t="str">
        <f>IFERROR(VLOOKUP($A27,TableHandbook[],H$2,FALSE),"")</f>
        <v/>
      </c>
      <c r="I27" s="148" t="str">
        <f>IFERROR(VLOOKUP($A27,TableHandbook[],I$2,FALSE),"")</f>
        <v/>
      </c>
      <c r="J27" s="144" t="str">
        <f>IFERROR(VLOOKUP($A27,TableHandbook[],J$2,FALSE),"")</f>
        <v/>
      </c>
      <c r="K27" s="148" t="str">
        <f>IFERROR(VLOOKUP($A27,TableHandbook[],K$2,FALSE),"")</f>
        <v/>
      </c>
      <c r="L27" s="144" t="str">
        <f>IFERROR(VLOOKUP($A27,TableHandbook[],L$2,FALSE),"")</f>
        <v/>
      </c>
      <c r="M27" s="148" t="str">
        <f>IFERROR(VLOOKUP($A27,TableHandbook[],M$2,FALSE),"")</f>
        <v/>
      </c>
      <c r="N27" s="144" t="str">
        <f>IFERROR(VLOOKUP($A27,TableHandbook[],N$2,FALSE),"")</f>
        <v/>
      </c>
      <c r="O27" s="148" t="str">
        <f>IFERROR(VLOOKUP($A27,TableHandbook[],O$2,FALSE),"")</f>
        <v/>
      </c>
      <c r="P27" s="24"/>
      <c r="Q27" s="149">
        <v>4</v>
      </c>
    </row>
    <row r="28" spans="1:27" ht="15" customHeight="1" x14ac:dyDescent="0.25">
      <c r="A28" s="192"/>
      <c r="B28" s="192"/>
      <c r="C28" s="193"/>
      <c r="D28" s="193"/>
      <c r="E28" s="194"/>
      <c r="F28" s="195"/>
      <c r="G28" s="195"/>
      <c r="H28" s="196"/>
      <c r="I28" s="196"/>
      <c r="J28" s="196"/>
      <c r="K28" s="196"/>
      <c r="L28" s="196"/>
      <c r="M28" s="196"/>
      <c r="N28" s="196"/>
      <c r="O28" s="196"/>
      <c r="P28" s="197"/>
      <c r="Q28" s="149"/>
    </row>
    <row r="29" spans="1:27" s="10" customFormat="1" ht="18" x14ac:dyDescent="0.25">
      <c r="A29" s="198" t="s">
        <v>34</v>
      </c>
      <c r="B29" s="198"/>
      <c r="C29" s="198"/>
      <c r="D29" s="198"/>
      <c r="E29" s="198"/>
      <c r="F29" s="198"/>
      <c r="G29" s="198"/>
      <c r="H29" s="198"/>
      <c r="I29" s="198"/>
      <c r="J29" s="198"/>
      <c r="K29" s="198"/>
      <c r="L29" s="198"/>
      <c r="M29" s="198"/>
      <c r="N29" s="198"/>
      <c r="O29" s="198"/>
      <c r="P29" s="198"/>
      <c r="Q29" s="88"/>
      <c r="R29" s="8"/>
      <c r="S29" s="8"/>
      <c r="T29" s="8"/>
      <c r="U29" s="8"/>
      <c r="V29" s="8"/>
      <c r="W29" s="8"/>
      <c r="X29" s="8"/>
      <c r="Y29" s="8"/>
      <c r="Z29" s="8"/>
      <c r="AA29" s="8"/>
    </row>
    <row r="30" spans="1:27" s="18" customFormat="1" ht="17.25" x14ac:dyDescent="0.2">
      <c r="A30" s="66" t="s">
        <v>35</v>
      </c>
      <c r="B30" s="66"/>
      <c r="C30" s="66"/>
      <c r="D30" s="67"/>
      <c r="E30" s="67"/>
      <c r="F30" s="67"/>
      <c r="G30" s="67"/>
      <c r="H30" s="67"/>
      <c r="I30" s="67"/>
      <c r="J30" s="67"/>
      <c r="K30" s="67"/>
      <c r="L30" s="67"/>
      <c r="M30" s="67"/>
      <c r="N30" s="67"/>
      <c r="O30" s="67"/>
      <c r="P30" s="67"/>
      <c r="Q30" s="162"/>
      <c r="R30" s="162"/>
      <c r="S30" s="162"/>
    </row>
    <row r="31" spans="1:27" x14ac:dyDescent="0.25">
      <c r="A31" s="163" t="s">
        <v>36</v>
      </c>
      <c r="B31" s="163"/>
      <c r="C31" s="163"/>
      <c r="D31" s="163"/>
      <c r="E31" s="164"/>
      <c r="F31" s="161"/>
      <c r="G31" s="165"/>
      <c r="H31" s="165"/>
      <c r="I31" s="165"/>
      <c r="J31" s="165"/>
      <c r="K31" s="165"/>
      <c r="L31" s="165"/>
      <c r="M31" s="165"/>
      <c r="N31" s="165"/>
      <c r="O31" s="165"/>
      <c r="P31" s="165" t="s">
        <v>37</v>
      </c>
    </row>
  </sheetData>
  <sheetProtection formatCells="0"/>
  <mergeCells count="1">
    <mergeCell ref="A3:D3"/>
  </mergeCells>
  <conditionalFormatting sqref="A11:Q21 A25:Q27">
    <cfRule type="expression" dxfId="101" priority="5">
      <formula>LEFT($A11,4)="GDTA"</formula>
    </cfRule>
  </conditionalFormatting>
  <conditionalFormatting sqref="D5:D8">
    <cfRule type="containsText" dxfId="100" priority="6" operator="containsText" text="Choose">
      <formula>NOT(ISERROR(SEARCH("Choose",D5)))</formula>
    </cfRule>
  </conditionalFormatting>
  <conditionalFormatting sqref="H11:O21">
    <cfRule type="expression" dxfId="99" priority="1">
      <formula>$E11=LEFT(H$10,4)</formula>
    </cfRule>
  </conditionalFormatting>
  <dataValidations count="2">
    <dataValidation type="list" allowBlank="1" showInputMessage="1" showErrorMessage="1" sqref="P16 P13 P19" xr:uid="{00000000-0002-0000-0700-000000000000}"/>
    <dataValidation type="list" allowBlank="1" showInputMessage="1" showErrorMessage="1" sqref="D7" xr:uid="{00000000-0002-0000-0700-000001000000}">
      <formula1>INDIRECT($P$8)</formula1>
    </dataValidation>
  </dataValidations>
  <hyperlinks>
    <hyperlink ref="A30:P30" r:id="rId1" display="If you have any queries about your course, please contact Curtin Connect." xr:uid="{00000000-0004-0000-0700-000000000000}"/>
  </hyperlinks>
  <printOptions horizontalCentered="1"/>
  <pageMargins left="0.31496062992125984" right="0.31496062992125984" top="0.39370078740157483" bottom="0.39370078740157483" header="0.19685039370078741" footer="0.19685039370078741"/>
  <pageSetup paperSize="9" scale="88" orientation="landscape" r:id="rId2"/>
  <rowBreaks count="1" manualBreakCount="1">
    <brk id="21" max="10" man="1"/>
  </rowBreak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TaxCatchAll xmlns="ba69df13-0c3c-4942-8695-6ca01564010c" xsi:nil="true"/>
    <lcf76f155ced4ddcb4097134ff3c332f xmlns="1f4c0b20-2c14-4291-851e-36bd297de4e2">
      <Terms xmlns="http://schemas.microsoft.com/office/infopath/2007/PartnerControls"/>
    </lcf76f155ced4ddcb4097134ff3c332f>
    <IconOverlay xmlns="http://schemas.microsoft.com/sharepoint/v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C8DE81E864C04FBD5CF16ED44542C5" ma:contentTypeVersion="19" ma:contentTypeDescription="Create a new document." ma:contentTypeScope="" ma:versionID="ace092bef4bfa330104aca4342522f88">
  <xsd:schema xmlns:xsd="http://www.w3.org/2001/XMLSchema" xmlns:xs="http://www.w3.org/2001/XMLSchema" xmlns:p="http://schemas.microsoft.com/office/2006/metadata/properties" xmlns:ns2="1f4c0b20-2c14-4291-851e-36bd297de4e2" xmlns:ns3="ba69df13-0c3c-4942-8695-6ca01564010c" xmlns:ns4="http://schemas.microsoft.com/sharepoint/v4" targetNamespace="http://schemas.microsoft.com/office/2006/metadata/properties" ma:root="true" ma:fieldsID="a02423f0d7395ee4a8f63f048f63e778" ns2:_="" ns3:_="" ns4:_="">
    <xsd:import namespace="1f4c0b20-2c14-4291-851e-36bd297de4e2"/>
    <xsd:import namespace="ba69df13-0c3c-4942-8695-6ca01564010c"/>
    <xsd:import namespace="http://schemas.microsoft.com/sharepoint/v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element ref="ns4:IconOverlay"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c0b20-2c14-4291-851e-36bd297de4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58b0421-3d9b-4d43-8840-b275eef407cc"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4f6a6e9f-0001-4698-9992-b49f02fb9f95}" ma:internalName="TaxCatchAll" ma:showField="CatchAllData" ma:web="ba69df13-0c3c-4942-8695-6ca0156401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4"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8D9622E-5CA2-422C-A7EF-5AF7D24ED367}">
  <ds:schemaRefs>
    <ds:schemaRef ds:uri="http://schemas.microsoft.com/sharepoint/v3/contenttype/forms"/>
  </ds:schemaRefs>
</ds:datastoreItem>
</file>

<file path=customXml/itemProps2.xml><?xml version="1.0" encoding="utf-8"?>
<ds:datastoreItem xmlns:ds="http://schemas.openxmlformats.org/officeDocument/2006/customXml" ds:itemID="{702FBB4C-6ADF-4262-9F1C-6F0710538C55}">
  <ds:schemaRefs>
    <ds:schemaRef ds:uri="1f4c0b20-2c14-4291-851e-36bd297de4e2"/>
    <ds:schemaRef ds:uri="http://purl.org/dc/terms/"/>
    <ds:schemaRef ds:uri="http://www.w3.org/XML/1998/namespace"/>
    <ds:schemaRef ds:uri="http://schemas.microsoft.com/sharepoint/v4"/>
    <ds:schemaRef ds:uri="http://purl.org/dc/elements/1.1/"/>
    <ds:schemaRef ds:uri="http://purl.org/dc/dcmitype/"/>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ba69df13-0c3c-4942-8695-6ca01564010c"/>
  </ds:schemaRefs>
</ds:datastoreItem>
</file>

<file path=customXml/itemProps3.xml><?xml version="1.0" encoding="utf-8"?>
<ds:datastoreItem xmlns:ds="http://schemas.openxmlformats.org/officeDocument/2006/customXml" ds:itemID="{8D23F332-CC5A-4B69-A46E-9F2D40D57F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4c0b20-2c14-4291-851e-36bd297de4e2"/>
    <ds:schemaRef ds:uri="ba69df13-0c3c-4942-8695-6ca01564010c"/>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30</vt:i4>
      </vt:variant>
    </vt:vector>
  </HeadingPairs>
  <TitlesOfParts>
    <vt:vector size="47" baseType="lpstr">
      <vt:lpstr>Planner M-Teach (ECE)</vt:lpstr>
      <vt:lpstr>Planner M-Teach (Prim)</vt:lpstr>
      <vt:lpstr>Planner TESOL_APLING</vt:lpstr>
      <vt:lpstr>Planner MC-EDUC</vt:lpstr>
      <vt:lpstr>Planner GC-EDUC</vt:lpstr>
      <vt:lpstr>Planner GC-EDHE</vt:lpstr>
      <vt:lpstr>Unitsets</vt:lpstr>
      <vt:lpstr>Planner GD-EDUC (Prim)</vt:lpstr>
      <vt:lpstr>Planner GD-EDUC (Sec)</vt:lpstr>
      <vt:lpstr>Planner M-Teach Sec</vt:lpstr>
      <vt:lpstr>Unitsets M-Teach Sec</vt:lpstr>
      <vt:lpstr>Handbook</vt:lpstr>
      <vt:lpstr>Structures</vt:lpstr>
      <vt:lpstr>Availabilities</vt:lpstr>
      <vt:lpstr>Issues Log</vt:lpstr>
      <vt:lpstr>Planner GD-EDUC (Prim Accel)</vt:lpstr>
      <vt:lpstr>Planner GD-EDUC (Sec Accel)</vt:lpstr>
      <vt:lpstr>DD</vt:lpstr>
      <vt:lpstr>DDGD</vt:lpstr>
      <vt:lpstr>DDGDEDUPR</vt:lpstr>
      <vt:lpstr>DDGDEDUSC</vt:lpstr>
      <vt:lpstr>DDSCART</vt:lpstr>
      <vt:lpstr>DDSCENG</vt:lpstr>
      <vt:lpstr>DDSCHLP</vt:lpstr>
      <vt:lpstr>DDSCHUS</vt:lpstr>
      <vt:lpstr>DDSCMAT</vt:lpstr>
      <vt:lpstr>DDSCSCI</vt:lpstr>
      <vt:lpstr>'Planner GC-EDHE'!Print_Area</vt:lpstr>
      <vt:lpstr>'Planner GC-EDUC'!Print_Area</vt:lpstr>
      <vt:lpstr>'Planner GD-EDUC (Prim Accel)'!Print_Area</vt:lpstr>
      <vt:lpstr>'Planner GD-EDUC (Prim)'!Print_Area</vt:lpstr>
      <vt:lpstr>'Planner GD-EDUC (Sec Accel)'!Print_Area</vt:lpstr>
      <vt:lpstr>'Planner GD-EDUC (Sec)'!Print_Area</vt:lpstr>
      <vt:lpstr>'Planner MC-EDUC'!Print_Area</vt:lpstr>
      <vt:lpstr>'Planner M-Teach (ECE)'!Print_Area</vt:lpstr>
      <vt:lpstr>'Planner M-Teach (Prim)'!Print_Area</vt:lpstr>
      <vt:lpstr>'Planner M-Teach Sec'!Print_Area</vt:lpstr>
      <vt:lpstr>'Planner TESOL_APLING'!Print_Area</vt:lpstr>
      <vt:lpstr>RangeCourseNotesGradCerts</vt:lpstr>
      <vt:lpstr>RangeTeachingAreas</vt:lpstr>
      <vt:lpstr>RangeUnitsetsECEPR</vt:lpstr>
      <vt:lpstr>RangeUnitsetsGDEDUC</vt:lpstr>
      <vt:lpstr>RangeUnitsetsGDEDUCAcc</vt:lpstr>
      <vt:lpstr>RangeUnitsetsGradCerts</vt:lpstr>
      <vt:lpstr>RangeUnitsetsMCEDUC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2025-01-07T03:17:22Z</cp:lastPrinted>
  <dcterms:created xsi:type="dcterms:W3CDTF">2022-02-28T04:48:12Z</dcterms:created>
  <dcterms:modified xsi:type="dcterms:W3CDTF">2025-01-07T03:18:15Z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0x01010005C8DE81E864C04FBD5CF16ED44542C5</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